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9"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收益法 (2)" sheetId="68" r:id="rId32"/>
    <sheet name="不动产收益法 (3)"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Sheet3" sheetId="70"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8" i="12"/>
  <c r="C8"/>
  <c r="D30" i="70"/>
  <c r="D21"/>
  <c r="H21"/>
  <c r="G28"/>
  <c r="G25"/>
  <c r="G24"/>
  <c r="G30" s="1"/>
  <c r="G23"/>
  <c r="G29"/>
  <c r="G27"/>
  <c r="G26"/>
  <c r="H14"/>
  <c r="G14"/>
  <c r="H13"/>
  <c r="H12"/>
  <c r="H10"/>
  <c r="H9"/>
  <c r="H8"/>
  <c r="H7"/>
  <c r="G22" s="1"/>
  <c r="H6"/>
  <c r="C30" i="9"/>
  <c r="D30"/>
  <c r="B30"/>
  <c r="D27"/>
  <c r="G10" i="12"/>
  <c r="C10"/>
  <c r="K21" i="21"/>
  <c r="K19"/>
  <c r="K17"/>
  <c r="K15"/>
  <c r="K23"/>
  <c r="K20" i="35"/>
  <c r="K18"/>
  <c r="K16"/>
  <c r="K14"/>
  <c r="I7"/>
  <c r="G7"/>
  <c r="E7"/>
  <c r="G47" i="21"/>
  <c r="E47"/>
  <c r="C33"/>
  <c r="C11"/>
  <c r="I7"/>
  <c r="G7"/>
  <c r="E7"/>
  <c r="Q73" i="69"/>
  <c r="Q60"/>
  <c r="D60"/>
  <c r="Q59"/>
  <c r="K59"/>
  <c r="P75" s="1"/>
  <c r="F58"/>
  <c r="P62" l="1"/>
  <c r="Q52"/>
  <c r="J50"/>
  <c r="J51" l="1"/>
  <c r="M47"/>
  <c r="F34" l="1"/>
  <c r="F61" s="1"/>
  <c r="F33"/>
  <c r="F60" s="1"/>
  <c r="F32"/>
  <c r="F59" s="1"/>
  <c r="F31"/>
  <c r="F28"/>
  <c r="C28" s="1"/>
  <c r="F23"/>
  <c r="D24" s="1"/>
  <c r="D23"/>
  <c r="D22"/>
  <c r="F21"/>
  <c r="M20"/>
  <c r="F20"/>
  <c r="M19"/>
  <c r="M18"/>
  <c r="F18"/>
  <c r="M17"/>
  <c r="F17" l="1"/>
  <c r="F15"/>
  <c r="G1"/>
  <c r="Q73" i="68"/>
  <c r="Q60"/>
  <c r="D60"/>
  <c r="Q59"/>
  <c r="K59"/>
  <c r="P75" s="1"/>
  <c r="F6" i="69"/>
  <c r="M6"/>
  <c r="F7"/>
  <c r="F8"/>
  <c r="M8"/>
  <c r="F9"/>
  <c r="M9"/>
  <c r="F13"/>
  <c r="C14"/>
  <c r="J15"/>
  <c r="F16"/>
  <c r="C16" s="1"/>
  <c r="M21"/>
  <c r="M22"/>
  <c r="M23"/>
  <c r="M24"/>
  <c r="F26"/>
  <c r="M26"/>
  <c r="M27"/>
  <c r="M28"/>
  <c r="M29"/>
  <c r="F35"/>
  <c r="F36"/>
  <c r="J36"/>
  <c r="F37"/>
  <c r="F38"/>
  <c r="F40"/>
  <c r="F42"/>
  <c r="F43"/>
  <c r="L47"/>
  <c r="L48"/>
  <c r="F58" i="68"/>
  <c r="C17" i="69"/>
  <c r="J53" l="1"/>
  <c r="L56"/>
  <c r="J59"/>
  <c r="J57"/>
  <c r="J55" s="1"/>
  <c r="J58" s="1"/>
  <c r="Q51" s="1"/>
  <c r="I54"/>
  <c r="J60"/>
  <c r="Q49" s="1"/>
  <c r="L59"/>
  <c r="L58"/>
  <c r="F70"/>
  <c r="F67"/>
  <c r="F65"/>
  <c r="F64"/>
  <c r="Q72"/>
  <c r="F63"/>
  <c r="F62"/>
  <c r="C61" s="1"/>
  <c r="C34"/>
  <c r="C27"/>
  <c r="J20"/>
  <c r="C18"/>
  <c r="C15"/>
  <c r="C19" s="1"/>
  <c r="F50"/>
  <c r="F49"/>
  <c r="M7"/>
  <c r="J6" s="1"/>
  <c r="C6"/>
  <c r="P62" i="68"/>
  <c r="Q52"/>
  <c r="J50"/>
  <c r="Q53" i="69" l="1"/>
  <c r="F1"/>
  <c r="C48"/>
  <c r="C20"/>
  <c r="Q74"/>
  <c r="Q61"/>
  <c r="Q75"/>
  <c r="Q62"/>
  <c r="J51" i="68"/>
  <c r="M47"/>
  <c r="C26" i="69" l="1"/>
  <c r="F34" i="68"/>
  <c r="F61" s="1"/>
  <c r="F33"/>
  <c r="F60" s="1"/>
  <c r="F32"/>
  <c r="F59" s="1"/>
  <c r="F31"/>
  <c r="F28"/>
  <c r="C28" s="1"/>
  <c r="F23"/>
  <c r="D24" s="1"/>
  <c r="D23"/>
  <c r="D22"/>
  <c r="F21"/>
  <c r="M20"/>
  <c r="F20"/>
  <c r="M19"/>
  <c r="M18"/>
  <c r="F18"/>
  <c r="M17"/>
  <c r="F17" l="1"/>
  <c r="F15"/>
  <c r="G1"/>
  <c r="C40" i="39"/>
  <c r="C13"/>
  <c r="G23" i="6"/>
  <c r="G22"/>
  <c r="F21"/>
  <c r="F20"/>
  <c r="F19"/>
  <c r="AN13" i="3"/>
  <c r="O13"/>
  <c r="K13"/>
  <c r="I13"/>
  <c r="A3"/>
  <c r="D3" i="4"/>
  <c r="F6" i="68"/>
  <c r="M6"/>
  <c r="F7"/>
  <c r="F8"/>
  <c r="M8"/>
  <c r="F9"/>
  <c r="M9"/>
  <c r="F13"/>
  <c r="C14"/>
  <c r="J15"/>
  <c r="F16"/>
  <c r="C16" s="1"/>
  <c r="M21"/>
  <c r="M22"/>
  <c r="M23"/>
  <c r="M24"/>
  <c r="F26"/>
  <c r="M26"/>
  <c r="M27"/>
  <c r="M28"/>
  <c r="M29"/>
  <c r="F35"/>
  <c r="F36"/>
  <c r="J36"/>
  <c r="F37"/>
  <c r="F38"/>
  <c r="F40"/>
  <c r="F42"/>
  <c r="F43"/>
  <c r="L47"/>
  <c r="L48"/>
  <c r="C17"/>
  <c r="J53" l="1"/>
  <c r="L56"/>
  <c r="J57"/>
  <c r="J55" s="1"/>
  <c r="J58" s="1"/>
  <c r="Q51" s="1"/>
  <c r="J60"/>
  <c r="Q49" s="1"/>
  <c r="J59"/>
  <c r="I54"/>
  <c r="L59"/>
  <c r="L58"/>
  <c r="F70"/>
  <c r="F67"/>
  <c r="F65"/>
  <c r="F64"/>
  <c r="Q72"/>
  <c r="F63"/>
  <c r="F62"/>
  <c r="C61" s="1"/>
  <c r="C34"/>
  <c r="C27"/>
  <c r="J20"/>
  <c r="C18"/>
  <c r="C15"/>
  <c r="F50"/>
  <c r="F49"/>
  <c r="M7"/>
  <c r="J6" s="1"/>
  <c r="C6"/>
  <c r="J4" i="59"/>
  <c r="K4"/>
  <c r="L4"/>
  <c r="I4"/>
  <c r="Q53" i="68" l="1"/>
  <c r="F1"/>
  <c r="C48"/>
  <c r="C19"/>
  <c r="C20" s="1"/>
  <c r="C26" s="1"/>
  <c r="Q74"/>
  <c r="Q61"/>
  <c r="Q75"/>
  <c r="Q62"/>
  <c r="Q4" i="59"/>
  <c r="F4" s="1"/>
  <c r="P4"/>
  <c r="E4" s="1"/>
  <c r="O4"/>
  <c r="C4" s="1"/>
  <c r="D4" s="1"/>
  <c r="N4"/>
  <c r="B4" s="1"/>
  <c r="I5" l="1"/>
  <c r="L5"/>
  <c r="K5"/>
  <c r="J5"/>
  <c r="N5" l="1"/>
  <c r="Q5"/>
  <c r="P5"/>
  <c r="O5"/>
  <c r="K59" i="15" l="1"/>
  <c r="P62" s="1"/>
  <c r="P75" l="1"/>
  <c r="Q74" i="44" l="1"/>
  <c r="Q61"/>
  <c r="Q60"/>
  <c r="Q53"/>
  <c r="J51"/>
  <c r="J52" s="1"/>
  <c r="M48"/>
  <c r="A16" i="55" l="1"/>
  <c r="A15"/>
  <c r="A14"/>
  <c r="A11"/>
  <c r="A10"/>
  <c r="A9"/>
  <c r="A8"/>
  <c r="A6" i="54"/>
  <c r="A8"/>
  <c r="A7"/>
  <c r="A28" i="51"/>
  <c r="A27"/>
  <c r="D5" i="46" l="1"/>
  <c r="Q6" i="59" l="1"/>
  <c r="O6"/>
  <c r="N7"/>
  <c r="O7"/>
  <c r="P7"/>
  <c r="Q7"/>
  <c r="N6"/>
  <c r="P6"/>
  <c r="B8"/>
  <c r="C8"/>
  <c r="D8" s="1"/>
  <c r="E8"/>
  <c r="F8"/>
  <c r="F8" i="67"/>
  <c r="B8"/>
  <c r="E10"/>
  <c r="B14"/>
  <c r="B10"/>
  <c r="B11"/>
  <c r="F12"/>
  <c r="B9"/>
  <c r="F9"/>
  <c r="B12"/>
  <c r="E11"/>
  <c r="F11"/>
  <c r="E12"/>
  <c r="B13"/>
  <c r="F13"/>
  <c r="F14"/>
  <c r="E14"/>
  <c r="E8"/>
  <c r="E9"/>
  <c r="E13"/>
  <c r="F10"/>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N6" i="65"/>
  <c r="I3"/>
  <c r="I5"/>
  <c r="I4"/>
  <c r="I6"/>
  <c r="J4"/>
  <c r="J5"/>
  <c r="J7"/>
  <c r="N4"/>
  <c r="N3"/>
  <c r="I7"/>
  <c r="N5"/>
  <c r="J6"/>
  <c r="J3"/>
  <c r="E20" i="46" l="1"/>
  <c r="J1" i="65"/>
  <c r="C4"/>
  <c r="B39" i="1" s="1"/>
  <c r="E3" i="65"/>
  <c r="M11" i="69" l="1"/>
  <c r="J10" s="1"/>
  <c r="J5" s="1"/>
  <c r="F11"/>
  <c r="M11" i="68"/>
  <c r="J10" s="1"/>
  <c r="J5" s="1"/>
  <c r="F11"/>
  <c r="F17" i="11"/>
  <c r="M5" i="54"/>
  <c r="A23" i="51"/>
  <c r="J26" i="69" l="1"/>
  <c r="J24"/>
  <c r="J18"/>
  <c r="C52"/>
  <c r="C47" s="1"/>
  <c r="C10"/>
  <c r="C5" s="1"/>
  <c r="J26" i="68"/>
  <c r="J24"/>
  <c r="J18"/>
  <c r="C52"/>
  <c r="C47" s="1"/>
  <c r="C10"/>
  <c r="C5" s="1"/>
  <c r="Y12" i="46"/>
  <c r="AA9"/>
  <c r="AB9"/>
  <c r="AC9"/>
  <c r="AD9"/>
  <c r="AE9"/>
  <c r="AF9"/>
  <c r="AG9"/>
  <c r="AH9"/>
  <c r="AI9"/>
  <c r="AJ9"/>
  <c r="Z9"/>
  <c r="Z10" s="1"/>
  <c r="AJ10"/>
  <c r="AI10"/>
  <c r="AH10"/>
  <c r="AG10"/>
  <c r="AF10"/>
  <c r="AE10"/>
  <c r="AD10"/>
  <c r="AC10"/>
  <c r="AB10"/>
  <c r="AA10"/>
  <c r="Y10"/>
  <c r="C65" i="69" l="1"/>
  <c r="C59"/>
  <c r="C38"/>
  <c r="C32"/>
  <c r="C65" i="68"/>
  <c r="C59"/>
  <c r="C38"/>
  <c r="C32"/>
  <c r="AJ12" i="46"/>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s="1"/>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B36"/>
  <c r="AC35"/>
  <c r="C29" i="39"/>
  <c r="C23"/>
  <c r="U36"/>
  <c r="H32" i="33"/>
  <c r="AB32" s="1"/>
  <c r="H11" i="21"/>
  <c r="U11" s="1"/>
  <c r="J11"/>
  <c r="W11"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F125" i="21"/>
  <c r="G125" s="1"/>
  <c r="G86" i="40"/>
  <c r="AB30" i="36"/>
  <c r="AC34"/>
  <c r="H29" i="35"/>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C33" i="21"/>
  <c r="AA36"/>
  <c r="S39" i="33"/>
  <c r="F43"/>
  <c r="AA43" s="1"/>
  <c r="AA23" i="37"/>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5" i="37"/>
  <c r="AA43" i="21"/>
  <c r="U43"/>
  <c r="AA13" i="40"/>
  <c r="E78"/>
  <c r="F78" s="1"/>
  <c r="G78" s="1"/>
  <c r="H78" s="1"/>
  <c r="I78" s="1"/>
  <c r="J78" s="1"/>
  <c r="K78" s="1"/>
  <c r="L78" s="1"/>
  <c r="M78" s="1"/>
  <c r="BH5" i="3"/>
  <c r="R16" i="4"/>
  <c r="P16"/>
  <c r="D3" i="35"/>
  <c r="G4" i="4"/>
  <c r="S37" i="34"/>
  <c r="J16" i="35"/>
  <c r="W16" s="1"/>
  <c r="U42" i="21"/>
  <c r="AC26" i="36"/>
  <c r="W25" i="35"/>
  <c r="AZ300" i="3"/>
  <c r="AZ354"/>
  <c r="AZ322"/>
  <c r="H13" i="39"/>
  <c r="AB13" s="1"/>
  <c r="F13"/>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F96" i="37"/>
  <c r="H32"/>
  <c r="AB32" s="1"/>
  <c r="F19" i="39"/>
  <c r="S19" s="1"/>
  <c r="H19"/>
  <c r="U19" s="1"/>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c r="BL570"/>
  <c r="AZ570"/>
  <c r="BE5"/>
  <c r="F42" i="21"/>
  <c r="AA42" s="1"/>
  <c r="AB40" i="33"/>
  <c r="U40"/>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33"/>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W14" i="39"/>
  <c r="U23" i="35"/>
  <c r="AB23"/>
  <c r="H20"/>
  <c r="AB20" s="1"/>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33" i="36"/>
  <c r="AA11"/>
  <c r="S14" i="35"/>
  <c r="G99" i="37"/>
  <c r="F33" s="1"/>
  <c r="AB19" i="39"/>
  <c r="U46" i="34"/>
  <c r="AC30"/>
  <c r="AA14"/>
  <c r="W12"/>
  <c r="U29" i="33"/>
  <c r="AC13"/>
  <c r="U17" i="34"/>
  <c r="AA11"/>
  <c r="W32" i="33"/>
  <c r="H15"/>
  <c r="U15" s="1"/>
  <c r="AA11"/>
  <c r="U17" i="21"/>
  <c r="S13" i="39"/>
  <c r="AA13"/>
  <c r="U16" i="40"/>
  <c r="W34"/>
  <c r="AB34"/>
  <c r="AB42"/>
  <c r="U42"/>
  <c r="AC16"/>
  <c r="W32"/>
  <c r="H25"/>
  <c r="AB25" s="1"/>
  <c r="F94"/>
  <c r="G94" s="1"/>
  <c r="U47" i="39"/>
  <c r="W15"/>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AA33"/>
  <c r="S33"/>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AB11" i="35"/>
  <c r="S46" i="34"/>
  <c r="U32"/>
  <c r="U14"/>
  <c r="AC14"/>
  <c r="U12"/>
  <c r="AB13" i="33"/>
  <c r="G80" i="34"/>
  <c r="F17"/>
  <c r="AA17" s="1"/>
  <c r="J17"/>
  <c r="AC17" s="1"/>
  <c r="H11"/>
  <c r="AB11" s="1"/>
  <c r="J35" i="33"/>
  <c r="W35" s="1"/>
  <c r="S32"/>
  <c r="AC15"/>
  <c r="H11"/>
  <c r="U11" s="1"/>
  <c r="H10"/>
  <c r="U10" s="1"/>
  <c r="I66"/>
  <c r="J10"/>
  <c r="AC10" s="1"/>
  <c r="U11" i="37"/>
  <c r="U13" i="39"/>
  <c r="AC16" i="35"/>
  <c r="AC13" i="40"/>
  <c r="J11" i="34"/>
  <c r="W11" s="1"/>
  <c r="S17"/>
  <c r="AC36" i="33"/>
  <c r="F25" i="40"/>
  <c r="AA25" s="1"/>
  <c r="J11" i="33"/>
  <c r="W11" s="1"/>
  <c r="H33" i="37"/>
  <c r="AB33" s="1"/>
  <c r="W15" i="34"/>
  <c r="AC15"/>
  <c r="W23" i="40"/>
  <c r="D73" i="9"/>
  <c r="N73" s="1"/>
  <c r="AP11" i="1"/>
  <c r="J51" i="15"/>
  <c r="B11" i="1"/>
  <c r="E11" s="1"/>
  <c r="K11"/>
  <c r="M11" s="1"/>
  <c r="B9"/>
  <c r="E9" s="1"/>
  <c r="K9"/>
  <c r="M9" s="1"/>
  <c r="B7"/>
  <c r="E7" s="1"/>
  <c r="K7"/>
  <c r="M7" s="1"/>
  <c r="O7" s="1"/>
  <c r="P7" s="1"/>
  <c r="C20" i="43"/>
  <c r="AE9" i="1"/>
  <c r="F41" i="69"/>
  <c r="E2" i="65"/>
  <c r="S22" i="35" l="1"/>
  <c r="U20"/>
  <c r="AB16"/>
  <c r="S10"/>
  <c r="U40" i="21"/>
  <c r="AC40"/>
  <c r="AA38"/>
  <c r="W42"/>
  <c r="AA40"/>
  <c r="U19"/>
  <c r="S19"/>
  <c r="S10"/>
  <c r="W9"/>
  <c r="AA9"/>
  <c r="U9"/>
  <c r="F68" i="69"/>
  <c r="J29"/>
  <c r="A30" i="51"/>
  <c r="A30" i="64"/>
  <c r="AB44" i="39"/>
  <c r="H42"/>
  <c r="AB42" s="1"/>
  <c r="J42"/>
  <c r="AC42" s="1"/>
  <c r="F42"/>
  <c r="W43"/>
  <c r="U34"/>
  <c r="W33"/>
  <c r="AB29"/>
  <c r="U27"/>
  <c r="W27"/>
  <c r="AB25"/>
  <c r="S23"/>
  <c r="F95"/>
  <c r="G95" s="1"/>
  <c r="F21"/>
  <c r="S21" s="1"/>
  <c r="J21"/>
  <c r="W21" s="1"/>
  <c r="H21"/>
  <c r="U21" s="1"/>
  <c r="AB17"/>
  <c r="S17"/>
  <c r="AB1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16"/>
  <c r="F15" i="44"/>
  <c r="M11"/>
  <c r="F38"/>
  <c r="L49"/>
  <c r="F38" i="15"/>
  <c r="F11" i="44"/>
  <c r="F8" i="15"/>
  <c r="M8"/>
  <c r="M6"/>
  <c r="J15"/>
  <c r="L48"/>
  <c r="F43" i="44"/>
  <c r="M22" i="15"/>
  <c r="M8" i="44"/>
  <c r="F37" i="15"/>
  <c r="L48" i="44"/>
  <c r="F36" i="15"/>
  <c r="F8" i="44"/>
  <c r="F40" i="15"/>
  <c r="F28" i="44"/>
  <c r="J17"/>
  <c r="M26" i="15"/>
  <c r="F10" i="44"/>
  <c r="F42" i="15"/>
  <c r="M23"/>
  <c r="F39" i="44"/>
  <c r="M28"/>
  <c r="F9"/>
  <c r="M29"/>
  <c r="F13" i="15"/>
  <c r="M30" i="44"/>
  <c r="F40"/>
  <c r="L47" i="15"/>
  <c r="M26" i="44"/>
  <c r="M24" i="15"/>
  <c r="M31" i="44"/>
  <c r="M28" i="15"/>
  <c r="F6"/>
  <c r="F26"/>
  <c r="M9"/>
  <c r="F45" i="44"/>
  <c r="M24"/>
  <c r="J36" i="15"/>
  <c r="F7"/>
  <c r="M10" i="44"/>
  <c r="F9" i="15"/>
  <c r="M25" i="44"/>
  <c r="M27" i="15"/>
  <c r="M29"/>
  <c r="F18" i="44"/>
  <c r="F43" i="15"/>
  <c r="AC23" i="21" l="1"/>
  <c r="F24" i="68"/>
  <c r="C23" s="1"/>
  <c r="F24" i="69"/>
  <c r="C24" i="68"/>
  <c r="AA42" i="39"/>
  <c r="S42"/>
  <c r="AB21"/>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6" i="1"/>
  <c r="AE8"/>
  <c r="F41" i="68" s="1"/>
  <c r="AE7" i="1"/>
  <c r="F33" i="44"/>
  <c r="F58" i="15"/>
  <c r="F31"/>
  <c r="M19" i="44"/>
  <c r="M17" i="15"/>
  <c r="F41"/>
  <c r="C18" i="44"/>
  <c r="C16" i="15"/>
  <c r="F46" i="44"/>
  <c r="F68" i="68" l="1"/>
  <c r="J29"/>
  <c r="C24" i="69"/>
  <c r="C23"/>
  <c r="C29" i="68"/>
  <c r="C56" s="1"/>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L52" i="44"/>
  <c r="F7" i="67"/>
  <c r="C13" i="68" l="1"/>
  <c r="Q71" s="1"/>
  <c r="J14"/>
  <c r="J13" s="1"/>
  <c r="J23" s="1"/>
  <c r="J19"/>
  <c r="J17" s="1"/>
  <c r="C33"/>
  <c r="C31" s="1"/>
  <c r="Q50"/>
  <c r="C36"/>
  <c r="C29" i="69"/>
  <c r="C55" i="68"/>
  <c r="C64" s="1"/>
  <c r="J35"/>
  <c r="C63"/>
  <c r="C60"/>
  <c r="C58" s="1"/>
  <c r="J22"/>
  <c r="M23" i="6"/>
  <c r="I23" s="1"/>
  <c r="S23" s="1"/>
  <c r="S10" i="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AC7" i="21"/>
  <c r="V48" s="1"/>
  <c r="I48" s="1"/>
  <c r="W7"/>
  <c r="U7"/>
  <c r="AB7"/>
  <c r="T48" s="1"/>
  <c r="G48" s="1"/>
  <c r="S7"/>
  <c r="AA7"/>
  <c r="R48" s="1"/>
  <c r="F72" i="39"/>
  <c r="G70"/>
  <c r="F67" i="40"/>
  <c r="G65"/>
  <c r="J24" i="15"/>
  <c r="C32"/>
  <c r="C38"/>
  <c r="J20" i="44"/>
  <c r="J26"/>
  <c r="B3" i="11"/>
  <c r="C19" i="44"/>
  <c r="C17" i="15"/>
  <c r="E7" i="67"/>
  <c r="C57" i="68" l="1"/>
  <c r="C66" s="1"/>
  <c r="C67" s="1"/>
  <c r="C37"/>
  <c r="C30" s="1"/>
  <c r="C39" s="1"/>
  <c r="C40" s="1"/>
  <c r="C56" i="69"/>
  <c r="Q50"/>
  <c r="C36"/>
  <c r="C33"/>
  <c r="C31" s="1"/>
  <c r="J19"/>
  <c r="J17" s="1"/>
  <c r="J14"/>
  <c r="C13"/>
  <c r="J16" i="68"/>
  <c r="J25" s="1"/>
  <c r="L57"/>
  <c r="L60" s="1"/>
  <c r="L46" s="1"/>
  <c r="Q70"/>
  <c r="Q69" s="1"/>
  <c r="C70"/>
  <c r="J39"/>
  <c r="J40"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L51" i="68"/>
  <c r="B7" i="67"/>
  <c r="C46" i="68" l="1"/>
  <c r="Q68"/>
  <c r="Q71" i="69"/>
  <c r="C55"/>
  <c r="C64" s="1"/>
  <c r="C37"/>
  <c r="J35"/>
  <c r="C63"/>
  <c r="C60"/>
  <c r="C58" s="1"/>
  <c r="J22"/>
  <c r="J13"/>
  <c r="J23" s="1"/>
  <c r="C30"/>
  <c r="C39" s="1"/>
  <c r="Q66" i="68"/>
  <c r="Q57"/>
  <c r="Q48"/>
  <c r="Q54" s="1"/>
  <c r="C43"/>
  <c r="B2"/>
  <c r="J42"/>
  <c r="J43" s="1"/>
  <c r="Q67"/>
  <c r="Q58"/>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D20"/>
  <c r="D15"/>
  <c r="D8"/>
  <c r="H26"/>
  <c r="H23"/>
  <c r="B4" i="11"/>
  <c r="B5"/>
  <c r="E53" i="21"/>
  <c r="F53" s="1"/>
  <c r="E52"/>
  <c r="F52" s="1"/>
  <c r="C48"/>
  <c r="C49"/>
  <c r="B3" s="1"/>
  <c r="B2" s="1"/>
  <c r="I53"/>
  <c r="J53" s="1"/>
  <c r="I70" i="39"/>
  <c r="H72"/>
  <c r="I65" i="40"/>
  <c r="H67"/>
  <c r="L51" i="69"/>
  <c r="C16" i="44"/>
  <c r="C14" i="15"/>
  <c r="B3" i="68" l="1"/>
  <c r="E8" i="12" s="1"/>
  <c r="E10"/>
  <c r="C57" i="69"/>
  <c r="C66" s="1"/>
  <c r="C67" s="1"/>
  <c r="J16"/>
  <c r="J25" s="1"/>
  <c r="Q68"/>
  <c r="L57"/>
  <c r="L60" s="1"/>
  <c r="L46" s="1"/>
  <c r="Q70"/>
  <c r="Q69" s="1"/>
  <c r="C40"/>
  <c r="C70"/>
  <c r="J39"/>
  <c r="J40" s="1"/>
  <c r="Q76" i="68"/>
  <c r="Q63"/>
  <c r="C18" i="15"/>
  <c r="C15"/>
  <c r="C20" i="44"/>
  <c r="C17"/>
  <c r="B3" i="67"/>
  <c r="B4"/>
  <c r="T16" i="1"/>
  <c r="C17" i="12"/>
  <c r="C14"/>
  <c r="H27" i="6"/>
  <c r="R20"/>
  <c r="R7" i="1" s="1"/>
  <c r="R24" i="6"/>
  <c r="D16"/>
  <c r="D30"/>
  <c r="R23"/>
  <c r="R10" i="1" s="1"/>
  <c r="R25" i="6"/>
  <c r="R21"/>
  <c r="R8" i="1" s="1"/>
  <c r="R19" i="6"/>
  <c r="R6" i="1" s="1"/>
  <c r="D27" i="6"/>
  <c r="A6" i="51"/>
  <c r="B7" i="63" s="1"/>
  <c r="A20" i="64"/>
  <c r="A6"/>
  <c r="A20" i="51"/>
  <c r="B15" i="63" s="1"/>
  <c r="N5" i="54"/>
  <c r="B43" i="63" s="1"/>
  <c r="R26" i="6"/>
  <c r="C17" i="43"/>
  <c r="C14"/>
  <c r="J65" i="40"/>
  <c r="I67"/>
  <c r="J70" i="39"/>
  <c r="I72"/>
  <c r="C47" i="15"/>
  <c r="M21"/>
  <c r="F35"/>
  <c r="M23" i="44"/>
  <c r="F37"/>
  <c r="C46" i="69" l="1"/>
  <c r="Q66"/>
  <c r="Q57"/>
  <c r="Q48"/>
  <c r="Q54" s="1"/>
  <c r="C43"/>
  <c r="B2"/>
  <c r="J42"/>
  <c r="J43" s="1"/>
  <c r="Q58"/>
  <c r="Q67"/>
  <c r="R9" i="1"/>
  <c r="R16" s="1"/>
  <c r="C21" i="44"/>
  <c r="C22" s="1"/>
  <c r="C25" s="1"/>
  <c r="C19" i="15"/>
  <c r="C20" s="1"/>
  <c r="C23" s="1"/>
  <c r="J20"/>
  <c r="C36" i="44"/>
  <c r="C34" i="15"/>
  <c r="F62"/>
  <c r="C61" s="1"/>
  <c r="J22" i="44"/>
  <c r="C18" i="12"/>
  <c r="D31" i="6"/>
  <c r="I6" s="1"/>
  <c r="R27"/>
  <c r="C18" i="43"/>
  <c r="K70" i="39"/>
  <c r="J72"/>
  <c r="K65" i="40"/>
  <c r="J67"/>
  <c r="C65" i="15"/>
  <c r="C59"/>
  <c r="B3" i="69" l="1"/>
  <c r="F8" i="12" s="1"/>
  <c r="F10"/>
  <c r="Q76" i="69"/>
  <c r="Q63"/>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28" i="12" l="1"/>
  <c r="C26" s="1"/>
  <c r="C31" s="1"/>
  <c r="C30" s="1"/>
  <c r="C36" s="1"/>
  <c r="B2" s="1"/>
  <c r="C35"/>
  <c r="C33" s="1"/>
  <c r="L43" i="9"/>
  <c r="B3" i="40"/>
  <c r="B4"/>
  <c r="B5"/>
  <c r="B3" i="39"/>
  <c r="B4"/>
  <c r="B5"/>
  <c r="D19" i="9"/>
  <c r="C21"/>
  <c r="C20"/>
  <c r="L44" l="1"/>
  <c r="G19"/>
  <c r="C32" s="1"/>
  <c r="D22"/>
  <c r="B4" i="12"/>
  <c r="B5"/>
  <c r="B3"/>
  <c r="C45" i="9"/>
  <c r="H14" i="66" s="1"/>
  <c r="B7" s="1"/>
  <c r="G22" i="9"/>
  <c r="N43"/>
  <c r="D21"/>
  <c r="D20"/>
  <c r="G20" l="1"/>
  <c r="G21"/>
  <c r="D7" i="66"/>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B2" i="35" l="1"/>
  <c r="B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<sst xmlns="http://schemas.openxmlformats.org/spreadsheetml/2006/main" count="7975" uniqueCount="3164">
  <si>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</si>
  <si>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</si>
  <si>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</si>
  <si>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</si>
  <si>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</si>
  <si>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</si>
  <si>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</si>
  <si>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</si>
  <si>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</si>
  <si>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</si>
  <si>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</si>
  <si>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</si>
  <si>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</si>
  <si>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</si>
  <si>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</si>
  <si>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</si>
  <si>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</si>
  <si>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</si>
  <si>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</si>
  <si>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</si>
  <si>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</si>
  <si>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</si>
  <si>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</si>
  <si>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</si>
  <si>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</si>
  <si>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</si>
  <si>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</si>
  <si>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</si>
  <si>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</si>
  <si>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</si>
  <si>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</si>
  <si>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</si>
  <si>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</si>
  <si>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</si>
  <si>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</si>
  <si>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</si>
  <si>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</si>
  <si>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</si>
  <si>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</si>
  <si>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</si>
  <si>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</si>
  <si>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</si>
  <si>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</si>
  <si>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</si>
  <si>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</si>
  <si>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</si>
  <si>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</si>
  <si>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</si>
  <si>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</si>
  <si>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</si>
  <si>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</si>
  <si>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</si>
  <si>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</si>
  <si>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</si>
  <si>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</si>
  <si>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</si>
  <si>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</si>
  <si>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</si>
  <si>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</si>
  <si>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</si>
  <si>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</si>
  <si>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</si>
  <si>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</si>
  <si>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</si>
  <si>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</si>
  <si>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</si>
  <si>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</si>
  <si>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</si>
  <si>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</si>
  <si>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</si>
  <si>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</si>
  <si>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</si>
  <si>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</si>
  <si>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</si>
  <si>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</si>
  <si>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</si>
  <si>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</si>
  <si>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</si>
  <si>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</si>
  <si>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</si>
  <si>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</si>
  <si>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</si>
  <si>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</si>
  <si>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</si>
  <si>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</si>
  <si>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</si>
  <si>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</si>
  <si>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</si>
  <si>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</si>
  <si>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</si>
  <si>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</si>
  <si>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</si>
  <si>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</si>
  <si>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</si>
  <si>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</si>
  <si>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</si>
  <si>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</si>
  <si>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</si>
  <si>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</si>
  <si>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</si>
  <si>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</si>
  <si>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</si>
  <si>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</si>
  <si>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</si>
  <si>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</si>
  <si>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</si>
  <si>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</si>
  <si>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</si>
  <si>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</si>
  <si>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</si>
  <si>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</si>
  <si>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</si>
  <si>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</si>
  <si>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</si>
  <si>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</si>
  <si>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</si>
  <si>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</si>
  <si>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</si>
  <si>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</si>
  <si>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</si>
  <si>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</si>
  <si>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</si>
  <si>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</si>
  <si>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</si>
  <si>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</si>
  <si>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</si>
  <si>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</si>
  <si>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</si>
  <si>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</si>
  <si>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</si>
  <si>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</si>
  <si>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</si>
  <si>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</si>
  <si>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</si>
  <si>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</si>
  <si>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</si>
  <si>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</si>
  <si>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</si>
  <si>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</si>
  <si>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</si>
  <si>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</si>
  <si>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</si>
  <si>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</si>
  <si>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</si>
  <si>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</si>
  <si>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</si>
  <si>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</si>
  <si>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</si>
  <si>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</si>
  <si>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</si>
  <si>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</si>
  <si>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</si>
  <si>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</si>
  <si>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</si>
  <si>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</si>
  <si>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</si>
  <si>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</si>
  <si>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</si>
  <si>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</si>
  <si>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</si>
  <si>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</si>
  <si>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</si>
  <si>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</si>
  <si>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</si>
  <si>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</si>
  <si>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</si>
  <si>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</si>
  <si>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</si>
  <si>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</si>
  <si>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</si>
  <si>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</si>
  <si>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</si>
  <si>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</si>
  <si>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</si>
  <si>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</si>
  <si>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</si>
  <si>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</si>
  <si>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</si>
  <si>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</si>
  <si>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</si>
  <si>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</si>
  <si>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</si>
  <si>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</si>
  <si>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</si>
  <si>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</si>
  <si>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</si>
  <si>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</si>
  <si>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</si>
  <si>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</si>
  <si>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</si>
  <si>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</si>
  <si>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</si>
  <si>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</si>
  <si>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</si>
  <si>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</si>
  <si>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</si>
  <si>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</si>
  <si>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</si>
  <si>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</si>
  <si>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</si>
  <si>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</si>
  <si>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</si>
  <si>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</si>
  <si>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</si>
  <si>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</si>
  <si>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</si>
  <si>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</si>
  <si>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</si>
  <si>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</si>
  <si>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</si>
  <si>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</si>
  <si>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</si>
  <si>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</si>
  <si>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</si>
  <si>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</si>
  <si>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</si>
  <si>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</si>
  <si>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</si>
  <si>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</si>
  <si>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</si>
  <si>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</si>
  <si>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</si>
  <si>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</si>
  <si>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</si>
  <si>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</si>
  <si>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</si>
  <si>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</si>
  <si>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</si>
  <si>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</si>
  <si>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</si>
  <si>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</si>
  <si>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</si>
  <si>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</si>
  <si>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</si>
  <si>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</si>
  <si>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</si>
  <si>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</si>
  <si>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</si>
  <si>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</si>
  <si>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</si>
  <si>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</si>
  <si>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</si>
  <si>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</si>
  <si>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</si>
  <si>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</si>
  <si>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</si>
  <si>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</si>
  <si>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</si>
  <si>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</si>
  <si>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</si>
  <si>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</si>
  <si>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</si>
  <si>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</si>
  <si>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</si>
  <si>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</si>
  <si>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</si>
  <si>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</si>
  <si>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</si>
  <si>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</si>
  <si>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</si>
  <si>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</si>
  <si>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</si>
  <si>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</si>
  <si>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</si>
  <si>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</si>
  <si>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</si>
  <si>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</si>
  <si>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</si>
  <si>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</si>
  <si>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</si>
  <si>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</si>
  <si>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</si>
  <si>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</si>
  <si>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</si>
  <si>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</si>
  <si>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</si>
  <si>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</si>
  <si>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</si>
  <si>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</si>
  <si>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</si>
  <si>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</si>
  <si>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</si>
  <si>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</si>
  <si>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</si>
  <si>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</si>
  <si>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</si>
  <si>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</si>
  <si>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</si>
  <si>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</si>
  <si>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</si>
  <si>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</si>
  <si>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</si>
  <si>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</si>
  <si>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</si>
  <si>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</si>
  <si>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</si>
  <si>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</si>
  <si>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</si>
  <si>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</si>
  <si>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</si>
  <si>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</si>
  <si>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</si>
  <si>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</si>
  <si>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</si>
  <si>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</si>
  <si>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</si>
  <si>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</si>
  <si>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</si>
  <si>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</si>
  <si>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</si>
  <si>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</si>
  <si>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</si>
  <si>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</si>
  <si>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</si>
  <si>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</si>
  <si>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</si>
  <si>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</si>
  <si>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</si>
  <si>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</si>
  <si>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</si>
  <si>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</si>
  <si>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</si>
  <si>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</si>
  <si>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</si>
  <si>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</si>
  <si>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</si>
  <si>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</si>
  <si>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</si>
  <si>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</si>
  <si>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</si>
  <si>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</si>
  <si>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</si>
  <si>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</si>
  <si>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</si>
  <si>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</si>
  <si>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</si>
  <si>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</si>
  <si>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</si>
  <si>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</si>
  <si>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</si>
  <si>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</si>
  <si>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</si>
  <si>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</si>
  <si>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</si>
  <si>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</si>
  <si>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</si>
  <si>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</si>
  <si>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</si>
  <si>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</si>
  <si>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</si>
  <si>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</si>
  <si>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</si>
  <si>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</si>
  <si>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</si>
  <si>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</si>
  <si>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</si>
  <si>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</si>
  <si>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</si>
  <si>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</si>
  <si>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</si>
  <si>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</si>
  <si>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</si>
  <si>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</si>
  <si>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</si>
  <si>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</si>
  <si>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</si>
  <si>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</si>
  <si>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</si>
  <si>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</si>
  <si>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</si>
  <si>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</si>
  <si>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</si>
  <si>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</si>
  <si>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</si>
  <si>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</si>
  <si>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</si>
  <si>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</si>
  <si>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</si>
  <si>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</si>
  <si>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</si>
  <si>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</si>
  <si>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</si>
  <si>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</si>
  <si>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</si>
  <si>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</si>
  <si>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</si>
  <si>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</si>
  <si>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</si>
  <si>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</si>
  <si>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</si>
  <si>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</si>
  <si>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</si>
  <si>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</si>
  <si>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</si>
  <si>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</si>
  <si>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</si>
  <si>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</si>
  <si>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</si>
  <si>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</si>
  <si>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</si>
  <si>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</si>
  <si>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</si>
  <si>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</si>
  <si>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</si>
  <si>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</si>
  <si>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</si>
  <si>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</si>
  <si>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</si>
  <si>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</si>
  <si>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</si>
  <si>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</si>
  <si>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</si>
  <si>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</si>
  <si>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</si>
  <si>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</si>
  <si>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</si>
  <si>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</si>
  <si>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</si>
  <si>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</si>
  <si>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</si>
  <si>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</si>
  <si>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</si>
  <si>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</si>
  <si>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</si>
  <si>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</si>
  <si>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</si>
  <si>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</si>
  <si>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</si>
  <si>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</si>
  <si>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</si>
  <si>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</si>
  <si>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</si>
  <si>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</si>
  <si>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</si>
  <si>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</si>
  <si>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</si>
  <si>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</si>
  <si>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</si>
  <si>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</si>
  <si>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</si>
  <si>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</si>
  <si>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</si>
  <si>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</si>
  <si>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</si>
  <si>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</si>
  <si>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</si>
  <si>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</si>
  <si>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</si>
  <si>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</si>
  <si>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</si>
  <si>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</si>
  <si>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</si>
  <si>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</si>
  <si>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</si>
  <si>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</si>
  <si>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</si>
  <si>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</si>
  <si>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</si>
  <si>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</si>
  <si>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</si>
  <si>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</si>
  <si>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</si>
  <si>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</si>
  <si>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</si>
  <si>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</si>
  <si>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</si>
  <si>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</si>
  <si>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</si>
  <si>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</si>
  <si>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</si>
  <si>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</si>
  <si>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</si>
  <si>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</si>
  <si>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</si>
  <si>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</si>
  <si>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</si>
  <si>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</si>
  <si>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</si>
  <si>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</si>
  <si>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</si>
  <si>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</si>
  <si>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</si>
  <si>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</si>
  <si>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</si>
  <si>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</si>
  <si>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</si>
  <si>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</si>
  <si>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</si>
  <si>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</si>
  <si>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</si>
  <si>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</si>
  <si>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</si>
  <si>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</si>
  <si>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</si>
  <si>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</si>
  <si>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</si>
  <si>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</si>
  <si>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</si>
  <si>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</si>
  <si>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</si>
  <si>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</si>
  <si>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</si>
  <si>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</si>
  <si>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</si>
  <si>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</si>
  <si>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</si>
  <si>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</si>
  <si>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</si>
  <si>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</si>
  <si>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</si>
  <si>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</si>
  <si>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</si>
  <si>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</si>
  <si>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</si>
  <si>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</si>
  <si>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</si>
  <si>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</si>
  <si>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</si>
  <si>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</si>
  <si>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</si>
  <si>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</si>
  <si>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</si>
  <si>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</si>
  <si>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</si>
  <si>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</si>
  <si>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</si>
  <si>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</si>
  <si>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</si>
  <si>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</si>
  <si>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</si>
  <si>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</si>
  <si>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</si>
  <si>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</si>
  <si>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</si>
  <si>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</si>
  <si>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</si>
  <si>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</si>
  <si>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</si>
  <si>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</si>
  <si>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</si>
  <si>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</si>
  <si>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</si>
  <si>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</si>
  <si>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</si>
  <si>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</si>
  <si>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</si>
  <si>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</si>
  <si>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</si>
  <si>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</si>
  <si>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</si>
  <si>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</si>
  <si>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</si>
  <si>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</si>
  <si>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</si>
  <si>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</si>
  <si>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</si>
  <si>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</si>
  <si>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</si>
  <si>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</si>
  <si>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</si>
  <si>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</si>
  <si>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</si>
  <si>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</si>
  <si>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</si>
  <si>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</si>
  <si>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</si>
  <si>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</si>
  <si>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</si>
  <si>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</si>
  <si>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</si>
  <si>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</si>
  <si>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</si>
  <si>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</si>
  <si>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</si>
  <si>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</si>
  <si>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</si>
  <si>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</si>
  <si>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</si>
  <si>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</si>
  <si>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</si>
  <si>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</si>
  <si>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</si>
  <si>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</si>
  <si>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</si>
  <si>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</si>
  <si>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</si>
  <si>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</si>
  <si>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</si>
  <si>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</si>
  <si>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</si>
  <si>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</si>
  <si>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</si>
  <si>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</si>
  <si>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</si>
  <si>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</si>
  <si>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</si>
  <si>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</si>
  <si>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</si>
  <si>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</si>
  <si>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</si>
  <si>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</si>
  <si>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</si>
  <si>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</si>
  <si>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</si>
  <si>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</si>
  <si>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</si>
  <si>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</si>
  <si>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</si>
  <si>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</si>
  <si>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</si>
  <si>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</si>
  <si>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</si>
  <si>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</si>
  <si>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</si>
  <si>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</si>
  <si>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</si>
  <si>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</si>
  <si>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</si>
  <si>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</si>
  <si>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</si>
  <si>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</si>
  <si>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</si>
  <si>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</si>
  <si>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</si>
  <si>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</si>
  <si>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</si>
  <si>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</si>
  <si>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</si>
  <si>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</si>
  <si>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</si>
  <si>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</si>
  <si>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</si>
  <si>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</si>
  <si>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</si>
  <si>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</si>
  <si>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</si>
  <si>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</si>
  <si>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</si>
  <si>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</si>
  <si>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</si>
  <si>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</si>
  <si>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</si>
  <si>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</si>
  <si>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</si>
  <si>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</si>
  <si>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</si>
  <si>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</si>
  <si>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</si>
  <si>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</si>
  <si>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</si>
  <si>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</si>
  <si>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</si>
  <si>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</si>
  <si>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</si>
  <si>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</si>
  <si>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</si>
  <si>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</si>
  <si>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</si>
  <si>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</si>
  <si>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</si>
  <si>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</si>
  <si>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</si>
  <si>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</si>
  <si>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</si>
  <si>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</si>
  <si>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</si>
  <si>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</si>
  <si>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</si>
  <si>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</si>
  <si>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</si>
  <si>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</si>
  <si>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</si>
  <si>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</si>
  <si>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</si>
  <si>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</si>
  <si>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</si>
  <si>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</si>
  <si>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</si>
  <si>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</si>
  <si>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</si>
  <si>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</si>
  <si>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</si>
  <si>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</si>
  <si>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</si>
  <si>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</si>
  <si>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</si>
  <si>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</si>
  <si>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</si>
  <si>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</si>
  <si>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</si>
  <si>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</si>
  <si>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</si>
  <si>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</si>
  <si>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</si>
  <si>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</si>
  <si>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</si>
  <si>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</si>
  <si>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</si>
  <si>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</si>
  <si>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</si>
  <si>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</si>
  <si>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</si>
  <si>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</si>
  <si>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</si>
  <si>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</si>
  <si>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</si>
  <si>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</si>
  <si>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</si>
  <si>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</si>
  <si>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</si>
  <si>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</si>
  <si>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</si>
  <si>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</si>
  <si>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</si>
  <si>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</si>
  <si>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</si>
  <si>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</si>
  <si>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</si>
  <si>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</si>
  <si>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</si>
  <si>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</si>
  <si>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</si>
  <si>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</si>
  <si>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</si>
  <si>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</si>
  <si>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</si>
  <si>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</si>
  <si>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</si>
  <si>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</si>
  <si>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</si>
  <si>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</si>
  <si>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</si>
  <si>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</si>
  <si>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</si>
  <si>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</si>
  <si>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</si>
  <si>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</si>
  <si>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</si>
  <si>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</si>
  <si>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</si>
  <si>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</si>
  <si>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</si>
  <si>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</si>
  <si>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</si>
  <si>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</si>
  <si>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</si>
  <si>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</si>
  <si>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</si>
  <si>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</si>
  <si>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</si>
  <si>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</si>
  <si>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</si>
  <si>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</si>
  <si>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</si>
  <si>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</si>
  <si>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</si>
  <si>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</si>
  <si>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</si>
  <si>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</si>
  <si>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</si>
  <si>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</si>
  <si>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</si>
  <si>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</si>
  <si>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</si>
  <si>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</si>
  <si>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</si>
  <si>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</si>
  <si>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</si>
  <si>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</si>
  <si>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</si>
  <si>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</si>
  <si>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</si>
  <si>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</si>
  <si>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</si>
  <si>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</si>
  <si>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</si>
  <si>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</si>
  <si>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</si>
  <si>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</si>
  <si>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</si>
  <si>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</si>
  <si>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</si>
  <si>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</si>
  <si>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</si>
  <si>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</si>
  <si>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</si>
  <si>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</si>
  <si>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</si>
  <si>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</si>
  <si>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</si>
  <si>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</si>
  <si>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</si>
  <si>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</si>
  <si>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</si>
  <si>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</si>
  <si>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</si>
  <si>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</si>
  <si>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</si>
  <si>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</si>
  <si>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</si>
  <si>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</si>
  <si>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</si>
  <si>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</si>
  <si>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</si>
  <si>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</si>
  <si>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</si>
  <si>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</si>
  <si>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</si>
  <si>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</si>
  <si>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</si>
  <si>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</si>
  <si>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</si>
  <si>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</si>
  <si>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</si>
  <si>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</si>
  <si>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</si>
  <si>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</si>
  <si>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</si>
  <si>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</si>
  <si>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</si>
  <si>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</si>
  <si>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</si>
  <si>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</si>
  <si>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</si>
  <si>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</si>
  <si>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</si>
  <si>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</si>
  <si>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</si>
  <si>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</si>
  <si>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</si>
  <si>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</si>
  <si>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</si>
  <si>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</si>
  <si>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</si>
  <si>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</si>
  <si>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</si>
  <si>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</si>
  <si>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</si>
  <si>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</si>
  <si>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</si>
  <si>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</si>
  <si>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</si>
  <si>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</si>
  <si>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</si>
  <si>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</si>
  <si>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</si>
  <si>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</si>
  <si>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</si>
  <si>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</si>
  <si>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</si>
  <si>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</si>
  <si>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</si>
  <si>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</si>
  <si>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</si>
  <si>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</si>
  <si>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</si>
  <si>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</si>
  <si>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</si>
  <si>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</si>
  <si>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</si>
  <si>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</si>
  <si>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</si>
  <si>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</si>
  <si>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</si>
  <si>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</si>
  <si>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</si>
  <si>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</si>
  <si>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</si>
  <si>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</si>
  <si>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</si>
  <si>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</si>
  <si>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</si>
  <si>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</si>
  <si>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</si>
  <si>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</si>
  <si>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</si>
  <si>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</si>
  <si>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</si>
  <si>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</si>
  <si>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</si>
  <si>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</si>
  <si>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</si>
  <si>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</si>
  <si>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</si>
  <si>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</si>
  <si>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</si>
  <si>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</si>
  <si>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</si>
  <si>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</si>
  <si>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</si>
  <si>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</si>
  <si>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</si>
  <si>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</si>
  <si>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</si>
  <si>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</si>
  <si>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</si>
  <si>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</si>
  <si>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</si>
  <si>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</si>
  <si>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</si>
  <si>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</si>
  <si>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</si>
  <si>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</si>
  <si>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</si>
  <si>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</si>
  <si>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</si>
  <si>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</si>
  <si>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</si>
  <si>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</si>
  <si>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</si>
  <si>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</si>
  <si>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</si>
  <si>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</si>
  <si>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</si>
  <si>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</si>
  <si>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</si>
  <si>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</si>
  <si>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</si>
  <si>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</si>
  <si>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</si>
  <si>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</si>
  <si>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</si>
  <si>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</si>
  <si>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</si>
  <si>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</si>
  <si>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</si>
  <si>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</si>
  <si>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</si>
  <si>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</si>
  <si>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</si>
  <si>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</si>
  <si>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</si>
  <si>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</si>
  <si>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</si>
  <si>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</si>
  <si>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</si>
  <si>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</si>
  <si>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</si>
  <si>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</si>
  <si>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</si>
  <si>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</si>
  <si>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</si>
  <si>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</si>
  <si>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</si>
  <si>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</si>
  <si>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</si>
  <si>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</si>
  <si>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</si>
  <si>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</si>
  <si>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</si>
  <si>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</si>
  <si>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</si>
  <si>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</si>
  <si>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</si>
  <si>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</si>
  <si>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</si>
  <si>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</si>
  <si>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</si>
  <si>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</si>
  <si>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</si>
  <si>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</si>
  <si>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</si>
  <si>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</si>
  <si>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</si>
  <si>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</si>
  <si>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</si>
  <si>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</si>
  <si>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</si>
  <si>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</si>
  <si>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</si>
  <si>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</si>
  <si>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</si>
  <si>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</si>
  <si>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</si>
  <si>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</si>
  <si>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</si>
  <si>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</si>
  <si>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</si>
  <si>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</si>
  <si>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</si>
  <si>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</si>
  <si>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</si>
  <si>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</si>
  <si>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</si>
  <si>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</si>
  <si>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</si>
  <si>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</si>
  <si>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</si>
  <si>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</si>
  <si>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</si>
  <si>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</si>
  <si>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</si>
  <si>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</si>
  <si>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</si>
  <si>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</si>
  <si>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</si>
  <si>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</si>
  <si>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</si>
  <si>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</si>
  <si>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</si>
  <si>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</si>
  <si>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</si>
  <si>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</si>
  <si>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</si>
  <si>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</si>
  <si>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</si>
  <si>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</si>
  <si>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</si>
  <si>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</si>
  <si>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</si>
  <si>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</si>
  <si>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</si>
  <si>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</si>
  <si>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</si>
  <si>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</si>
  <si>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</si>
  <si>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</si>
  <si>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</si>
  <si>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</si>
  <si>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</si>
  <si>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</si>
  <si>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</si>
  <si>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</si>
  <si>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</si>
  <si>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</si>
  <si>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</si>
  <si>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</si>
  <si>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</si>
  <si>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</si>
  <si>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</si>
  <si>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</si>
  <si>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</si>
  <si>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</si>
  <si>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</si>
  <si>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</si>
  <si>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</si>
  <si>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</si>
  <si>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</si>
  <si>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</si>
  <si>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</si>
  <si>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</si>
  <si>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</si>
  <si>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</si>
  <si>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</si>
  <si>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</si>
  <si>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</si>
  <si>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</si>
  <si>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</si>
  <si>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</si>
  <si>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</si>
  <si>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</si>
  <si>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</si>
  <si>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</si>
  <si>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</si>
  <si>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</si>
  <si>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</si>
  <si>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</si>
  <si>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</si>
  <si>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</si>
  <si>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</si>
  <si>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</si>
  <si>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</si>
  <si>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</si>
  <si>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</si>
  <si>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</si>
  <si>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</si>
  <si>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</si>
  <si>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</si>
  <si>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</si>
  <si>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</si>
  <si>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</si>
  <si>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</si>
  <si>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</si>
  <si>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</si>
  <si>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</si>
  <si>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</si>
  <si>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</si>
  <si>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</si>
  <si>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</si>
  <si>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</si>
  <si>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</si>
  <si>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</si>
  <si>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</si>
  <si>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</si>
  <si>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</si>
  <si>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</si>
  <si>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</si>
  <si>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</si>
  <si>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</si>
  <si>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</si>
  <si>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</si>
  <si>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</si>
  <si>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</si>
  <si>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</si>
  <si>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</si>
  <si>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</si>
  <si>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</si>
  <si>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</si>
  <si>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</si>
  <si>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</si>
  <si>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</si>
  <si>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</si>
  <si>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</si>
  <si>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</si>
  <si>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</si>
  <si>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</si>
  <si>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</si>
  <si>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</si>
  <si>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</si>
  <si>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</si>
  <si>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</si>
  <si>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</si>
  <si>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</si>
  <si>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</si>
  <si>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</si>
  <si>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</si>
  <si>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</si>
  <si>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</si>
  <si>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</si>
  <si>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</si>
  <si>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</si>
  <si>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</si>
  <si>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</si>
  <si>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</si>
  <si>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</si>
  <si>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</si>
  <si>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</si>
  <si>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</si>
  <si>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</si>
  <si>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</si>
  <si>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</si>
  <si>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</si>
  <si>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</si>
  <si>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</si>
  <si>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</si>
  <si>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</si>
  <si>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</si>
  <si>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</si>
  <si>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</si>
  <si>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</si>
  <si>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</si>
  <si>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</si>
  <si>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</si>
  <si>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</si>
  <si>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</si>
  <si>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</si>
  <si>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</si>
  <si>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</si>
  <si>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</si>
  <si>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</si>
  <si>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</si>
  <si>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</si>
  <si>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</si>
  <si>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</si>
  <si>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</si>
  <si>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</si>
  <si>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</si>
  <si>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</si>
  <si>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</si>
  <si>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</si>
  <si>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</si>
  <si>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</si>
  <si>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</si>
  <si>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</si>
  <si>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</si>
  <si>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</si>
  <si>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</si>
  <si>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</si>
  <si>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</si>
  <si>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</si>
  <si>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</si>
  <si>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</si>
  <si>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</si>
  <si>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</si>
  <si>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</si>
  <si>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</si>
  <si>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</si>
  <si>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</si>
  <si>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</si>
  <si>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</si>
  <si>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</si>
  <si>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</si>
  <si>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</si>
  <si>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</si>
  <si>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</si>
  <si>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</si>
  <si>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</si>
  <si>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</si>
  <si>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</si>
  <si>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</si>
  <si>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</si>
  <si>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</si>
  <si>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</si>
  <si>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</si>
  <si>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</si>
  <si>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</si>
  <si>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</si>
  <si>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</si>
  <si>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</si>
  <si>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</si>
  <si>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</si>
  <si>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</si>
  <si>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</si>
  <si>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</si>
  <si>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</si>
  <si>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</si>
  <si>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</si>
  <si>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</si>
  <si>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</si>
  <si>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</si>
  <si>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</si>
  <si>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</si>
  <si>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</si>
  <si>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</si>
  <si>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</si>
  <si>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</si>
  <si>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</si>
  <si>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</si>
  <si>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</si>
  <si>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</si>
  <si>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</si>
  <si>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</si>
  <si>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</si>
  <si>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</si>
  <si>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</si>
  <si>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</si>
  <si>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</si>
  <si>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</si>
  <si>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</si>
  <si>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</si>
  <si>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</si>
  <si>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</si>
  <si>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</si>
  <si>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</si>
  <si>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</si>
  <si>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</si>
  <si>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</si>
  <si>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</si>
  <si>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</si>
  <si>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</si>
  <si>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</si>
  <si>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</si>
  <si>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</si>
  <si>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</si>
  <si>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</si>
  <si>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</si>
  <si>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</si>
  <si>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</si>
  <si>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</si>
  <si>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</si>
  <si>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</si>
  <si>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</si>
  <si>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</si>
  <si>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</si>
  <si>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</si>
  <si>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</si>
  <si>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</si>
  <si>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</si>
  <si>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</si>
  <si>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</si>
  <si>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</si>
  <si>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</si>
  <si>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</si>
  <si>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</si>
  <si>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</si>
  <si>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</si>
  <si>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</si>
  <si>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</si>
  <si>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</si>
  <si>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</si>
  <si>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</si>
  <si>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</si>
  <si>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</si>
  <si>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</si>
  <si>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</si>
  <si>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</si>
  <si>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</si>
  <si>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</si>
  <si>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</si>
  <si>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</si>
  <si>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</si>
  <si>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</si>
  <si>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</si>
  <si>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</si>
  <si>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</si>
  <si>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</si>
  <si>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</si>
  <si>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</si>
  <si>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</si>
  <si>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</si>
  <si>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</si>
  <si>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</si>
  <si>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</si>
  <si>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</si>
  <si>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</si>
  <si>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</si>
  <si>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</si>
  <si>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</si>
  <si>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</si>
  <si>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</si>
  <si>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</si>
  <si>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</si>
  <si>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</si>
  <si>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</si>
  <si>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</si>
  <si>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</si>
  <si>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</si>
  <si>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</si>
  <si>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</si>
  <si>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</si>
  <si>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</si>
  <si>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</si>
  <si>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</si>
  <si>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</si>
  <si>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</si>
  <si>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</si>
  <si>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</si>
  <si>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</si>
  <si>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</si>
  <si>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</si>
  <si>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</si>
  <si>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</si>
  <si>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</si>
  <si>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</si>
  <si>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</si>
  <si>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</si>
  <si>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</si>
  <si>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</si>
  <si>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</si>
  <si>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</si>
  <si>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</si>
  <si>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</si>
  <si>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</si>
  <si>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</si>
  <si>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</si>
  <si>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</si>
  <si>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</si>
  <si>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</si>
  <si>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</si>
  <si>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</si>
  <si>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</si>
  <si>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</si>
  <si>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</si>
  <si>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</si>
  <si>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</si>
  <si>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</si>
  <si>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</si>
  <si>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</si>
  <si>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</si>
  <si>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</si>
  <si>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</si>
  <si>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</si>
  <si>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</si>
  <si>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</si>
  <si>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</si>
  <si>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</si>
  <si>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</si>
  <si>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</si>
  <si>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</si>
  <si>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</si>
  <si>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</si>
  <si>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</si>
  <si>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</si>
  <si>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</si>
  <si>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</si>
  <si>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</si>
  <si>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</si>
  <si>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</si>
  <si>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</si>
  <si>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</si>
  <si>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</si>
  <si>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</si>
  <si>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</si>
  <si>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</si>
  <si>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</si>
  <si>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</si>
  <si>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</si>
  <si>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</si>
  <si>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</si>
  <si>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</si>
  <si>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</si>
  <si>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</si>
  <si>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</si>
  <si>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</si>
  <si>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</si>
  <si>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</si>
  <si>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</si>
  <si>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</si>
  <si>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</si>
  <si>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</si>
  <si>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</si>
  <si>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</si>
  <si>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</si>
  <si>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</si>
  <si>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</si>
  <si>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</si>
  <si>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</si>
  <si>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</si>
  <si>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</si>
  <si>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</si>
  <si>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</si>
  <si>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</si>
  <si>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</si>
  <si>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</si>
  <si>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</si>
  <si>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</si>
  <si>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</si>
  <si>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</si>
  <si>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</si>
  <si>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</si>
  <si>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</si>
  <si>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</si>
  <si>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</si>
  <si>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</si>
  <si>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</si>
  <si>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</si>
  <si>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</si>
  <si>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</si>
  <si>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</si>
  <si>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</si>
  <si>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</si>
  <si>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</si>
  <si>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</si>
  <si>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</si>
  <si>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</si>
  <si>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</si>
  <si>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</si>
  <si>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</si>
  <si>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</si>
  <si>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</si>
  <si>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</si>
  <si>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</si>
  <si>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</si>
  <si>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</si>
  <si>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</si>
  <si>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</si>
  <si>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</si>
  <si>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</si>
  <si>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</si>
  <si>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</si>
  <si>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</si>
  <si>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</si>
  <si>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</si>
  <si>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</si>
  <si>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</si>
  <si>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</si>
  <si>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</si>
  <si>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</si>
  <si>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</si>
  <si>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</si>
  <si>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</si>
  <si>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</si>
  <si>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</si>
  <si>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</si>
  <si>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</si>
  <si>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</si>
  <si>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</si>
  <si>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</si>
  <si>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</si>
  <si>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</si>
  <si>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</si>
  <si>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</si>
  <si>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</si>
  <si>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</si>
  <si>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</si>
  <si>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</si>
  <si>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</si>
  <si>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</si>
  <si>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</si>
  <si>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</si>
  <si>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</si>
  <si>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</si>
  <si>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</si>
  <si>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</si>
  <si>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</si>
  <si>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</si>
  <si>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</si>
  <si>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</si>
  <si>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</si>
  <si>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</si>
  <si>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</si>
  <si>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</si>
  <si>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</si>
  <si>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</si>
  <si>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</si>
  <si>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</si>
  <si>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</si>
  <si>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</si>
  <si>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</si>
  <si>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</si>
  <si>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</si>
  <si>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</si>
  <si>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</si>
  <si>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</si>
  <si>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</si>
  <si>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</si>
  <si>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</si>
  <si>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</si>
  <si>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</si>
  <si>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</si>
  <si>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</si>
  <si>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</si>
  <si>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</si>
  <si>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</si>
  <si>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</si>
  <si>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</si>
  <si>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</si>
  <si>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</si>
  <si>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</si>
  <si>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</si>
  <si>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</si>
  <si>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</si>
  <si>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</si>
  <si>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</si>
  <si>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</si>
  <si>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</si>
  <si>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</si>
  <si>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</si>
  <si>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</si>
  <si>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</si>
  <si>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</si>
  <si>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</si>
  <si>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</si>
  <si>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</si>
  <si>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</si>
  <si>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</si>
  <si>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</si>
  <si>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</si>
  <si>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</si>
  <si>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</si>
  <si>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</si>
  <si>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</si>
  <si>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</si>
  <si>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</si>
  <si>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</si>
  <si>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</si>
  <si>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</si>
  <si>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</si>
  <si>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</si>
  <si>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</si>
  <si>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</si>
  <si>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</si>
  <si>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</si>
  <si>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</si>
  <si>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</si>
  <si>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</si>
  <si>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</si>
  <si>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</si>
  <si>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</si>
  <si>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</si>
  <si>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</si>
  <si>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</si>
  <si>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</si>
  <si>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</si>
  <si>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</si>
  <si>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</si>
  <si>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</si>
  <si>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</si>
  <si>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</si>
  <si>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</si>
  <si>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</si>
  <si>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</si>
  <si>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</si>
  <si>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</si>
  <si>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</si>
  <si>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</si>
  <si>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</si>
  <si>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</si>
  <si>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</si>
  <si>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</si>
  <si>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</si>
  <si>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</si>
  <si>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</si>
  <si>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</si>
  <si>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</si>
  <si>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</si>
  <si>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</si>
  <si>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</si>
  <si>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</si>
  <si>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</si>
  <si>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</si>
  <si>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</si>
  <si>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</si>
  <si>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</si>
  <si>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</si>
  <si>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</si>
  <si>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</si>
  <si>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</si>
  <si>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</si>
  <si>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</si>
  <si>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</si>
  <si>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</si>
  <si>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</si>
  <si>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</si>
  <si>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</si>
  <si>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</si>
  <si>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</si>
  <si>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</si>
  <si>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</si>
  <si>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</si>
  <si>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</si>
  <si>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</si>
  <si>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</si>
  <si>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</si>
  <si>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</si>
  <si>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</si>
  <si>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</si>
  <si>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</si>
  <si>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</si>
  <si>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</si>
  <si>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</si>
  <si>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</si>
  <si>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</si>
  <si>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</si>
  <si>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</si>
  <si>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</si>
  <si>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</si>
  <si>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</si>
  <si>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</si>
  <si>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</si>
  <si>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</si>
  <si>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</si>
  <si>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</si>
  <si>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</si>
  <si>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</si>
  <si>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</si>
  <si>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</si>
  <si>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</si>
  <si>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</si>
  <si>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</si>
  <si>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</si>
  <si>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</si>
  <si>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</si>
  <si>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</si>
  <si>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</si>
  <si>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</si>
  <si>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</si>
  <si>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</si>
  <si>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</si>
  <si>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</si>
  <si>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</si>
  <si>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</si>
  <si>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</si>
  <si>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</si>
  <si>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</si>
  <si>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</si>
  <si>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</si>
  <si>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</si>
  <si>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</si>
  <si>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</si>
  <si>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</si>
  <si>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</si>
  <si>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</si>
  <si>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</si>
  <si>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</si>
  <si>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</si>
  <si>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</si>
  <si>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</si>
  <si>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</si>
  <si>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</si>
  <si>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</si>
  <si>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</si>
  <si>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</si>
  <si>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</si>
  <si>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</si>
  <si>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</si>
  <si>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</si>
  <si>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</si>
  <si>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</si>
  <si>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</si>
  <si>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</si>
  <si>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</si>
  <si>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</si>
  <si>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</si>
  <si>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</si>
  <si>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</si>
  <si>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</si>
  <si>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</si>
  <si>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</si>
  <si>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</si>
  <si>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</si>
  <si>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</si>
  <si>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</si>
  <si>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</si>
  <si>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</si>
  <si>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</si>
  <si>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</si>
  <si>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</si>
  <si>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</si>
  <si>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</si>
  <si>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</si>
  <si>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</si>
  <si>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</si>
  <si>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</si>
  <si>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</si>
  <si>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</si>
  <si>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</si>
  <si>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</si>
  <si>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</si>
  <si>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</si>
  <si>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</si>
  <si>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</si>
  <si>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</si>
  <si>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</si>
  <si>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</si>
  <si>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</si>
  <si>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</si>
  <si>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</si>
  <si>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</si>
  <si>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</si>
  <si>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</si>
  <si>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</si>
  <si>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</si>
  <si>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</si>
  <si>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</si>
  <si>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</si>
  <si>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</si>
  <si>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</si>
  <si>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</si>
  <si>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</si>
  <si>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</si>
  <si>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</si>
  <si>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</si>
  <si>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</si>
  <si>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</si>
  <si>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</si>
  <si>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</si>
  <si>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</si>
  <si>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</si>
  <si>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</si>
  <si>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</si>
  <si>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</si>
  <si>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</si>
  <si>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</si>
  <si>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</si>
  <si>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</si>
  <si>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</si>
  <si>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</si>
  <si>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</si>
  <si>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</si>
  <si>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</si>
  <si>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</si>
  <si>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</si>
  <si>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</si>
  <si>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</si>
  <si>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</si>
  <si>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</si>
  <si>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</si>
  <si>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</si>
  <si>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</si>
  <si>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</si>
  <si>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</si>
  <si>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</si>
  <si>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</si>
  <si>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</si>
  <si>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</si>
  <si>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</si>
  <si>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</si>
  <si>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</si>
  <si>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</si>
  <si>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</si>
  <si>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</si>
  <si>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</si>
  <si>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</si>
  <si>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</si>
  <si>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</si>
  <si>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</si>
  <si>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</si>
  <si>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</si>
  <si>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</si>
  <si>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</si>
  <si>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</si>
  <si>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</si>
  <si>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</si>
  <si>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</si>
  <si>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</si>
  <si>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</si>
  <si>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</si>
  <si>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</si>
  <si>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</si>
  <si>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</si>
  <si>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</si>
  <si>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</si>
  <si>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</si>
  <si>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</si>
  <si>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</si>
  <si>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</si>
  <si>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</si>
  <si>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</si>
  <si>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</si>
  <si>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</si>
  <si>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</si>
  <si>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</si>
  <si>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</si>
  <si>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</si>
  <si>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</si>
  <si>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</si>
  <si>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</si>
  <si>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</si>
  <si>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</si>
  <si>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</si>
  <si>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</si>
  <si>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</si>
  <si>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</si>
  <si>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</si>
  <si>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</si>
  <si>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</si>
  <si>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</si>
  <si>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</si>
  <si>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</si>
  <si>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</si>
  <si>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</si>
  <si>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</si>
  <si>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</si>
  <si>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</si>
  <si>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</si>
  <si>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</si>
  <si>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</si>
  <si>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</si>
  <si>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</si>
  <si>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</si>
  <si>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</si>
  <si>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</si>
  <si>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</si>
  <si>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</si>
  <si>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</si>
  <si>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</si>
  <si>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</si>
  <si>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</si>
  <si>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</si>
  <si>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</si>
  <si>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</si>
  <si>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</si>
  <si>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</si>
  <si>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</si>
  <si>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</si>
  <si>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</si>
  <si>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</si>
  <si>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</si>
  <si>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</si>
  <si>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</si>
  <si>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</si>
  <si>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</si>
  <si>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</si>
  <si>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</si>
  <si>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</si>
  <si>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</si>
  <si>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</si>
  <si>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</si>
  <si>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</si>
  <si>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</si>
  <si>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</si>
  <si>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</si>
  <si>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</si>
  <si>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</si>
  <si>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</si>
  <si>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</si>
  <si>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</si>
  <si>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</si>
  <si>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</si>
  <si>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</si>
  <si>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</si>
  <si>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</si>
  <si>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</si>
  <si>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</si>
  <si>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</si>
  <si>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</si>
  <si>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</si>
  <si>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</si>
  <si>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</si>
  <si>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</si>
  <si>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</si>
  <si>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</si>
  <si>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</si>
  <si>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</si>
  <si>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</si>
  <si>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</si>
  <si>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</si>
  <si>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</si>
  <si>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</si>
  <si>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</si>
  <si>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</si>
  <si>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</si>
  <si>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</si>
  <si>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</si>
  <si>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</si>
  <si>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</si>
  <si>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</si>
  <si>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</si>
  <si>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</si>
  <si>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</si>
  <si>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</si>
  <si>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</si>
  <si>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</si>
  <si>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</si>
  <si>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</si>
  <si>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</si>
  <si>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</si>
  <si>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</si>
  <si>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</si>
  <si>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</si>
  <si>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</si>
  <si>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</si>
  <si>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</si>
  <si>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</si>
  <si>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</si>
  <si>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</si>
  <si>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</si>
  <si>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</si>
  <si>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</si>
  <si>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</si>
  <si>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</si>
  <si>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</si>
  <si>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</si>
  <si>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</si>
  <si>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</si>
  <si>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</si>
  <si>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</si>
  <si>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</si>
  <si>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</si>
  <si>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</si>
  <si>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</si>
  <si>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</si>
  <si>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</si>
  <si>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</si>
  <si>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</si>
  <si>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</si>
  <si>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</si>
  <si>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</si>
  <si>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</si>
  <si>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</si>
  <si>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</si>
  <si>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</si>
  <si>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</si>
  <si>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</si>
  <si>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</si>
  <si>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</si>
  <si>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</si>
  <si>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</si>
  <si>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</si>
  <si>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</si>
  <si>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</si>
  <si>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</si>
  <si>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</si>
  <si>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</si>
  <si>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</si>
  <si>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</si>
  <si>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</si>
  <si>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</si>
  <si>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</si>
  <si>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</si>
  <si>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</si>
  <si>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</si>
  <si>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</si>
  <si>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</si>
  <si>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</si>
  <si>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</si>
  <si>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</si>
  <si>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</si>
  <si>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</si>
  <si>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</si>
  <si>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</si>
  <si>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</si>
  <si>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</si>
  <si>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</si>
  <si>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</si>
  <si>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</si>
  <si>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</si>
  <si>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</si>
  <si>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</si>
  <si>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</si>
  <si>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</si>
  <si>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</si>
  <si>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</si>
  <si>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</si>
  <si>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</si>
  <si>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</si>
  <si>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</si>
  <si>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</si>
  <si>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</si>
  <si>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</si>
  <si>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</si>
  <si>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</si>
  <si>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</si>
  <si>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</si>
  <si>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</si>
  <si>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</si>
  <si>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</si>
  <si>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</si>
  <si>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</si>
  <si>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</si>
  <si>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</si>
  <si>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</si>
  <si>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</si>
  <si>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</si>
  <si>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</si>
  <si>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</si>
  <si>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</si>
  <si>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</si>
  <si>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</si>
  <si>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</si>
  <si>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</si>
  <si>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</si>
  <si>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</si>
  <si>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</si>
  <si>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</si>
  <si>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</si>
  <si>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</si>
  <si>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</si>
  <si>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</si>
  <si>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</si>
  <si>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</si>
  <si>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</si>
  <si>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</si>
  <si>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</si>
  <si>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</si>
  <si>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</si>
  <si>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</si>
  <si>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</si>
  <si>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</si>
  <si>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</si>
  <si>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</si>
  <si>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</si>
  <si>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</si>
  <si>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</si>
  <si>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</si>
  <si>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</si>
  <si>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</si>
  <si>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</si>
  <si>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</si>
  <si>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</si>
  <si>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</si>
  <si>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</si>
  <si>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</si>
  <si>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</si>
  <si>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</si>
  <si>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</si>
  <si>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</si>
  <si>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</si>
  <si>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</si>
  <si>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</si>
  <si>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</si>
  <si>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</si>
  <si>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</si>
  <si>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</si>
  <si>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</si>
  <si>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</si>
  <si>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</si>
  <si>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</si>
  <si>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</si>
  <si>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</si>
  <si>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</si>
  <si>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</si>
  <si>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</si>
  <si>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</si>
  <si>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</si>
  <si>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</si>
  <si>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</si>
  <si>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</si>
  <si>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</si>
  <si>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</si>
  <si>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</si>
  <si>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</si>
  <si>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</si>
  <si>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</si>
  <si>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</si>
  <si>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</si>
  <si>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</si>
  <si>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</si>
  <si>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</si>
  <si>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</si>
  <si>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</si>
  <si>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</si>
  <si>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</si>
  <si>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</si>
  <si>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</si>
  <si>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</si>
  <si>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</si>
  <si>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</si>
  <si>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</si>
  <si>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</si>
  <si>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</si>
  <si>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</si>
  <si>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</si>
  <si>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</si>
  <si>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</si>
  <si>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</si>
  <si>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</si>
  <si>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</si>
  <si>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</si>
  <si>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</si>
  <si>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</si>
  <si>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</si>
  <si>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</si>
  <si>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</si>
  <si>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</si>
  <si>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</si>
  <si>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</si>
  <si>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</si>
  <si>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</si>
  <si>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</si>
  <si>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</si>
  <si>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</si>
  <si>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</si>
  <si>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</si>
  <si>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</si>
  <si>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</si>
  <si>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</si>
  <si>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</si>
  <si>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</si>
  <si>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</si>
  <si>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</si>
  <si>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</si>
  <si>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</si>
  <si>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</si>
  <si>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</si>
  <si>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</si>
  <si>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</si>
  <si>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</si>
  <si>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</si>
  <si>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</si>
  <si>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</si>
  <si>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</si>
  <si>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</si>
  <si>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</si>
  <si>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</si>
  <si>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</si>
  <si>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</si>
  <si>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</si>
  <si>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</si>
  <si>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</si>
  <si>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</si>
  <si>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</si>
  <si>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</si>
  <si>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</si>
  <si>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</si>
  <si>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</si>
  <si>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</si>
  <si>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</si>
  <si>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</si>
  <si>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</si>
  <si>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</si>
  <si>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</si>
  <si>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</si>
  <si>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</si>
  <si>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</si>
  <si>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</si>
  <si>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</si>
  <si>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</si>
  <si>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</si>
  <si>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</si>
  <si>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</si>
  <si>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</si>
  <si>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</si>
  <si>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</si>
  <si>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</si>
  <si>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</si>
  <si>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</si>
  <si>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</si>
  <si>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</si>
  <si>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</si>
  <si>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</si>
  <si>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</si>
  <si>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</si>
  <si>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</si>
  <si>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</si>
  <si>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</si>
  <si>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</si>
  <si>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</si>
  <si>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</si>
  <si>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</si>
  <si>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</si>
  <si>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</si>
  <si>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</si>
  <si>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</si>
  <si>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</si>
  <si>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</si>
  <si>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</si>
  <si>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</si>
  <si>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</si>
  <si>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</si>
  <si>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</si>
  <si>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</si>
  <si>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</si>
  <si>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</si>
  <si>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</si>
  <si>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</si>
  <si>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</si>
  <si>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</si>
  <si>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</si>
  <si>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</si>
  <si>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</si>
  <si>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</si>
  <si>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</si>
  <si>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</si>
  <si>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</si>
  <si>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</si>
  <si>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</si>
  <si>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</si>
  <si>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</si>
  <si>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</si>
  <si>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</si>
  <si>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</si>
  <si>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</si>
  <si>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</si>
  <si>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</si>
  <si>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</si>
  <si>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</si>
  <si>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</si>
  <si>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</si>
  <si>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</si>
  <si>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</si>
  <si>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</si>
  <si>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</si>
  <si>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</si>
  <si>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</si>
  <si>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</si>
  <si>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</si>
  <si>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</si>
  <si>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</si>
  <si>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</si>
  <si>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</si>
  <si>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</si>
  <si>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</si>
  <si>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</si>
  <si>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</si>
  <si>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</si>
  <si>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</si>
  <si>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</si>
  <si>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</si>
  <si>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</si>
  <si>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</si>
  <si>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</si>
  <si>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</si>
  <si>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</si>
  <si>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</si>
  <si>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</si>
  <si>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</si>
  <si>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</si>
  <si>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</si>
  <si>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</si>
  <si>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</si>
  <si>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</si>
  <si>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</si>
  <si>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</si>
  <si>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</si>
  <si>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</si>
  <si>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</si>
  <si>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</si>
  <si>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</si>
  <si>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</si>
  <si>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</si>
  <si>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</si>
  <si>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</si>
  <si>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</si>
  <si>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</si>
  <si>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</si>
  <si>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</si>
  <si>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</si>
  <si>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</si>
  <si>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</si>
  <si>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</si>
  <si>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</si>
  <si>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</si>
  <si>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</si>
  <si>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</si>
  <si>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</si>
  <si>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</si>
  <si>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</si>
  <si>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</si>
  <si>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</si>
  <si>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</si>
  <si>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</si>
  <si>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</si>
  <si>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</si>
  <si>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</si>
  <si>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</si>
  <si>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</si>
  <si>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</si>
  <si>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</si>
  <si>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</si>
  <si>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</si>
  <si>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</si>
  <si>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</si>
  <si>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</si>
  <si>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</si>
  <si>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</si>
  <si>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</si>
  <si>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</si>
  <si>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</si>
  <si>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</si>
  <si>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</si>
  <si>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</si>
  <si>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</si>
  <si>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</si>
  <si>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</si>
  <si>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</si>
  <si>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</si>
  <si>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</si>
  <si>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</si>
  <si>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</si>
  <si>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</si>
  <si>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</si>
  <si>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</si>
  <si>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</si>
  <si>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</si>
  <si>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</si>
  <si>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</si>
  <si>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</si>
  <si>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</si>
  <si>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</si>
  <si>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</si>
  <si>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</si>
  <si>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</si>
  <si>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</si>
  <si>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</si>
  <si>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</si>
  <si>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</si>
  <si>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</si>
  <si>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</si>
  <si>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</si>
  <si>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</si>
  <si>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</si>
  <si>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</si>
  <si>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</si>
  <si>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</si>
  <si>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</si>
  <si>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</si>
  <si>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</si>
  <si>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</si>
  <si>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</si>
  <si>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</si>
  <si>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</si>
  <si>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</si>
  <si>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</si>
  <si>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</si>
  <si>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</si>
  <si>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</si>
  <si>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</si>
  <si>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</si>
  <si>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</si>
  <si>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</si>
  <si>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</si>
  <si>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</si>
  <si>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</si>
  <si>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</si>
  <si>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</si>
  <si>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</si>
  <si>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</si>
  <si>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</si>
  <si>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</si>
  <si>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</si>
  <si>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</si>
  <si>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</si>
  <si>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</si>
  <si>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</si>
  <si>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</si>
  <si>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</si>
  <si>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</si>
  <si>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</si>
  <si>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</si>
  <si>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</si>
  <si>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</si>
  <si>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</si>
  <si>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</si>
  <si>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</si>
  <si>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</si>
  <si>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</si>
  <si>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</si>
  <si>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</si>
  <si>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</si>
  <si>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</si>
  <si>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</si>
  <si>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</si>
  <si>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</si>
  <si>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</si>
  <si>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</si>
  <si>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</si>
  <si>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</si>
  <si>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</si>
  <si>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</si>
  <si>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</si>
  <si>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</si>
  <si>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</si>
  <si>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</si>
  <si>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</si>
  <si>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</si>
  <si>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</si>
  <si>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</si>
  <si>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</si>
  <si>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</si>
  <si>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</si>
  <si>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</si>
  <si>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</si>
  <si>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</si>
  <si>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</si>
  <si>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</si>
  <si>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</si>
  <si>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</si>
  <si>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</si>
  <si>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</si>
  <si>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</si>
  <si>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</si>
  <si>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</si>
  <si>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</si>
  <si>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</si>
  <si>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</si>
  <si>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</si>
  <si>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</si>
  <si>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</si>
  <si>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</si>
  <si>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</si>
  <si>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</si>
  <si>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</si>
  <si>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</si>
  <si>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</si>
  <si>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</si>
  <si>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</si>
  <si>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</si>
  <si>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</si>
  <si>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</si>
  <si>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</si>
  <si>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</si>
  <si>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</si>
  <si>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</si>
  <si>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</si>
  <si>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</si>
  <si>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</si>
  <si>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</si>
  <si>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</si>
  <si>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</si>
  <si>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</si>
  <si>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</si>
  <si>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</si>
  <si>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</si>
  <si>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</si>
  <si>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</si>
  <si>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</si>
  <si>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</si>
  <si>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</si>
  <si>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</si>
  <si>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</si>
  <si>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</si>
  <si>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</si>
  <si>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</si>
  <si>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</si>
  <si>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</si>
  <si>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</si>
  <si>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</si>
  <si>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</si>
  <si>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</si>
  <si>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</si>
  <si>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</si>
  <si>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</si>
  <si>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</si>
  <si>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</si>
  <si>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</si>
  <si>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</si>
  <si>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</si>
  <si>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</si>
  <si>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</si>
  <si>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</si>
  <si>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</si>
  <si>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</si>
  <si>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</si>
  <si>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</si>
  <si>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</si>
  <si>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</si>
  <si>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</si>
  <si>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</si>
  <si>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</si>
  <si>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</si>
  <si>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</si>
  <si>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</si>
  <si>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</si>
  <si>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</si>
  <si>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</si>
  <si>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</si>
  <si>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</si>
  <si>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</si>
  <si>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</si>
  <si>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</si>
  <si>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</si>
  <si>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</si>
  <si>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</si>
  <si>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</si>
  <si>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</si>
  <si>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</si>
  <si>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</si>
  <si>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</si>
  <si>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</si>
  <si>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</si>
  <si>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</si>
  <si>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</si>
  <si>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</si>
  <si>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</si>
  <si>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</si>
  <si>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</si>
  <si>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</si>
  <si>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</si>
  <si>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</si>
  <si>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</si>
  <si>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</si>
  <si>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</si>
  <si>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</si>
  <si>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</si>
  <si>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</si>
  <si>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</si>
  <si>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</si>
  <si>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</si>
  <si>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</si>
  <si>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</si>
  <si>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</si>
  <si>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</si>
  <si>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</si>
  <si>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</si>
  <si>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</si>
  <si>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</si>
  <si>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</si>
  <si>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</si>
  <si>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</si>
  <si>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</si>
  <si>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</si>
  <si>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</si>
  <si>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</si>
  <si>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</si>
  <si>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</si>
  <si>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</si>
  <si>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</si>
  <si>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</si>
  <si>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</si>
  <si>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</si>
  <si>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</si>
  <si>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</si>
  <si>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</si>
  <si>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</si>
  <si>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</si>
  <si>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</si>
  <si>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</si>
  <si>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</si>
  <si>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</si>
  <si>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</si>
  <si>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</si>
  <si>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</si>
  <si>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</si>
  <si>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</si>
  <si>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</si>
  <si>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</si>
  <si>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</si>
  <si>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</si>
  <si>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</si>
  <si>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</si>
  <si>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</si>
  <si>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</si>
  <si>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</si>
  <si>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</si>
  <si>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</si>
  <si>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</si>
  <si>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</si>
  <si>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</si>
  <si>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</si>
  <si>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</si>
  <si>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</si>
  <si>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</si>
  <si>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</si>
  <si>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</si>
  <si>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</si>
  <si>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</si>
  <si>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</si>
  <si>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</si>
  <si>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</si>
  <si>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</si>
  <si>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</si>
  <si>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</si>
  <si>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</si>
  <si>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</si>
  <si>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</si>
  <si>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</si>
  <si>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</si>
  <si>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</si>
  <si>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</si>
  <si>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</si>
  <si>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</si>
  <si>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</si>
  <si>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</si>
  <si>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</si>
  <si>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</si>
  <si>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</si>
  <si>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</si>
  <si>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</si>
  <si>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</si>
  <si>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</si>
  <si>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</si>
  <si>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</si>
  <si>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</si>
  <si>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</si>
  <si>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</si>
  <si>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</si>
  <si>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</si>
  <si>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</si>
  <si>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</si>
  <si>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</si>
  <si>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</si>
  <si>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</si>
  <si>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</si>
  <si>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</si>
  <si>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</si>
  <si>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</si>
  <si>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</si>
  <si>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</si>
  <si>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</si>
  <si>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</si>
  <si>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</si>
  <si>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</si>
  <si>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</si>
  <si>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</si>
  <si>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</si>
  <si>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</si>
  <si>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</si>
  <si>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</si>
  <si>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</si>
  <si>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</si>
  <si>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</si>
  <si>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</si>
  <si>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</si>
  <si>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</si>
  <si>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</si>
  <si>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</si>
  <si>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</si>
  <si>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</si>
  <si>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</si>
  <si>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</si>
  <si>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</si>
  <si>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</si>
  <si>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</si>
  <si>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</si>
  <si>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</si>
  <si>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</si>
  <si>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</si>
  <si>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</si>
  <si>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</si>
  <si>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</si>
  <si>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</si>
  <si>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</si>
  <si>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</si>
  <si>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</si>
  <si>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</si>
  <si>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</si>
  <si>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</si>
  <si>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</si>
  <si>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</si>
  <si>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</si>
  <si>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</si>
  <si>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</si>
  <si>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</si>
  <si>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</si>
  <si>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</si>
  <si>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</si>
  <si>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</si>
  <si>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</si>
  <si>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</si>
  <si>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</si>
  <si>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</si>
  <si>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</si>
  <si>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</si>
  <si>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</si>
  <si>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</si>
  <si>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</si>
  <si>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</si>
  <si>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</si>
  <si>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</si>
  <si>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</si>
  <si>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</si>
  <si>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</si>
  <si>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</si>
  <si>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</si>
  <si>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</si>
  <si>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</si>
  <si>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</si>
  <si>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</si>
  <si>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</si>
  <si>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</si>
  <si>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</si>
  <si>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</si>
  <si>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</si>
  <si>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</si>
  <si>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</si>
  <si>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</si>
  <si>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</si>
  <si>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</si>
  <si>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</si>
  <si>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</si>
  <si>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</si>
  <si>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</si>
  <si>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</si>
  <si>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</si>
  <si>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</si>
  <si>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</si>
  <si>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</si>
  <si>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</si>
  <si>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</si>
  <si>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</si>
  <si>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</si>
  <si>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</si>
  <si>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</si>
  <si>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</si>
  <si>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</si>
  <si>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</si>
  <si>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</si>
  <si>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</si>
  <si>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</si>
  <si>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</si>
  <si>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</si>
  <si>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</si>
  <si>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</si>
  <si>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</si>
  <si>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</si>
  <si>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</si>
  <si>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</si>
  <si>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</si>
  <si>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</si>
  <si>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</si>
  <si>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</si>
  <si>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</si>
  <si>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</si>
  <si>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</si>
  <si>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</si>
  <si>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</si>
  <si>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</si>
  <si>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</si>
  <si>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</si>
  <si>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</si>
  <si>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</si>
  <si>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</si>
  <si>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</si>
  <si>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</si>
  <si>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</si>
  <si>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</si>
  <si>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</si>
  <si>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</si>
  <si>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</si>
  <si>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</si>
  <si>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</si>
  <si>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</si>
  <si>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</si>
  <si>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</si>
  <si>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</si>
  <si>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</si>
  <si>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</si>
  <si>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</si>
  <si>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</si>
  <si>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</si>
  <si>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</si>
  <si>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</si>
  <si>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</si>
  <si>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</si>
  <si>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</si>
  <si>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</si>
  <si>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</si>
  <si>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</si>
  <si>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</si>
  <si>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</si>
  <si>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</si>
  <si>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</si>
  <si>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</si>
  <si>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</si>
  <si>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</si>
  <si>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</si>
  <si>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</si>
  <si>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</si>
  <si>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</si>
  <si>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</si>
  <si>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</si>
  <si>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</si>
  <si>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</si>
  <si>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</si>
  <si>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</si>
  <si>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</si>
  <si>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</si>
  <si>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</si>
  <si>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</si>
  <si>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</si>
  <si>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</si>
  <si>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</si>
  <si>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</si>
  <si>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</si>
  <si>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</si>
  <si>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</si>
  <si>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</si>
  <si>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</si>
  <si>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</si>
  <si>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</si>
  <si>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</si>
  <si>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</si>
  <si>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</si>
  <si>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</si>
  <si>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</si>
  <si>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</si>
  <si>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</si>
  <si>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</si>
  <si>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</si>
  <si>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</si>
  <si>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</si>
  <si>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</si>
  <si>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</si>
  <si>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</si>
  <si>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</si>
  <si>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</si>
  <si>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</si>
  <si>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</si>
  <si>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</si>
  <si>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</si>
  <si>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</si>
  <si>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</si>
  <si>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</si>
  <si>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</si>
  <si>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</si>
  <si>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</si>
  <si>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</si>
  <si>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</si>
  <si>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</si>
  <si>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</si>
  <si>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</si>
  <si>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</si>
  <si>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</si>
  <si>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</si>
  <si>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</si>
  <si>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</si>
  <si>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</si>
  <si>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</si>
  <si>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</si>
  <si>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</si>
  <si>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</si>
  <si>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</si>
  <si>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</si>
  <si>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</si>
  <si>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</si>
  <si>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</si>
  <si>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</si>
  <si>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</si>
  <si>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</si>
  <si>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</si>
  <si>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</si>
  <si>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</si>
  <si>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</si>
  <si>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</si>
  <si>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</si>
  <si>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</si>
  <si>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</si>
  <si>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</si>
  <si>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</si>
  <si>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</si>
  <si>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</si>
  <si>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</si>
  <si>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</si>
  <si>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</si>
  <si>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</si>
  <si>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</si>
  <si>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</si>
  <si>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</si>
  <si>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</si>
  <si>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</si>
  <si>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</si>
  <si>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</si>
  <si>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</si>
  <si>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</si>
  <si>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</si>
  <si>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</si>
  <si>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</si>
  <si>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</si>
  <si>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</si>
  <si>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</si>
  <si>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</si>
  <si>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</si>
  <si>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</si>
  <si>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</si>
  <si>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</si>
  <si>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</si>
  <si>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</si>
  <si>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</si>
  <si>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</si>
  <si>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</si>
  <si>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</si>
  <si>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</si>
  <si>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</si>
  <si>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</si>
  <si>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</si>
  <si>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</si>
  <si>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</si>
  <si>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</si>
  <si>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</si>
  <si>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</si>
  <si>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</si>
  <si>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</si>
  <si>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</si>
  <si>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</si>
  <si>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</si>
  <si>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</si>
  <si>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</si>
  <si>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</si>
  <si>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</si>
  <si>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</si>
  <si>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</si>
  <si>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</si>
  <si>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</si>
  <si>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</si>
  <si>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</si>
  <si>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</si>
  <si>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</si>
  <si>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</si>
  <si>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</si>
  <si>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</si>
  <si>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</si>
  <si>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</si>
  <si>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</si>
  <si>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</si>
  <si>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</si>
  <si>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</si>
  <si>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</si>
  <si>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</si>
  <si>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</si>
  <si>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</si>
  <si>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</si>
  <si>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</si>
  <si>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</si>
  <si>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</si>
  <si>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</si>
  <si>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</si>
  <si>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</si>
  <si>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</si>
  <si>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</si>
  <si>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</si>
  <si>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</si>
  <si>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</si>
  <si>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</si>
  <si>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</si>
  <si>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</si>
  <si>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</si>
  <si>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</si>
  <si>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</si>
  <si>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</si>
  <si>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</si>
  <si>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</si>
  <si>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</si>
  <si>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</si>
  <si>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</si>
  <si>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</si>
  <si>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</si>
  <si>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</si>
  <si>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</si>
  <si>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</si>
  <si>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</si>
  <si>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</si>
  <si>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</si>
  <si>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</si>
  <si>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</si>
  <si>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</si>
  <si>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</si>
  <si>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</si>
  <si>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</si>
  <si>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</si>
  <si>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</si>
  <si>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</si>
  <si>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</si>
  <si>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</si>
  <si>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</si>
  <si>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</si>
  <si>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</si>
  <si>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</si>
  <si>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</si>
  <si>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</si>
  <si>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</si>
  <si>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</si>
  <si>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</si>
  <si>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</si>
  <si>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</si>
  <si>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</si>
  <si>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</si>
  <si>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</si>
  <si>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廊坊和泓房地产开发有限公司</t>
    <phoneticPr fontId="6" type="noConversion"/>
  </si>
  <si>
    <t>中诚信托</t>
    <phoneticPr fontId="6" type="noConversion"/>
  </si>
  <si>
    <t>核定资产</t>
  </si>
  <si>
    <t>市场价格</t>
  </si>
  <si>
    <t>已注销</t>
  </si>
  <si>
    <t>其他：</t>
  </si>
  <si>
    <t>河北省霸州市</t>
    <phoneticPr fontId="6" type="noConversion"/>
  </si>
  <si>
    <t>河北省廊坊市霸州市益津中路西侧国蕴城一区项目</t>
    <phoneticPr fontId="6" type="noConversion"/>
  </si>
  <si>
    <t>企业</t>
  </si>
  <si>
    <t>住宅、商业</t>
    <phoneticPr fontId="6" type="noConversion"/>
  </si>
  <si>
    <t>住宅、商业</t>
    <phoneticPr fontId="6" type="noConversion"/>
  </si>
  <si>
    <t>一致</t>
  </si>
  <si>
    <t>符合</t>
  </si>
  <si>
    <t>出让</t>
  </si>
  <si>
    <t>商业</t>
  </si>
  <si>
    <t>车库</t>
  </si>
  <si>
    <t>住宅70年、商业40年、办公40年、地下车库50年</t>
    <phoneticPr fontId="6" type="noConversion"/>
  </si>
  <si>
    <t>否</t>
  </si>
  <si>
    <t>《抵押物清单》</t>
    <phoneticPr fontId="3" type="noConversion"/>
  </si>
  <si>
    <t>《建设用地规划设计条件》</t>
    <phoneticPr fontId="3" type="noConversion"/>
  </si>
  <si>
    <t>居住项目</t>
  </si>
  <si>
    <t>无</t>
  </si>
  <si>
    <t>含保障性住房</t>
  </si>
  <si>
    <t>回迁安置房</t>
    <phoneticPr fontId="6" type="noConversion"/>
  </si>
  <si>
    <t>场地未平整</t>
  </si>
  <si>
    <t>平整</t>
  </si>
  <si>
    <t>通路</t>
  </si>
  <si>
    <t>通电</t>
  </si>
  <si>
    <t>通讯</t>
  </si>
  <si>
    <t>通下水</t>
  </si>
  <si>
    <t>通上水</t>
  </si>
  <si>
    <t>通热</t>
  </si>
  <si>
    <t>燃气</t>
  </si>
  <si>
    <t>廊坊2级</t>
  </si>
  <si>
    <t>廊坊2级</t>
    <phoneticPr fontId="6" type="noConversion"/>
  </si>
  <si>
    <t>地上</t>
  </si>
  <si>
    <t>平层住宅</t>
  </si>
  <si>
    <t>底商</t>
  </si>
  <si>
    <t>办公楼</t>
  </si>
  <si>
    <t>地下</t>
  </si>
  <si>
    <t>住宅</t>
    <phoneticPr fontId="7" type="noConversion"/>
  </si>
  <si>
    <t>地上商业</t>
  </si>
  <si>
    <t>地上商业</t>
    <phoneticPr fontId="7" type="noConversion"/>
  </si>
  <si>
    <t>地下商业</t>
  </si>
  <si>
    <t>地下商业</t>
    <phoneticPr fontId="7" type="noConversion"/>
  </si>
  <si>
    <t>办公</t>
    <phoneticPr fontId="7" type="noConversion"/>
  </si>
  <si>
    <t>地下车库</t>
    <phoneticPr fontId="7" type="noConversion"/>
  </si>
  <si>
    <t>独立商业</t>
  </si>
  <si>
    <t>廊坊2级</t>
    <phoneticPr fontId="3" type="noConversion"/>
  </si>
  <si>
    <t>霸州市开发区西郑各庄村，长江北道南侧</t>
    <phoneticPr fontId="233" type="noConversion"/>
  </si>
  <si>
    <t>霸州市开发区南岸村，湖东道南侧、西环路东侧</t>
    <phoneticPr fontId="233" type="noConversion"/>
  </si>
  <si>
    <t>霸州市开发区东陶家务村，泰山路西侧</t>
    <phoneticPr fontId="233" type="noConversion"/>
  </si>
  <si>
    <t>正常</t>
  </si>
  <si>
    <t>城镇混合住宅</t>
    <phoneticPr fontId="233" type="noConversion"/>
  </si>
  <si>
    <r>
      <rPr>
        <sz val="11"/>
        <rFont val="仿宋_GB2312"/>
        <family val="3"/>
        <charset val="134"/>
      </rPr>
      <t>二类居住</t>
    </r>
  </si>
  <si>
    <t>商业服务业设施用地兼容二类住宅用地</t>
    <phoneticPr fontId="233" type="noConversion"/>
  </si>
  <si>
    <t>其他普通商品住房用地</t>
    <phoneticPr fontId="233" type="noConversion"/>
  </si>
  <si>
    <t>商业服务业设施用地兼容二类住宅用地</t>
  </si>
  <si>
    <t>其他普通商品住房用地</t>
  </si>
  <si>
    <t>城镇混合住宅</t>
  </si>
  <si>
    <r>
      <t>70</t>
    </r>
    <r>
      <rPr>
        <sz val="11"/>
        <color indexed="8"/>
        <rFont val="宋体"/>
        <family val="3"/>
        <charset val="134"/>
      </rPr>
      <t>、</t>
    </r>
    <r>
      <rPr>
        <sz val="11"/>
        <color indexed="8"/>
        <rFont val="Arial"/>
        <family val="2"/>
      </rPr>
      <t>40</t>
    </r>
    <phoneticPr fontId="26" type="noConversion"/>
  </si>
  <si>
    <t>好</t>
  </si>
  <si>
    <t>较好</t>
  </si>
  <si>
    <t>一般</t>
  </si>
  <si>
    <t>七通</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</si>
  <si>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</si>
  <si>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</si>
  <si>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</si>
  <si>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</si>
  <si>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</si>
  <si>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主干道</t>
  </si>
  <si>
    <t>支路</t>
  </si>
  <si>
    <t>单位面积地价</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</si>
  <si>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</si>
  <si>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</si>
  <si>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</si>
  <si>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</si>
  <si>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</si>
  <si>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</si>
  <si>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</si>
  <si>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phoneticPr fontId="233" type="noConversion"/>
  </si>
  <si>
    <t>七通</t>
    <phoneticPr fontId="233" type="noConversion"/>
  </si>
  <si>
    <t>六通一平</t>
    <phoneticPr fontId="233" type="noConversion"/>
  </si>
  <si>
    <t>五通一平</t>
    <phoneticPr fontId="233" type="noConversion"/>
  </si>
  <si>
    <t>四通一平</t>
    <phoneticPr fontId="233" type="noConversion"/>
  </si>
  <si>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</si>
  <si>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</si>
  <si>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</si>
  <si>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</si>
  <si>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比例较适宜</t>
  </si>
  <si>
    <t>七通一平</t>
  </si>
  <si>
    <t>项目全部</t>
  </si>
  <si>
    <t>土地</t>
  </si>
  <si>
    <t>比较法-住宅、综合</t>
  </si>
  <si>
    <t>凯城·上东区</t>
    <phoneticPr fontId="233" type="noConversion"/>
  </si>
  <si>
    <t>荣盛·阿尔卡迪亚·霸州温泉城</t>
    <phoneticPr fontId="233" type="noConversion"/>
  </si>
  <si>
    <t>锦绣华府</t>
    <phoneticPr fontId="233" type="noConversion"/>
  </si>
  <si>
    <t>霸州市胜芳镇迎宾东道三小东侧</t>
    <phoneticPr fontId="233" type="noConversion"/>
  </si>
  <si>
    <t>霸州市胜芳镇跨106线立交桥北500米路东</t>
    <phoneticPr fontId="233" type="noConversion"/>
  </si>
  <si>
    <t>霸州市胜芳镇市112国道与兴华路交口处向东300米路北</t>
    <phoneticPr fontId="233" type="noConversion"/>
  </si>
  <si>
    <t>住宅</t>
    <phoneticPr fontId="21" type="noConversion"/>
  </si>
  <si>
    <t>60-70（含）</t>
  </si>
  <si>
    <t>主</t>
    <phoneticPr fontId="21" type="noConversion"/>
  </si>
  <si>
    <t>次</t>
    <phoneticPr fontId="21" type="noConversion"/>
  </si>
  <si>
    <t>快速</t>
    <phoneticPr fontId="21" type="noConversion"/>
  </si>
  <si>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</si>
  <si>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</si>
  <si>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</si>
  <si>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color indexed="8"/>
        <rFont val="仿宋_GB2312"/>
        <family val="3"/>
        <charset val="134"/>
      </rPr>
      <t>次</t>
    </r>
  </si>
  <si>
    <t>独栋</t>
  </si>
  <si>
    <r>
      <rPr>
        <sz val="11"/>
        <rFont val="仿宋_GB2312"/>
        <family val="3"/>
        <charset val="134"/>
      </rPr>
      <t>联排</t>
    </r>
  </si>
  <si>
    <t>叠拼</t>
  </si>
  <si>
    <t>花园洋房</t>
  </si>
  <si>
    <t>小高层住宅</t>
  </si>
  <si>
    <t>高层板楼</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</si>
  <si>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</si>
  <si>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</si>
  <si>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</si>
  <si>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</si>
  <si>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</si>
  <si>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</si>
  <si>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</si>
  <si>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</si>
  <si>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</si>
  <si>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</si>
  <si>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</si>
  <si>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</si>
  <si>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</si>
  <si>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</si>
  <si>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</si>
  <si>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</si>
  <si>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</si>
  <si>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</si>
  <si>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</si>
  <si>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80-120</t>
  </si>
  <si>
    <t>80-120</t>
    <phoneticPr fontId="21" type="noConversion"/>
  </si>
  <si>
    <t>钢混</t>
  </si>
  <si>
    <t>中档</t>
  </si>
  <si>
    <t>普通装修</t>
  </si>
  <si>
    <t>专业</t>
  </si>
  <si>
    <t>平层</t>
  </si>
  <si>
    <t>毛坯</t>
  </si>
  <si>
    <t>押一</t>
  </si>
  <si>
    <t>不动产收益法</t>
  </si>
  <si>
    <t>土地（套用方法）</t>
  </si>
  <si>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</si>
  <si>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</si>
  <si>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</si>
  <si>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</si>
  <si>
    <t>售价</t>
  </si>
  <si>
    <t>地下车库</t>
    <phoneticPr fontId="27"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</si>
  <si>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</si>
  <si>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</si>
  <si>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</si>
  <si>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地下1层</t>
  </si>
  <si>
    <t>住宅</t>
    <phoneticPr fontId="27" type="noConversion"/>
  </si>
  <si>
    <t>毛坯</t>
    <phoneticPr fontId="27" type="noConversion"/>
  </si>
  <si>
    <t>甲级</t>
  </si>
  <si>
    <t>甲级</t>
    <phoneticPr fontId="27" type="noConversion"/>
  </si>
  <si>
    <t>乙级</t>
    <phoneticPr fontId="27" type="noConversion"/>
  </si>
  <si>
    <t>丙级</t>
    <phoneticPr fontId="27" type="noConversion"/>
  </si>
  <si>
    <t>平面</t>
  </si>
  <si>
    <t>平面</t>
    <phoneticPr fontId="27" type="noConversion"/>
  </si>
  <si>
    <t>立体</t>
    <phoneticPr fontId="27" type="noConversion"/>
  </si>
  <si>
    <t>是</t>
    <phoneticPr fontId="27" type="noConversion"/>
  </si>
  <si>
    <t>否</t>
    <phoneticPr fontId="27" type="noConversion"/>
  </si>
  <si>
    <t>元/车位</t>
  </si>
  <si>
    <t>剩余法-待开发</t>
  </si>
  <si>
    <t>回迁安置房建安成本</t>
    <phoneticPr fontId="233" type="noConversion"/>
  </si>
  <si>
    <t>正常操作</t>
  </si>
  <si>
    <t>位置</t>
  </si>
  <si>
    <t>用途</t>
  </si>
  <si>
    <t>2017-9-25规划建筑面积</t>
    <phoneticPr fontId="233" type="noConversion"/>
  </si>
  <si>
    <t>2018-1-2规划建筑面积</t>
    <phoneticPr fontId="233" type="noConversion"/>
  </si>
  <si>
    <t>其中：回迁安置房</t>
    <phoneticPr fontId="233" type="noConversion"/>
  </si>
  <si>
    <t>物业管理及公共配套用房</t>
    <phoneticPr fontId="233" type="noConversion"/>
  </si>
  <si>
    <t>物业管理用房</t>
  </si>
  <si>
    <t>设备用房</t>
    <phoneticPr fontId="233" type="noConversion"/>
  </si>
  <si>
    <t>人防</t>
  </si>
  <si>
    <t>/</t>
  </si>
  <si>
    <t>办公</t>
    <phoneticPr fontId="233" type="noConversion"/>
  </si>
  <si>
    <t>地下商业</t>
    <phoneticPr fontId="233" type="noConversion"/>
  </si>
  <si>
    <t>扣除人防及回迁安置房后合计</t>
    <phoneticPr fontId="233" type="noConversion"/>
  </si>
  <si>
    <t>土地面积</t>
    <phoneticPr fontId="233" type="noConversion"/>
  </si>
  <si>
    <t>公共配套用房</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</si>
</sst>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181" fontId="149"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59" fillId="0" borderId="152" xfId="0" applyFont="1" applyBorder="1" applyAlignment="1">
      <alignment horizontal="center" vertical="center" wrapText="1"/>
    </xf>
    <xf numFmtId="0" fontId="159" fillId="0" borderId="153"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5" xfId="0" applyFont="1" applyBorder="1" applyAlignment="1">
      <alignment horizontal="center" vertical="center" wrapText="1"/>
    </xf>
    <xf numFmtId="0" fontId="159" fillId="0" borderId="156" xfId="0" applyFont="1" applyBorder="1" applyAlignment="1">
      <alignment horizontal="center" vertical="center" wrapText="1"/>
    </xf>
    <xf numFmtId="0" fontId="149" fillId="0" borderId="156" xfId="0" applyFont="1" applyBorder="1" applyAlignment="1">
      <alignment horizontal="center" vertical="center" wrapText="1"/>
    </xf>
    <xf numFmtId="0" fontId="159" fillId="0" borderId="157" xfId="0" applyFont="1" applyBorder="1" applyAlignment="1">
      <alignment horizontal="center" vertical="center" wrapText="1"/>
    </xf>
    <xf numFmtId="0" fontId="159" fillId="0" borderId="154"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149" fillId="0" borderId="157" xfId="0" applyFont="1" applyBorder="1" applyAlignment="1">
      <alignment horizontal="center" vertical="center" wrapText="1"/>
    </xf>
    <xf numFmtId="0" fontId="149" fillId="0" borderId="155" xfId="0" applyFont="1" applyBorder="1" applyAlignment="1">
      <alignment horizontal="center" vertical="center" wrapText="1"/>
    </xf>
    <xf numFmtId="0" fontId="149" fillId="0" borderId="154" xfId="0" applyFont="1" applyBorder="1" applyAlignment="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712;&#24030;&#22303;&#22320;&#39033;&#30446;&#65288;2018-1-2&#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sheetData sheetId="1"/>
      <sheetData sheetId="2"/>
      <sheetData sheetId="3"/>
      <sheetData sheetId="4"/>
      <sheetData sheetId="5"/>
      <sheetData sheetId="6"/>
      <sheetData sheetId="7"/>
      <sheetData sheetId="8"/>
      <sheetData sheetId="9">
        <row r="13">
          <cell r="G13">
            <v>587077.85999999987</v>
          </cell>
          <cell r="I13">
            <v>239075.36</v>
          </cell>
          <cell r="K13">
            <v>92503.679999999993</v>
          </cell>
          <cell r="M13">
            <v>152374.15</v>
          </cell>
          <cell r="AD13">
            <v>23423.96</v>
          </cell>
          <cell r="AN13">
            <v>30102.32</v>
          </cell>
          <cell r="AT13">
            <v>20800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2661</v>
      </c>
      <c r="B1" s="2854" t="s">
        <v>2758</v>
      </c>
    </row>
    <row r="2" spans="1:55" s="2858" customFormat="1" ht="15" thickTop="1">
      <c r="A2" s="2856" t="s">
        <v>2665</v>
      </c>
      <c r="B2" s="2857" t="str">
        <f>'预评函-封皮'!B37</f>
        <v>河北省霸州市河北省廊坊市霸州市益津中路西侧国蕴城一区项目出让国有建设用地使用权市场价格预评估</v>
      </c>
      <c r="AX2" s="2859"/>
      <c r="AZ2" s="2859"/>
      <c r="BA2" s="2860"/>
      <c r="BC2" s="2860"/>
    </row>
    <row r="3" spans="1:55" s="2861" customFormat="1">
      <c r="A3" s="2840" t="s">
        <v>2666</v>
      </c>
      <c r="B3" s="2843" t="str">
        <f>'预评函-封皮'!B40</f>
        <v>廊坊和泓房地产开发有限公司</v>
      </c>
    </row>
    <row r="4" spans="1:55" s="2842" customFormat="1">
      <c r="A4" s="2840" t="s">
        <v>2667</v>
      </c>
      <c r="B4" s="2841" t="str">
        <f>'预评函-封皮'!B46</f>
        <v>王鹏、郑燚</v>
      </c>
      <c r="N4" s="2842" t="str">
        <f>'预评函-1'!A28</f>
        <v>——</v>
      </c>
    </row>
    <row r="5" spans="1:55" s="2855" customFormat="1" ht="15" thickBot="1">
      <c r="A5" s="2862" t="s">
        <v>2668</v>
      </c>
      <c r="B5" s="2863" t="str">
        <f>'预评函-封皮'!B49</f>
        <v>康正预评字号</v>
      </c>
    </row>
    <row r="6" spans="1:55" s="2864" customFormat="1" ht="15" thickTop="1">
      <c r="A6" s="2856" t="s">
        <v>2710</v>
      </c>
      <c r="B6" s="2857" t="str">
        <f>'预评函-1'!A4</f>
        <v>受贵公司委托，我公司对河北省霸州市河北省廊坊市霸州市益津中路西侧国蕴城一区项目出让国有建设用地使用权市场价格进行了预评估。</v>
      </c>
      <c r="AM6" s="2865"/>
    </row>
    <row r="7" spans="1:55" s="2839" customFormat="1">
      <c r="A7" s="2840" t="s">
        <v>2662</v>
      </c>
      <c r="B7" s="2841" t="str">
        <f>'预评函-1'!A6</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8" spans="1:55" s="2839" customFormat="1">
      <c r="A8" s="2840" t="s">
        <v>2663</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2713</v>
      </c>
      <c r="B9" s="2841" t="str">
        <f>'预评函-1'!A9</f>
        <v>本次评估为委托估价方了解标的物之市场价格提供参考依据而评估出让国有建设用地使用权市场价格。</v>
      </c>
    </row>
    <row r="10" spans="1:55" s="2839" customFormat="1">
      <c r="A10" s="2840" t="s">
        <v>2664</v>
      </c>
      <c r="B10" s="2841" t="str">
        <f>'预评函-1'!A11</f>
        <v>2017年11月15日（评估专业人员勘察现场之日）</v>
      </c>
    </row>
    <row r="11" spans="1:55" s="2839" customFormat="1">
      <c r="A11" s="2840" t="s">
        <v>2670</v>
      </c>
      <c r="B11" s="2841" t="str">
        <f>'预评函-1'!A14</f>
        <v>根据《国有土地使用证》[]，本次评估估价对象证载（地类）用途为住宅、商业。</v>
      </c>
    </row>
    <row r="12" spans="1:55" s="2839" customFormat="1">
      <c r="A12" s="2840" t="s">
        <v>2671</v>
      </c>
      <c r="B12" s="2841" t="str">
        <f>'预评函-1'!A15</f>
        <v>本次评估设定用途即为证载用途住宅、商业。</v>
      </c>
    </row>
    <row r="13" spans="1:55" s="2839" customFormat="1">
      <c r="A13" s="2840" t="s">
        <v>2672</v>
      </c>
      <c r="B13" s="2841" t="str">
        <f>'预评函-1'!A17</f>
        <v>根据委托估价方介绍及评估专业人员现场勘查，本次评估估价对象实际土地开发程度为红线外市政基础设施达“七通”（即通路、通电、通讯、通上水、通下水、通热、燃气）、宗地红线内场地未平整，。</v>
      </c>
    </row>
    <row r="14" spans="1:55" s="2839" customFormat="1">
      <c r="A14" s="2840" t="s">
        <v>2673</v>
      </c>
      <c r="B14" s="2841" t="str">
        <f>'预评函-1'!A18</f>
        <v>。本次评估设定土地开发程度为红线外市政基础设施达“七通”、宗地红线内场地平整。</v>
      </c>
    </row>
    <row r="15" spans="1:55" s="2839" customFormat="1">
      <c r="A15" s="2840" t="s">
        <v>2669</v>
      </c>
      <c r="B15" s="2841" t="str">
        <f>'预评函-1'!A20</f>
        <v>根据《建设用地规划设计条件》，估价对象（分摊）出让国有建设用地使用权面积为171496.93平方米。根据《抵押物清单》，估价对象规划建筑面积为537479.47平方米。</v>
      </c>
    </row>
    <row r="16" spans="1:55" s="2839" customFormat="1">
      <c r="A16" s="2840" t="s">
        <v>2674</v>
      </c>
      <c r="B16" s="2841" t="str">
        <f>'预评函-1'!A22</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17" spans="1:48" s="2839" customFormat="1">
      <c r="A17" s="2840" t="s">
        <v>2675</v>
      </c>
      <c r="B17" s="2841" t="str">
        <f>'预评函-1'!A23</f>
        <v>本次评估设定估价对象剩余土地使用年限为住宅70年、商业40年、办公40年、地下车库50年。</v>
      </c>
    </row>
    <row r="18" spans="1:48" s="2839" customFormat="1">
      <c r="A18" s="2840" t="s">
        <v>2676</v>
      </c>
      <c r="B18" s="2841" t="str">
        <f>'预评函-1'!A25</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19" spans="1:48" s="2839" customFormat="1">
      <c r="A19" s="2840" t="s">
        <v>2677</v>
      </c>
      <c r="B19" s="2841" t="str">
        <f>'预评函-1'!A26</f>
        <v>——</v>
      </c>
    </row>
    <row r="20" spans="1:48" s="2839" customFormat="1">
      <c r="A20" s="2840" t="s">
        <v>2678</v>
      </c>
      <c r="B20" s="2841" t="str">
        <f>'预评函-1'!A27</f>
        <v>——</v>
      </c>
    </row>
    <row r="21" spans="1:48" s="2855" customFormat="1" ht="15" thickBot="1">
      <c r="A21" s="2862" t="s">
        <v>2679</v>
      </c>
      <c r="B21" s="2863" t="str">
        <f>'预评函-1'!A28</f>
        <v>——</v>
      </c>
    </row>
    <row r="22" spans="1:48" ht="15" thickTop="1">
      <c r="A22" s="2851" t="s">
        <v>2680</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2681</v>
      </c>
      <c r="B23" s="2841" t="str">
        <f>'预评函-2'!K2</f>
        <v>估价期日：2017年11月15日</v>
      </c>
    </row>
    <row r="24" spans="1:48">
      <c r="A24" s="2840" t="s">
        <v>2682</v>
      </c>
      <c r="B24" s="2841" t="str">
        <f>'预评函-2'!R2</f>
        <v>估价期日的国有建设用地使用权性质：出让</v>
      </c>
    </row>
    <row r="25" spans="1:48">
      <c r="A25" s="2840" t="s">
        <v>2738</v>
      </c>
      <c r="B25" s="2841" t="str">
        <f>'预评函-2'!A3</f>
        <v>估价期日土地使用者</v>
      </c>
    </row>
    <row r="26" spans="1:48">
      <c r="A26" s="2840" t="s">
        <v>2714</v>
      </c>
      <c r="B26" s="2841" t="str">
        <f>'预评函-2'!A5</f>
        <v>中信开发</v>
      </c>
    </row>
    <row r="27" spans="1:48">
      <c r="A27" s="2840" t="s">
        <v>2739</v>
      </c>
      <c r="B27" s="2841" t="str">
        <f>'预评函-2'!B3</f>
        <v>宗地编号/不动产单元号</v>
      </c>
    </row>
    <row r="28" spans="1:48">
      <c r="A28" s="2840" t="s">
        <v>2715</v>
      </c>
      <c r="B28" s="2841" t="str">
        <f>'预评函-2'!B5</f>
        <v>11111111111</v>
      </c>
    </row>
    <row r="29" spans="1:48">
      <c r="A29" s="2840" t="s">
        <v>2741</v>
      </c>
      <c r="B29" s="2841">
        <f>'预评函-2'!C5</f>
        <v>22</v>
      </c>
    </row>
    <row r="30" spans="1:48">
      <c r="A30" s="2840" t="s">
        <v>2742</v>
      </c>
      <c r="B30" s="2841" t="str">
        <f>'预评函-2'!D3</f>
        <v>土地使用证编号/不动产权证书编号</v>
      </c>
    </row>
    <row r="31" spans="1:48">
      <c r="A31" s="2840" t="s">
        <v>2716</v>
      </c>
      <c r="B31" s="2841" t="str">
        <f>'预评函-2'!D5</f>
        <v>京国土字第111号</v>
      </c>
    </row>
    <row r="32" spans="1:48">
      <c r="A32" s="2840" t="s">
        <v>2717</v>
      </c>
      <c r="B32" s="2841" t="str">
        <f>'预评函-2'!E5</f>
        <v>住宅、商业</v>
      </c>
      <c r="AV32" s="2845"/>
    </row>
    <row r="33" spans="1:2">
      <c r="A33" s="2840" t="s">
        <v>2718</v>
      </c>
      <c r="B33" s="2841">
        <f>'预评函-2'!F5</f>
        <v>258</v>
      </c>
    </row>
    <row r="34" spans="1:2">
      <c r="A34" s="2840" t="s">
        <v>2719</v>
      </c>
      <c r="B34" s="2841" t="str">
        <f>'预评函-2'!G5</f>
        <v>住宅、商业</v>
      </c>
    </row>
    <row r="35" spans="1:2">
      <c r="A35" s="2840" t="s">
        <v>2720</v>
      </c>
      <c r="B35" s="2841">
        <f>'预评函-2'!H5</f>
        <v>1.5</v>
      </c>
    </row>
    <row r="36" spans="1:2">
      <c r="A36" s="2840" t="s">
        <v>2721</v>
      </c>
      <c r="B36" s="2841">
        <f>'预评函-2'!I5</f>
        <v>1.5</v>
      </c>
    </row>
    <row r="37" spans="1:2">
      <c r="A37" s="2840" t="s">
        <v>2722</v>
      </c>
      <c r="B37" s="2841">
        <f>'预评函-2'!J5</f>
        <v>1.5</v>
      </c>
    </row>
    <row r="38" spans="1:2">
      <c r="A38" s="2840" t="s">
        <v>2723</v>
      </c>
      <c r="B38" s="2841" t="str">
        <f>'预评函-2'!K5</f>
        <v>红线外七通、宗地红线内场地未平整</v>
      </c>
    </row>
    <row r="39" spans="1:2">
      <c r="A39" s="2840" t="s">
        <v>2724</v>
      </c>
      <c r="B39" s="2841" t="str">
        <f>'预评函-2'!L5</f>
        <v>红线外七通、宗地红线内场地平整</v>
      </c>
    </row>
    <row r="40" spans="1:2">
      <c r="A40" s="2840" t="s">
        <v>2743</v>
      </c>
      <c r="B40" s="2841" t="str">
        <f>'预评函-2'!M3</f>
        <v>（剩余）土地使用年限/年</v>
      </c>
    </row>
    <row r="41" spans="1:2">
      <c r="A41" s="2840" t="s">
        <v>2725</v>
      </c>
      <c r="B41" s="2841" t="str">
        <f>'预评函-2'!M5</f>
        <v>住宅70年、商业40年、办公40年、地下车库50年</v>
      </c>
    </row>
    <row r="42" spans="1:2">
      <c r="A42" s="2840" t="s">
        <v>2744</v>
      </c>
      <c r="B42" s="2841" t="str">
        <f>'预评函-2'!N3</f>
        <v>（分摊）出让国有建设用地使用权面积/㎡</v>
      </c>
    </row>
    <row r="43" spans="1:2">
      <c r="A43" s="2840" t="s">
        <v>2726</v>
      </c>
      <c r="B43" s="2841">
        <f>'预评函-2'!N5</f>
        <v>171496.93</v>
      </c>
    </row>
    <row r="44" spans="1:2">
      <c r="A44" s="2840" t="s">
        <v>2745</v>
      </c>
      <c r="B44" s="2841" t="str">
        <f>'预评函-2'!O3</f>
        <v>规划建筑面积/㎡</v>
      </c>
    </row>
    <row r="45" spans="1:2">
      <c r="A45" s="2840" t="s">
        <v>2727</v>
      </c>
      <c r="B45" s="2841">
        <f>'预评函-2'!O5</f>
        <v>537479.47</v>
      </c>
    </row>
    <row r="46" spans="1:2">
      <c r="A46" s="2840" t="s">
        <v>2728</v>
      </c>
      <c r="B46" s="2841">
        <f ca="1">'预评函-2'!P5</f>
        <v>7318</v>
      </c>
    </row>
    <row r="47" spans="1:2">
      <c r="A47" s="2840" t="s">
        <v>2729</v>
      </c>
      <c r="B47" s="2841">
        <f ca="1">'预评函-2'!Q5</f>
        <v>2335</v>
      </c>
    </row>
    <row r="48" spans="1:2">
      <c r="A48" s="2840" t="s">
        <v>2730</v>
      </c>
      <c r="B48" s="2841">
        <f ca="1">'预评函-2'!R5</f>
        <v>125507</v>
      </c>
    </row>
    <row r="49" spans="1:2">
      <c r="A49" s="2840" t="s">
        <v>2746</v>
      </c>
      <c r="B49" s="2841" t="str">
        <f>'预评函-2'!A6</f>
        <v>——</v>
      </c>
    </row>
    <row r="50" spans="1:2">
      <c r="A50" s="2840" t="s">
        <v>2731</v>
      </c>
      <c r="B50" s="2841" t="str">
        <f>'预评函-2'!R6</f>
        <v>——</v>
      </c>
    </row>
    <row r="51" spans="1:2">
      <c r="A51" s="2840" t="s">
        <v>2747</v>
      </c>
      <c r="B51" s="2841" t="str">
        <f>'预评函-2'!A7</f>
        <v>——</v>
      </c>
    </row>
    <row r="52" spans="1:2">
      <c r="A52" s="2840" t="s">
        <v>2732</v>
      </c>
      <c r="B52" s="2841">
        <f ca="1">'预评函-2'!R7</f>
        <v>125507</v>
      </c>
    </row>
    <row r="53" spans="1:2">
      <c r="A53" s="2840" t="s">
        <v>2748</v>
      </c>
      <c r="B53" s="2841" t="str">
        <f>'预评函-2'!A8</f>
        <v>——</v>
      </c>
    </row>
    <row r="54" spans="1:2" s="2855" customFormat="1" ht="15" thickBot="1">
      <c r="A54" s="2862" t="s">
        <v>2733</v>
      </c>
      <c r="B54" s="2863" t="str">
        <f>'预评函-2'!R8</f>
        <v>——</v>
      </c>
    </row>
    <row r="55" spans="1:2" ht="15" thickTop="1">
      <c r="A55" s="2851" t="s">
        <v>2683</v>
      </c>
      <c r="B55" s="2852" t="str">
        <f>'预评函-3'!A2</f>
        <v>1.权利限制：根据估价对象——复印件，截至估价期日，估价对象抵押权未见登记。未设定租赁等其他他项权利。</v>
      </c>
    </row>
    <row r="56" spans="1:2">
      <c r="A56" s="2840" t="s">
        <v>2684</v>
      </c>
      <c r="B56" s="2841" t="str">
        <f>'预评函-3'!A3</f>
        <v>2.基础设施条件：估价对象实际开发程度为红线外七通、宗地红线内场地未平整；本次评估设定开发程度为红线外七通、宗地红线内场地平整。</v>
      </c>
    </row>
    <row r="57" spans="1:2">
      <c r="A57" s="2840" t="s">
        <v>2685</v>
      </c>
      <c r="B57" s="2841" t="str">
        <f>'预评函-3'!A4</f>
        <v>3.估价规划限制条件：详见《抵押物清单》。</v>
      </c>
    </row>
    <row r="58" spans="1:2" s="2855" customFormat="1" ht="15" thickBot="1">
      <c r="A58" s="2862" t="s">
        <v>2734</v>
      </c>
      <c r="B58" s="2863" t="str">
        <f>'预评函-3'!A5</f>
        <v>4.影响价格的其他限定条件：无。</v>
      </c>
    </row>
    <row r="59" spans="1:2" ht="15" thickTop="1">
      <c r="A59" s="2851" t="s">
        <v>2686</v>
      </c>
      <c r="B59" s="2852" t="str">
        <f>'预评函-3'!A8</f>
        <v>2.本次评估设定估价对象宗地权属无争议，未被查封或者以其他形式限制其房地产权利，未设定抵押权等他项权利，不涉及第三方权利义务。</v>
      </c>
    </row>
    <row r="60" spans="1:2">
      <c r="A60" s="2840" t="s">
        <v>2687</v>
      </c>
      <c r="B60" s="2841" t="str">
        <f>'预评函-3'!A9</f>
        <v>——</v>
      </c>
    </row>
    <row r="61" spans="1:2">
      <c r="A61" s="2840" t="s">
        <v>2689</v>
      </c>
      <c r="B61" s="2841" t="str">
        <f>'预评函-3'!A10</f>
        <v>——</v>
      </c>
    </row>
    <row r="62" spans="1:2">
      <c r="A62" s="2840" t="s">
        <v>2688</v>
      </c>
      <c r="B62" s="2841" t="str">
        <f>'预评函-3'!A11</f>
        <v>——</v>
      </c>
    </row>
    <row r="63" spans="1:2">
      <c r="A63" s="2840" t="s">
        <v>2690</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2691</v>
      </c>
      <c r="B64" s="2846" t="str">
        <f>'预评函-3'!A13</f>
        <v>（3）。</v>
      </c>
    </row>
    <row r="65" spans="1:2">
      <c r="A65" s="2840" t="s">
        <v>2692</v>
      </c>
      <c r="B65" s="2847" t="str">
        <f>'预评函-3'!A14</f>
        <v>——</v>
      </c>
    </row>
    <row r="66" spans="1:2">
      <c r="A66" s="2840" t="s">
        <v>2693</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2694</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2697</v>
      </c>
      <c r="B68" s="2866">
        <f>'预评函-3'!D30</f>
        <v>42558</v>
      </c>
    </row>
    <row r="69" spans="1:2" ht="15" thickTop="1">
      <c r="A69" s="2851" t="s">
        <v>2695</v>
      </c>
      <c r="B69" s="2852" t="str">
        <f>'预评函-3'!A20</f>
        <v>王鹏</v>
      </c>
    </row>
    <row r="70" spans="1:2">
      <c r="A70" s="2840" t="s">
        <v>2695</v>
      </c>
      <c r="B70" s="2847">
        <f ca="1">'预评函-3'!B20</f>
        <v>2002110030</v>
      </c>
    </row>
    <row r="71" spans="1:2">
      <c r="A71" s="2840" t="s">
        <v>2696</v>
      </c>
      <c r="B71" s="2841" t="str">
        <f>'预评函-3'!A21</f>
        <v>郑燚</v>
      </c>
    </row>
    <row r="72" spans="1:2" s="2855" customFormat="1" ht="15" thickBot="1">
      <c r="A72" s="2862" t="s">
        <v>2696</v>
      </c>
      <c r="B72" s="2868">
        <f>'预评函-3'!B21</f>
        <v>2014110011</v>
      </c>
    </row>
    <row r="73" spans="1:2" ht="15" thickTop="1">
      <c r="A73" s="2851" t="s">
        <v>2755</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2756</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2757</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2792</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G42" sqref="G42"/>
    </sheetView>
  </sheetViews>
  <sheetFormatPr defaultColWidth="10" defaultRowHeight="14.25"/>
  <cols>
    <col min="1" max="1" width="15.375" style="1687" customWidth="1"/>
    <col min="2" max="2" width="11.375" style="1687" customWidth="1"/>
    <col min="3" max="3" width="12.625" style="1687" customWidth="1"/>
    <col min="4" max="4" width="12.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136" t="str">
        <f>IF(B10="北京市","北京市",C10)&amp;F10&amp;B16&amp;"国有建设用地使用权"&amp;B9&amp;"预评估"</f>
        <v>河北省霸州市河北省廊坊市霸州市益津中路西侧国蕴城一区项目出让国有建设用地使用权市场价格预评估</v>
      </c>
      <c r="C1" s="3137"/>
      <c r="D1" s="3137"/>
      <c r="E1" s="3137"/>
      <c r="F1" s="3137"/>
      <c r="G1" s="3137"/>
      <c r="H1" s="3137"/>
      <c r="I1" s="3138"/>
      <c r="J1" s="1690"/>
      <c r="K1" s="2475" t="str">
        <f>IF(B10="北京市","北京市",C10)&amp;F10&amp;B16&amp;"国有建设用地使用权"&amp;B9</f>
        <v>河北省霸州市河北省廊坊市霸州市益津中路西侧国蕴城一区项目出让国有建设用地使用权市场价格</v>
      </c>
      <c r="L1" s="1718"/>
      <c r="M1" s="1718"/>
      <c r="N1" s="1690"/>
      <c r="O1" s="1691"/>
      <c r="P1" s="1690"/>
      <c r="Q1" s="1690"/>
      <c r="R1" s="1690"/>
      <c r="S1" s="1690"/>
      <c r="T1" s="1690"/>
      <c r="U1" s="1690"/>
    </row>
    <row r="2" spans="1:21">
      <c r="A2" s="1656" t="s">
        <v>1942</v>
      </c>
      <c r="B2" s="1837"/>
      <c r="D2" s="1690"/>
      <c r="E2" s="1690"/>
      <c r="F2" s="1690"/>
      <c r="G2" s="1690"/>
      <c r="H2" s="1656"/>
      <c r="I2" s="1691"/>
      <c r="J2" s="1690"/>
      <c r="K2" s="2475" t="str">
        <f>IF(B10="北京市","北京市",C10)&amp;F10&amp;B16&amp;"国有建设用地使用权"</f>
        <v>河北省霸州市河北省廊坊市霸州市益津中路西侧国蕴城一区项目出让国有建设用地使用权</v>
      </c>
      <c r="L2" s="1718"/>
      <c r="M2" s="1718"/>
      <c r="N2" s="1690"/>
      <c r="O2" s="1691"/>
      <c r="P2" s="1690"/>
      <c r="Q2" s="1690"/>
      <c r="R2" s="1690"/>
      <c r="S2" s="1690"/>
      <c r="T2" s="1690"/>
      <c r="U2" s="1690"/>
    </row>
    <row r="3" spans="1:21">
      <c r="A3" s="1657" t="s">
        <v>1943</v>
      </c>
      <c r="B3" s="1658">
        <v>43054</v>
      </c>
      <c r="C3" s="1659" t="s">
        <v>1997</v>
      </c>
      <c r="D3" s="1658">
        <f>B3</f>
        <v>43054</v>
      </c>
      <c r="E3" s="1690"/>
      <c r="F3" s="1690"/>
      <c r="G3" s="1690"/>
      <c r="H3" s="1656"/>
      <c r="I3" s="1691"/>
      <c r="J3" s="1690"/>
      <c r="K3" s="1769"/>
      <c r="L3" s="1718"/>
      <c r="M3" s="1718"/>
      <c r="N3" s="1690"/>
      <c r="O3" s="1691"/>
      <c r="P3" s="1690"/>
      <c r="Q3" s="1690"/>
      <c r="R3" s="1690"/>
      <c r="S3" s="1690"/>
      <c r="T3" s="1690"/>
      <c r="U3" s="1690"/>
    </row>
    <row r="4" spans="1:21" ht="15" thickBot="1">
      <c r="A4" s="1660" t="s">
        <v>1944</v>
      </c>
      <c r="B4" s="1838" t="s">
        <v>2977</v>
      </c>
      <c r="C4" s="1841">
        <f ca="1">SUMIF(土地估价师,B4,估价师及机构信息!E3:E24)</f>
        <v>2002110030</v>
      </c>
      <c r="D4" s="1838" t="s">
        <v>2978</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90"/>
      <c r="K4" s="2475" t="str">
        <f>IF(AND(F4="——",H4="——"),B4&amp;"、"&amp;D4,IF(AND(F4&lt;&gt;"——",H4="——"),B4&amp;"、"&amp;D4&amp;"、"&amp;F4,B4&amp;"、"&amp;D4&amp;"、"&amp;F4&amp;"、"&amp;H4))</f>
        <v>王鹏、郑燚</v>
      </c>
      <c r="L4" s="1718"/>
      <c r="M4" s="1718"/>
      <c r="N4" s="1690"/>
      <c r="O4" s="1691"/>
      <c r="P4" s="1690"/>
      <c r="Q4" s="1690"/>
      <c r="R4" s="1690"/>
      <c r="S4" s="1690"/>
      <c r="T4" s="1690"/>
      <c r="U4" s="1690"/>
    </row>
    <row r="5" spans="1:21" ht="15" thickTop="1">
      <c r="A5" s="1661" t="s">
        <v>1945</v>
      </c>
      <c r="B5" s="1784" t="s">
        <v>2979</v>
      </c>
      <c r="C5" s="1662"/>
      <c r="D5" s="1663"/>
      <c r="E5" s="1690"/>
      <c r="F5" s="1690"/>
      <c r="G5" s="1690"/>
      <c r="H5" s="1656"/>
      <c r="I5" s="1691"/>
      <c r="J5" s="1690"/>
      <c r="K5" s="1769"/>
      <c r="L5" s="1718"/>
      <c r="M5" s="1718"/>
      <c r="N5" s="1690"/>
      <c r="O5" s="1691"/>
      <c r="P5" s="1690"/>
      <c r="Q5" s="1690"/>
      <c r="R5" s="1690"/>
      <c r="S5" s="1690"/>
      <c r="T5" s="1690"/>
      <c r="U5" s="1690"/>
    </row>
    <row r="6" spans="1:21" ht="26.25">
      <c r="A6" s="1659" t="s">
        <v>2711</v>
      </c>
      <c r="B6" s="1784" t="s">
        <v>2980</v>
      </c>
      <c r="C6" s="1756"/>
      <c r="D6" s="1664"/>
      <c r="E6" s="1690"/>
      <c r="F6" s="1690"/>
      <c r="G6" s="1690"/>
      <c r="H6" s="1656"/>
      <c r="I6" s="1691"/>
      <c r="J6" s="1690"/>
      <c r="K6" s="3012" t="str">
        <f>IF(COUNTIF(B6,"*上海银行*"),"上海银行","")</f>
        <v/>
      </c>
      <c r="L6" s="1718"/>
      <c r="M6" s="1718"/>
      <c r="N6" s="1690"/>
      <c r="O6" s="1691"/>
      <c r="P6" s="1690"/>
      <c r="Q6" s="1690"/>
      <c r="R6" s="1690"/>
      <c r="S6" s="1690"/>
      <c r="T6" s="1690"/>
      <c r="U6" s="1690"/>
    </row>
    <row r="7" spans="1:21">
      <c r="A7" s="1665" t="s">
        <v>2712</v>
      </c>
      <c r="B7" s="1784" t="s">
        <v>2979</v>
      </c>
      <c r="C7" s="1756"/>
      <c r="D7" s="1664"/>
      <c r="E7" s="1690"/>
      <c r="F7" s="1690"/>
      <c r="G7" s="1690"/>
      <c r="H7" s="1656"/>
      <c r="I7" s="1691"/>
      <c r="J7" s="1690"/>
      <c r="K7" s="1769"/>
      <c r="L7" s="1718"/>
      <c r="M7" s="1718"/>
      <c r="N7" s="1690"/>
      <c r="O7" s="1691"/>
      <c r="P7" s="1690"/>
      <c r="Q7" s="1690"/>
      <c r="R7" s="1690"/>
      <c r="S7" s="1690"/>
      <c r="T7" s="1690"/>
      <c r="U7" s="1690"/>
    </row>
    <row r="8" spans="1:21">
      <c r="A8" s="1665" t="s">
        <v>1946</v>
      </c>
      <c r="B8" s="1666" t="s">
        <v>2981</v>
      </c>
      <c r="C8" s="1667"/>
      <c r="D8" s="3142" t="s">
        <v>1948</v>
      </c>
      <c r="E8" s="1839" t="s">
        <v>2983</v>
      </c>
      <c r="F8" s="1668"/>
      <c r="G8" s="1656"/>
      <c r="H8" s="1656"/>
      <c r="I8" s="1703"/>
      <c r="J8" s="1690"/>
      <c r="K8" s="1769"/>
      <c r="L8" s="1718"/>
      <c r="M8" s="1718"/>
      <c r="N8" s="1690"/>
      <c r="O8" s="1691"/>
      <c r="P8" s="1690"/>
      <c r="Q8" s="1690"/>
      <c r="R8" s="1690"/>
      <c r="S8" s="1690"/>
      <c r="T8" s="1690"/>
      <c r="U8" s="1690"/>
    </row>
    <row r="9" spans="1:21" ht="15" thickBot="1">
      <c r="A9" s="1669" t="s">
        <v>1947</v>
      </c>
      <c r="B9" s="1670" t="s">
        <v>2982</v>
      </c>
      <c r="C9" s="1671"/>
      <c r="D9" s="3143"/>
      <c r="E9" s="1670"/>
      <c r="F9" s="1742"/>
      <c r="G9" s="1737"/>
      <c r="H9" s="1737"/>
      <c r="I9" s="1738"/>
      <c r="J9" s="1690"/>
      <c r="K9" s="1769"/>
      <c r="L9" s="1718"/>
      <c r="M9" s="1718"/>
      <c r="N9" s="1690"/>
      <c r="O9" s="1691"/>
      <c r="P9" s="1690"/>
      <c r="Q9" s="1690"/>
      <c r="R9" s="1690"/>
      <c r="S9" s="1690"/>
      <c r="T9" s="1690"/>
      <c r="U9" s="1690"/>
    </row>
    <row r="10" spans="1:21" ht="15" thickTop="1">
      <c r="A10" s="1739" t="s">
        <v>2000</v>
      </c>
      <c r="B10" s="3095" t="s">
        <v>2984</v>
      </c>
      <c r="C10" s="1672" t="s">
        <v>2985</v>
      </c>
      <c r="D10" s="1663"/>
      <c r="E10" s="1673" t="s">
        <v>1950</v>
      </c>
      <c r="F10" s="1674" t="s">
        <v>2986</v>
      </c>
      <c r="G10" s="1740"/>
      <c r="H10" s="1741"/>
      <c r="I10" s="1663"/>
      <c r="J10" s="1690"/>
      <c r="K10" s="1769"/>
      <c r="L10" s="1718"/>
      <c r="M10" s="1718"/>
      <c r="N10" s="1690"/>
      <c r="O10" s="1691"/>
      <c r="P10" s="1690"/>
      <c r="Q10" s="1690"/>
      <c r="R10" s="1690"/>
      <c r="S10" s="1690"/>
      <c r="T10" s="1690"/>
      <c r="U10" s="1690"/>
    </row>
    <row r="11" spans="1:21">
      <c r="A11" s="1693" t="s">
        <v>2001</v>
      </c>
      <c r="B11" s="1694" t="s">
        <v>2987</v>
      </c>
      <c r="C11" s="1675"/>
      <c r="D11" s="1757"/>
      <c r="E11" s="1656"/>
      <c r="F11" s="1656"/>
      <c r="G11" s="1656"/>
      <c r="H11" s="1656"/>
      <c r="I11" s="1656"/>
      <c r="J11" s="1690"/>
      <c r="K11" s="1769"/>
      <c r="L11" s="1718"/>
      <c r="M11" s="1718"/>
      <c r="N11" s="1690"/>
      <c r="O11" s="1691"/>
      <c r="P11" s="1690"/>
      <c r="Q11" s="1690"/>
      <c r="R11" s="1690"/>
      <c r="S11" s="1690"/>
      <c r="T11" s="1690"/>
      <c r="U11" s="1690"/>
    </row>
    <row r="12" spans="1:21">
      <c r="A12" s="1780" t="s">
        <v>2059</v>
      </c>
      <c r="B12" s="3139" t="s">
        <v>2988</v>
      </c>
      <c r="C12" s="3140"/>
      <c r="D12" s="3141"/>
      <c r="E12" s="1695" t="s">
        <v>2062</v>
      </c>
      <c r="F12" s="3157" t="s">
        <v>2894</v>
      </c>
      <c r="G12" s="3158"/>
      <c r="H12" s="3158"/>
      <c r="I12" s="3159"/>
      <c r="J12" s="1690"/>
      <c r="K12" s="1769"/>
      <c r="L12" s="1718"/>
      <c r="M12" s="1718"/>
      <c r="N12" s="1690"/>
      <c r="O12" s="1691"/>
      <c r="P12" s="1690"/>
      <c r="Q12" s="1690"/>
      <c r="R12" s="1690"/>
      <c r="S12" s="1690"/>
      <c r="T12" s="1690"/>
      <c r="U12" s="1690"/>
    </row>
    <row r="13" spans="1:21">
      <c r="A13" s="1683" t="s">
        <v>2060</v>
      </c>
      <c r="B13" s="3139" t="s">
        <v>2989</v>
      </c>
      <c r="C13" s="3140"/>
      <c r="D13" s="3141"/>
      <c r="E13" s="1695" t="s">
        <v>2062</v>
      </c>
      <c r="F13" s="3157" t="s">
        <v>2895</v>
      </c>
      <c r="G13" s="3158"/>
      <c r="H13" s="3158"/>
      <c r="I13" s="3159"/>
      <c r="J13" s="1690"/>
      <c r="K13" s="1769"/>
      <c r="L13" s="1718"/>
      <c r="M13" s="1718"/>
      <c r="N13" s="1690"/>
      <c r="O13" s="1691"/>
      <c r="P13" s="1690"/>
      <c r="Q13" s="1690"/>
      <c r="R13" s="1690"/>
      <c r="S13" s="1690"/>
      <c r="T13" s="1690"/>
      <c r="U13" s="1690"/>
    </row>
    <row r="14" spans="1:21">
      <c r="A14" s="1657" t="s">
        <v>2063</v>
      </c>
      <c r="B14" s="1695"/>
      <c r="C14" s="1840" t="s">
        <v>2990</v>
      </c>
      <c r="D14" s="1728" t="str">
        <f>IF(C14="不一致","是否符合证载地类范围","")</f>
        <v/>
      </c>
      <c r="E14" s="1695"/>
      <c r="F14" s="1785" t="s">
        <v>2991</v>
      </c>
      <c r="G14" s="1723"/>
      <c r="H14" s="1723"/>
      <c r="I14" s="1832"/>
      <c r="J14" s="1690"/>
      <c r="K14" s="1769"/>
      <c r="L14" s="1718"/>
      <c r="M14" s="1718"/>
      <c r="N14" s="1690"/>
      <c r="O14" s="1691"/>
      <c r="P14" s="1690"/>
      <c r="Q14" s="1690"/>
      <c r="R14" s="1690"/>
      <c r="S14" s="1690"/>
      <c r="T14" s="1690"/>
      <c r="U14" s="1690"/>
    </row>
    <row r="15" spans="1:21" hidden="1">
      <c r="A15" s="2663"/>
      <c r="B15" s="1659"/>
      <c r="C15" s="1659"/>
      <c r="D15" s="1761" t="s">
        <v>1953</v>
      </c>
      <c r="E15" s="1761" t="s">
        <v>1954</v>
      </c>
      <c r="F15" s="1761" t="s">
        <v>1955</v>
      </c>
      <c r="G15" s="1682" t="s">
        <v>1956</v>
      </c>
      <c r="H15" s="1682" t="s">
        <v>1957</v>
      </c>
      <c r="I15" s="1682" t="s">
        <v>1958</v>
      </c>
      <c r="J15" s="1690"/>
      <c r="K15" s="1769"/>
      <c r="L15" s="1718"/>
      <c r="M15" s="1718"/>
      <c r="N15" s="1690"/>
      <c r="O15" s="1691"/>
      <c r="P15" s="1690"/>
      <c r="Q15" s="1690"/>
      <c r="R15" s="1690"/>
      <c r="S15" s="1690"/>
      <c r="T15" s="1690"/>
      <c r="U15" s="1690"/>
    </row>
    <row r="16" spans="1:21" ht="42.75">
      <c r="A16" s="1676" t="s">
        <v>1951</v>
      </c>
      <c r="B16" s="1677" t="s">
        <v>2992</v>
      </c>
      <c r="C16" s="1695" t="s">
        <v>1952</v>
      </c>
      <c r="D16" s="2664" t="s">
        <v>1953</v>
      </c>
      <c r="E16" s="1717" t="s">
        <v>2993</v>
      </c>
      <c r="F16" s="1717" t="s">
        <v>1679</v>
      </c>
      <c r="G16" s="1717" t="s">
        <v>2994</v>
      </c>
      <c r="H16" s="1717"/>
      <c r="I16" s="1682" t="s">
        <v>1958</v>
      </c>
      <c r="J16" s="1690"/>
      <c r="K16" s="2476" t="str">
        <f>IF(D17="","",D16&amp;TEXT(D17,"yyyy年m月d日;;"))</f>
        <v>住宅2087年11月15日</v>
      </c>
      <c r="L16" s="1695" t="str">
        <f>IF(OR(K16="",M16=""),"","、")</f>
        <v>、</v>
      </c>
      <c r="M16" s="2476" t="str">
        <f>IF(E17="","",E16&amp;TEXT(E17,"yyyy年m月d日;;"))</f>
        <v>商业2057年11月15日</v>
      </c>
      <c r="N16" s="1695" t="str">
        <f>IF(OR(M16="",O16=""),"","、")</f>
        <v>、</v>
      </c>
      <c r="O16" s="2476" t="str">
        <f>IF(F17="","",F16&amp;TEXT(F17,"yyyy年m月d日;;"))</f>
        <v>办公2057年11月15日</v>
      </c>
      <c r="P16" s="1695" t="str">
        <f>IF(OR(O16="",Q16=""),"","、")</f>
        <v>、</v>
      </c>
      <c r="Q16" s="2476" t="str">
        <f>IF(G17="","",G16&amp;TEXT(G17,"yyyy年m月d日;;"))</f>
        <v>车库2067年11月15日</v>
      </c>
      <c r="R16" s="1695" t="str">
        <f>IF(OR(Q16="",S16=""),"","、")</f>
        <v/>
      </c>
      <c r="S16" s="2476" t="str">
        <f>IF(H17="","",H16&amp;TEXT(H17,"yyyy年m月d日;;"))</f>
        <v/>
      </c>
      <c r="T16" s="1695" t="str">
        <f>IF(OR(S16="",U16=""),"","、")</f>
        <v/>
      </c>
      <c r="U16" s="2476" t="str">
        <f>IF(I17="","",I16&amp;TEXT(I17,"yyyy年m月d日;;"))</f>
        <v/>
      </c>
    </row>
    <row r="17" spans="1:21">
      <c r="A17" s="1758"/>
      <c r="B17" s="1678"/>
      <c r="C17" s="1679" t="s">
        <v>1959</v>
      </c>
      <c r="D17" s="1696">
        <v>68621</v>
      </c>
      <c r="E17" s="1696">
        <v>57664</v>
      </c>
      <c r="F17" s="1696">
        <v>57664</v>
      </c>
      <c r="G17" s="1696">
        <v>61316</v>
      </c>
      <c r="H17" s="1696"/>
      <c r="I17" s="1696"/>
      <c r="J17" s="1690"/>
      <c r="K17" s="2475" t="str">
        <f>CONCATENATE(K16,L16,M16,N16,O16,P16,Q16,R16,S16,T16,,U16)</f>
        <v>住宅2087年11月15日、商业2057年11月15日、办公2057年11月15日、车库2067年11月15日</v>
      </c>
      <c r="L17" s="1718"/>
      <c r="M17" s="1718"/>
      <c r="N17" s="1690"/>
      <c r="O17" s="1691"/>
      <c r="P17" s="1690"/>
      <c r="Q17" s="1690"/>
      <c r="R17" s="1690"/>
      <c r="S17" s="1690"/>
      <c r="T17" s="1690"/>
      <c r="U17" s="1690"/>
    </row>
    <row r="18" spans="1:21">
      <c r="A18" s="1758"/>
      <c r="B18" s="1678"/>
      <c r="C18" s="1679" t="s">
        <v>1960</v>
      </c>
      <c r="D18" s="1680">
        <v>70</v>
      </c>
      <c r="E18" s="1680">
        <v>40</v>
      </c>
      <c r="F18" s="1680">
        <v>40</v>
      </c>
      <c r="G18" s="1680">
        <v>50</v>
      </c>
      <c r="H18" s="1680"/>
      <c r="I18" s="1680"/>
      <c r="J18" s="1690"/>
      <c r="K18" s="1769"/>
      <c r="L18" s="1718"/>
      <c r="M18" s="1718"/>
      <c r="N18" s="1690"/>
      <c r="O18" s="1691"/>
      <c r="P18" s="1690"/>
      <c r="Q18" s="1690"/>
      <c r="R18" s="1690"/>
      <c r="S18" s="1690"/>
      <c r="T18" s="1690"/>
      <c r="U18" s="1690"/>
    </row>
    <row r="19" spans="1:21">
      <c r="A19" s="1758"/>
      <c r="B19" s="1678"/>
      <c r="C19" s="1656" t="s">
        <v>1961</v>
      </c>
      <c r="D19" s="1753">
        <f>IF(B16="出让",IF(D17="","",ROUNDDOWN(MIN((D17-$D$3)/365,D18),2)),D18)</f>
        <v>70</v>
      </c>
      <c r="E19" s="1681">
        <f>IF(B16="出让",IF(E17="","",ROUNDDOWN(MIN((E17-$D$3)/365,E18),2)),E18)</f>
        <v>40</v>
      </c>
      <c r="F19" s="1681">
        <f>IF(B16="出让",IF(F17="","",ROUNDDOWN(MIN((F17-$D$3)/365,F18),2)),F18)</f>
        <v>40</v>
      </c>
      <c r="G19" s="1681">
        <f>IF(B16="出让",IF(G17="","",ROUNDDOWN(MIN((G17-$D$3)/365,G18),2)),G18)</f>
        <v>50</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2061</v>
      </c>
      <c r="D20" s="3154" t="s">
        <v>2995</v>
      </c>
      <c r="E20" s="3155"/>
      <c r="F20" s="3155"/>
      <c r="G20" s="3155"/>
      <c r="H20" s="3155"/>
      <c r="I20" s="3156"/>
      <c r="J20" s="1690"/>
      <c r="K20" s="1769"/>
      <c r="L20" s="1718"/>
      <c r="M20" s="1718"/>
      <c r="N20" s="1690"/>
      <c r="O20" s="1691"/>
      <c r="P20" s="1690"/>
      <c r="Q20" s="1690"/>
      <c r="R20" s="1690"/>
      <c r="S20" s="1690"/>
      <c r="T20" s="1690"/>
      <c r="U20" s="1690"/>
    </row>
    <row r="21" spans="1:21">
      <c r="A21" s="1758" t="s">
        <v>1962</v>
      </c>
      <c r="B21" s="1759" t="s">
        <v>1963</v>
      </c>
      <c r="C21" s="1754">
        <f>'数据-汇总表'!E3</f>
        <v>537479.47</v>
      </c>
      <c r="D21" s="1755" t="s">
        <v>1964</v>
      </c>
      <c r="E21" s="3144" t="s">
        <v>2997</v>
      </c>
      <c r="F21" s="3145"/>
      <c r="G21" s="3145"/>
      <c r="H21" s="3145"/>
      <c r="I21" s="3146"/>
      <c r="J21" s="1690"/>
      <c r="K21" s="1769"/>
      <c r="L21" s="1718"/>
      <c r="M21" s="1718"/>
      <c r="N21" s="1690"/>
      <c r="O21" s="1691"/>
      <c r="P21" s="1690"/>
      <c r="Q21" s="1690"/>
      <c r="R21" s="1690"/>
      <c r="S21" s="1690"/>
      <c r="T21" s="1690"/>
      <c r="U21" s="1690"/>
    </row>
    <row r="22" spans="1:21">
      <c r="A22" s="2655" t="s">
        <v>953</v>
      </c>
      <c r="B22" s="1657" t="s">
        <v>1965</v>
      </c>
      <c r="C22" s="1682">
        <f>'数据-汇总表'!D3</f>
        <v>171496.93</v>
      </c>
      <c r="D22" s="1683" t="s">
        <v>1964</v>
      </c>
      <c r="E22" s="3144" t="s">
        <v>2998</v>
      </c>
      <c r="F22" s="3145"/>
      <c r="G22" s="3145"/>
      <c r="H22" s="3145"/>
      <c r="I22" s="3146"/>
      <c r="J22" s="1690"/>
      <c r="K22" s="1769"/>
      <c r="L22" s="1718"/>
      <c r="M22" s="1718"/>
      <c r="N22" s="1690"/>
      <c r="O22" s="1691"/>
      <c r="P22" s="1690"/>
      <c r="Q22" s="1690"/>
      <c r="R22" s="1690"/>
      <c r="S22" s="1690"/>
      <c r="T22" s="1690"/>
      <c r="U22" s="1690"/>
    </row>
    <row r="23" spans="1:21" ht="43.5" thickBot="1">
      <c r="A23" s="1760" t="s">
        <v>1966</v>
      </c>
      <c r="B23" s="1697" t="s">
        <v>1967</v>
      </c>
      <c r="C23" s="1698" t="s">
        <v>953</v>
      </c>
      <c r="D23" s="1699" t="s">
        <v>1968</v>
      </c>
      <c r="E23" s="1700" t="s">
        <v>953</v>
      </c>
      <c r="F23" s="1701" t="str">
        <f>IF(AND(C23="是",E23="否"),"是否提供他项权证或相关说明","")</f>
        <v/>
      </c>
      <c r="G23" s="1702" t="s">
        <v>953</v>
      </c>
      <c r="H23" s="1690"/>
      <c r="I23" s="1703"/>
      <c r="J23" s="1690"/>
      <c r="K23" s="1769"/>
      <c r="L23" s="1718"/>
      <c r="M23" s="1718"/>
      <c r="N23" s="1690"/>
      <c r="O23" s="1691"/>
      <c r="P23" s="1690"/>
      <c r="Q23" s="1690"/>
      <c r="R23" s="1690"/>
      <c r="S23" s="1690"/>
      <c r="T23" s="1690"/>
      <c r="U23" s="1690"/>
    </row>
    <row r="24" spans="1:21">
      <c r="A24" s="1745" t="s">
        <v>1969</v>
      </c>
      <c r="B24" s="3147" t="s">
        <v>1970</v>
      </c>
      <c r="C24" s="3148"/>
      <c r="D24" s="3149" t="s">
        <v>1971</v>
      </c>
      <c r="E24" s="3150"/>
      <c r="F24" s="1704" t="s">
        <v>1972</v>
      </c>
      <c r="G24" s="1690"/>
      <c r="H24" s="1690"/>
      <c r="I24" s="1703"/>
      <c r="J24" s="1690"/>
      <c r="K24" s="3135" t="s">
        <v>1973</v>
      </c>
      <c r="L24" s="2477" t="str">
        <f>"根据估价对象"&amp;IF(B26="——",B25&amp;C25,B25&amp;C25&amp;"、"&amp;B26&amp;C26)&amp;"，"&amp;IF(C23="是","截至估价期日，估价对象已设定抵押。","截至估价期日，估价对象抵押权未见登记。")</f>
        <v>根据估价对象——复印件，截至估价期日，估价对象抵押权未见登记。</v>
      </c>
      <c r="M24" s="1718"/>
      <c r="N24" s="1690"/>
      <c r="O24" s="1691"/>
      <c r="P24" s="1690"/>
      <c r="Q24" s="1690"/>
      <c r="R24" s="1690"/>
      <c r="S24" s="1690"/>
      <c r="T24" s="1690"/>
      <c r="U24" s="1690"/>
    </row>
    <row r="25" spans="1:21">
      <c r="A25" s="1746"/>
      <c r="B25" s="1743" t="s">
        <v>953</v>
      </c>
      <c r="C25" s="1705" t="s">
        <v>2326</v>
      </c>
      <c r="D25" s="1706"/>
      <c r="E25" s="1707" t="s">
        <v>953</v>
      </c>
      <c r="F25" s="1708"/>
      <c r="G25" s="1690"/>
      <c r="H25" s="1690"/>
      <c r="I25" s="1703"/>
      <c r="J25" s="1690"/>
      <c r="K25" s="313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15" thickBot="1">
      <c r="A26" s="1747"/>
      <c r="B26" s="1744" t="s">
        <v>953</v>
      </c>
      <c r="C26" s="1705" t="s">
        <v>2326</v>
      </c>
      <c r="D26" s="1656"/>
      <c r="E26" s="1656"/>
      <c r="F26" s="1684"/>
      <c r="G26" s="1690"/>
      <c r="H26" s="1690"/>
      <c r="I26" s="1703"/>
      <c r="J26" s="1690"/>
      <c r="K26" s="313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1974</v>
      </c>
      <c r="B27" s="1748" t="s">
        <v>1975</v>
      </c>
      <c r="C27" s="1709"/>
      <c r="D27" s="2669" t="s">
        <v>1975</v>
      </c>
      <c r="E27" s="1710"/>
      <c r="F27" s="1684"/>
      <c r="G27" s="1690"/>
      <c r="H27" s="1690"/>
      <c r="I27" s="1703"/>
      <c r="J27" s="1690"/>
      <c r="K27" s="1769"/>
      <c r="L27" s="1718"/>
      <c r="M27" s="1718"/>
      <c r="N27" s="1690"/>
      <c r="O27" s="1691"/>
      <c r="P27" s="1690"/>
      <c r="Q27" s="1690"/>
      <c r="R27" s="1690"/>
      <c r="S27" s="1690"/>
      <c r="T27" s="1690"/>
      <c r="U27" s="1690"/>
    </row>
    <row r="28" spans="1:21">
      <c r="A28" s="1751"/>
      <c r="B28" s="1748" t="s">
        <v>1976</v>
      </c>
      <c r="C28" s="1711"/>
      <c r="D28" s="2670" t="s">
        <v>1976</v>
      </c>
      <c r="E28" s="1712"/>
      <c r="F28" s="1684"/>
      <c r="G28" s="1690"/>
      <c r="H28" s="1690"/>
      <c r="I28" s="1703"/>
      <c r="J28" s="1690"/>
      <c r="K28" s="1769"/>
      <c r="L28" s="1718"/>
      <c r="M28" s="1718"/>
      <c r="N28" s="1690"/>
      <c r="O28" s="1691"/>
      <c r="P28" s="1690"/>
      <c r="Q28" s="1690"/>
      <c r="R28" s="1690"/>
      <c r="S28" s="1690"/>
      <c r="T28" s="1690"/>
      <c r="U28" s="1690"/>
    </row>
    <row r="29" spans="1:21">
      <c r="A29" s="1751"/>
      <c r="B29" s="1748" t="s">
        <v>1977</v>
      </c>
      <c r="C29" s="1711"/>
      <c r="D29" s="2670" t="s">
        <v>1977</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1978</v>
      </c>
      <c r="C30" s="1713"/>
      <c r="D30" s="2671" t="s">
        <v>1978</v>
      </c>
      <c r="E30" s="1714"/>
      <c r="F30" s="1685"/>
      <c r="G30" s="1737"/>
      <c r="H30" s="1737"/>
      <c r="I30" s="1738"/>
      <c r="J30" s="1690"/>
      <c r="K30" s="1769"/>
      <c r="L30" s="1718"/>
      <c r="M30" s="1718"/>
      <c r="N30" s="1690"/>
      <c r="O30" s="1691"/>
      <c r="P30" s="1690"/>
      <c r="Q30" s="1690"/>
      <c r="R30" s="1690"/>
      <c r="S30" s="1690"/>
      <c r="T30" s="1690"/>
      <c r="U30" s="1690"/>
    </row>
    <row r="31" spans="1:21" ht="15" thickTop="1">
      <c r="A31" s="3162" t="s">
        <v>2002</v>
      </c>
      <c r="B31" s="1759" t="s">
        <v>2003</v>
      </c>
      <c r="C31" s="3160" t="s">
        <v>2999</v>
      </c>
      <c r="D31" s="3161"/>
      <c r="E31" s="1690"/>
      <c r="F31" s="1690"/>
      <c r="G31" s="1690"/>
      <c r="H31" s="1690"/>
      <c r="I31" s="1703"/>
      <c r="J31" s="1690"/>
      <c r="K31" s="2478"/>
      <c r="L31" s="1690"/>
      <c r="M31" s="1690"/>
      <c r="N31" s="1690"/>
      <c r="O31" s="1690"/>
      <c r="P31" s="1690"/>
      <c r="Q31" s="1690"/>
      <c r="R31" s="1690"/>
      <c r="S31" s="1690"/>
      <c r="T31" s="1690"/>
      <c r="U31" s="1690"/>
    </row>
    <row r="32" spans="1:21">
      <c r="A32" s="3162"/>
      <c r="B32" s="1657" t="s">
        <v>2004</v>
      </c>
      <c r="C32" s="3095" t="s">
        <v>3000</v>
      </c>
      <c r="D32" s="1715"/>
      <c r="E32" s="1690"/>
      <c r="F32" s="1690"/>
      <c r="G32" s="1690"/>
      <c r="H32" s="1690"/>
      <c r="I32" s="1703"/>
      <c r="J32" s="1690"/>
      <c r="K32" s="2478"/>
      <c r="L32" s="1690"/>
      <c r="M32" s="1690"/>
      <c r="N32" s="1690"/>
      <c r="O32" s="1690"/>
      <c r="P32" s="1690"/>
      <c r="Q32" s="1690"/>
      <c r="R32" s="1690"/>
      <c r="S32" s="1690"/>
      <c r="T32" s="1690"/>
      <c r="U32" s="1690"/>
    </row>
    <row r="33" spans="1:21">
      <c r="A33" s="3162"/>
      <c r="B33" s="1657" t="s">
        <v>2005</v>
      </c>
      <c r="C33" s="1716" t="s">
        <v>3001</v>
      </c>
      <c r="D33" s="1833"/>
      <c r="E33" s="1690"/>
      <c r="F33" s="1690"/>
      <c r="G33" s="1690"/>
      <c r="H33" s="1690"/>
      <c r="I33" s="1703"/>
      <c r="J33" s="1690"/>
      <c r="K33" s="2478"/>
      <c r="L33" s="1690"/>
      <c r="M33" s="1690"/>
      <c r="N33" s="1690"/>
      <c r="O33" s="1690"/>
      <c r="P33" s="1690"/>
      <c r="Q33" s="1690"/>
      <c r="R33" s="1690"/>
      <c r="S33" s="1690"/>
      <c r="T33" s="1690"/>
      <c r="U33" s="1690"/>
    </row>
    <row r="34" spans="1:21">
      <c r="A34" s="3163"/>
      <c r="B34" s="1657" t="s">
        <v>2006</v>
      </c>
      <c r="C34" s="3164" t="s">
        <v>3002</v>
      </c>
      <c r="D34" s="3165"/>
      <c r="E34" s="1690"/>
      <c r="F34" s="1690"/>
      <c r="G34" s="1690"/>
      <c r="H34" s="1690"/>
      <c r="I34" s="1703"/>
      <c r="J34" s="1690"/>
      <c r="K34" s="2478"/>
      <c r="L34" s="1690"/>
      <c r="M34" s="1690"/>
      <c r="N34" s="1690"/>
      <c r="O34" s="1690"/>
      <c r="P34" s="1690"/>
      <c r="Q34" s="1690"/>
      <c r="R34" s="1690"/>
      <c r="S34" s="1690"/>
      <c r="T34" s="1690"/>
      <c r="U34" s="1690"/>
    </row>
    <row r="35" spans="1:21">
      <c r="A35" s="3166" t="s">
        <v>848</v>
      </c>
      <c r="B35" s="1717" t="s">
        <v>3003</v>
      </c>
      <c r="C35" s="1771" t="str">
        <f>IF(B35="场地平整","——","具体情况：")</f>
        <v>具体情况：</v>
      </c>
      <c r="D35" s="3168"/>
      <c r="E35" s="3169"/>
      <c r="F35" s="3169"/>
      <c r="G35" s="3169"/>
      <c r="H35" s="3169"/>
      <c r="I35" s="3170"/>
      <c r="J35" s="1690"/>
      <c r="K35" s="1770"/>
      <c r="L35" s="1718"/>
      <c r="M35" s="1718"/>
      <c r="N35" s="1690"/>
      <c r="O35" s="1691"/>
      <c r="P35" s="1690"/>
      <c r="Q35" s="1690"/>
      <c r="R35" s="1690"/>
      <c r="S35" s="1690"/>
      <c r="T35" s="1690"/>
      <c r="U35" s="1690"/>
    </row>
    <row r="36" spans="1:21" ht="28.5">
      <c r="A36" s="3162"/>
      <c r="B36" s="3171" t="s">
        <v>2055</v>
      </c>
      <c r="C36" s="3172"/>
      <c r="D36" s="1787" t="s">
        <v>3004</v>
      </c>
      <c r="E36" s="3173"/>
      <c r="F36" s="3173"/>
      <c r="G36" s="1683" t="str">
        <f>IF(B35="场地未平整","估价结果处理","")</f>
        <v>估价结果处理</v>
      </c>
      <c r="H36" s="3174"/>
      <c r="I36" s="3174"/>
      <c r="J36" s="1690"/>
      <c r="K36" s="1770"/>
      <c r="L36" s="1718"/>
      <c r="M36" s="1718"/>
      <c r="N36" s="1690"/>
      <c r="O36" s="1691"/>
      <c r="P36" s="1690"/>
      <c r="Q36" s="1690"/>
      <c r="R36" s="1690"/>
      <c r="S36" s="1690"/>
      <c r="T36" s="1690"/>
      <c r="U36" s="1690"/>
    </row>
    <row r="37" spans="1:21" ht="28.5">
      <c r="A37" s="3162"/>
      <c r="B37" s="3151" t="s">
        <v>849</v>
      </c>
      <c r="C37" s="1719" t="s">
        <v>850</v>
      </c>
      <c r="D37" s="1720"/>
      <c r="E37" s="1721"/>
      <c r="F37" s="1690"/>
      <c r="G37" s="1690"/>
      <c r="H37" s="1690"/>
      <c r="I37" s="1703"/>
      <c r="J37" s="1690"/>
      <c r="K37" s="1770"/>
      <c r="L37" s="1690"/>
      <c r="M37" s="1690"/>
      <c r="N37" s="1690"/>
      <c r="O37" s="1690"/>
      <c r="P37" s="1690"/>
      <c r="Q37" s="1690"/>
      <c r="R37" s="1690"/>
      <c r="S37" s="1690"/>
      <c r="T37" s="1690"/>
      <c r="U37" s="1690"/>
    </row>
    <row r="38" spans="1:21">
      <c r="A38" s="3162"/>
      <c r="B38" s="3152"/>
      <c r="C38" s="1665" t="s">
        <v>851</v>
      </c>
      <c r="D38" s="1786">
        <f>ROUNDDOWN(MIN(('数据-取费表'!$B$2-D37)/365,D34),1)</f>
        <v>117.9</v>
      </c>
      <c r="E38" s="1722" t="s">
        <v>852</v>
      </c>
      <c r="F38" s="1690"/>
      <c r="G38" s="1690"/>
      <c r="H38" s="1690"/>
      <c r="I38" s="1703"/>
      <c r="J38" s="1690"/>
      <c r="K38" s="1770"/>
      <c r="L38" s="1690"/>
      <c r="M38" s="1690"/>
      <c r="N38" s="1690"/>
      <c r="O38" s="1690"/>
      <c r="P38" s="1690"/>
      <c r="Q38" s="1690"/>
      <c r="R38" s="1690"/>
      <c r="S38" s="1690"/>
      <c r="T38" s="1690"/>
      <c r="U38" s="1690"/>
    </row>
    <row r="39" spans="1:21">
      <c r="A39" s="3163"/>
      <c r="B39" s="3153"/>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c r="A40" s="1683" t="s">
        <v>1979</v>
      </c>
      <c r="B40" s="1686" t="s">
        <v>3005</v>
      </c>
      <c r="C40" s="1686" t="s">
        <v>3006</v>
      </c>
      <c r="D40" s="1686" t="s">
        <v>3007</v>
      </c>
      <c r="E40" s="1686" t="s">
        <v>3009</v>
      </c>
      <c r="F40" s="1686" t="s">
        <v>3008</v>
      </c>
      <c r="G40" s="1686" t="s">
        <v>3010</v>
      </c>
      <c r="H40" s="1686" t="s">
        <v>3011</v>
      </c>
      <c r="I40" s="1703"/>
      <c r="J40" s="1690"/>
      <c r="K40" s="1725">
        <f>COUNTIF(B40:H40,"——")</f>
        <v>0</v>
      </c>
      <c r="L40" s="1695" t="s">
        <v>1980</v>
      </c>
      <c r="M40" s="1692" t="s">
        <v>1981</v>
      </c>
      <c r="N40" s="1692" t="s">
        <v>1982</v>
      </c>
      <c r="O40" s="1692" t="s">
        <v>1983</v>
      </c>
      <c r="P40" s="1692" t="s">
        <v>1984</v>
      </c>
      <c r="Q40" s="1692" t="s">
        <v>1985</v>
      </c>
      <c r="R40" s="1692" t="s">
        <v>1986</v>
      </c>
      <c r="S40" s="3134" t="s">
        <v>1987</v>
      </c>
      <c r="T40" s="1726" t="str">
        <f>NUMBERSTRING(7-K40,1)&amp;"通"</f>
        <v>七通</v>
      </c>
      <c r="U40" s="1690"/>
    </row>
    <row r="41" spans="1:21">
      <c r="A41" s="1659"/>
      <c r="B41" s="3167" t="s">
        <v>1723</v>
      </c>
      <c r="C41" s="3167"/>
      <c r="D41" s="3167"/>
      <c r="E41" s="3167"/>
      <c r="F41" s="1727" t="str">
        <f>C10</f>
        <v>河北省霸州市</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134"/>
      <c r="T41" s="1728" t="str">
        <f>IF(T40="一通",L41,IF(T40="二通",M41,IF(T40="三通",N41,IF(T40="四通",O41,IF(T40="五通",P41,IF(T40="六通",Q41,R41))))))</f>
        <v>通路、通电、通讯、通上水、通下水、通热、燃气</v>
      </c>
      <c r="U41" s="1690"/>
    </row>
    <row r="42" spans="1:21">
      <c r="A42" s="1730"/>
      <c r="B42" s="1761" t="s">
        <v>1899</v>
      </c>
      <c r="C42" s="1761" t="s">
        <v>1900</v>
      </c>
      <c r="D42" s="1761" t="s">
        <v>1901</v>
      </c>
      <c r="E42" s="1695" t="s">
        <v>1902</v>
      </c>
      <c r="F42" s="1731" t="s">
        <v>3013</v>
      </c>
      <c r="G42" s="1690"/>
      <c r="H42" s="1690"/>
      <c r="I42" s="1703"/>
      <c r="J42" s="1690"/>
      <c r="K42" s="1769"/>
      <c r="L42" s="1718"/>
      <c r="M42" s="1718"/>
      <c r="N42" s="1690"/>
      <c r="O42" s="1691"/>
      <c r="P42" s="1690"/>
      <c r="Q42" s="1690"/>
      <c r="R42" s="1690"/>
      <c r="S42" s="1690"/>
      <c r="T42" s="1690"/>
      <c r="U42" s="1690"/>
    </row>
    <row r="43" spans="1:21">
      <c r="A43" s="1732" t="s">
        <v>1708</v>
      </c>
      <c r="B43" s="1733"/>
      <c r="C43" s="1733"/>
      <c r="D43" s="1733"/>
      <c r="E43" s="1733"/>
      <c r="F43" s="1734"/>
      <c r="G43" s="1690"/>
      <c r="H43" s="1690"/>
      <c r="I43" s="1703"/>
      <c r="J43" s="1690"/>
      <c r="K43" s="1769"/>
      <c r="L43" s="1718"/>
      <c r="M43" s="1718"/>
      <c r="N43" s="1690"/>
      <c r="O43" s="1691"/>
      <c r="P43" s="1690"/>
      <c r="Q43" s="1690"/>
      <c r="R43" s="1690"/>
      <c r="S43" s="1690"/>
      <c r="T43" s="1690"/>
      <c r="U43" s="1690"/>
    </row>
    <row r="44" spans="1:21">
      <c r="A44" s="1732" t="s">
        <v>1709</v>
      </c>
      <c r="B44" s="1733"/>
      <c r="C44" s="1733"/>
      <c r="D44" s="1733"/>
      <c r="E44" s="1787"/>
      <c r="F44" s="1734"/>
      <c r="G44" s="1690"/>
      <c r="H44" s="1690"/>
      <c r="I44" s="1703"/>
      <c r="J44" s="1690"/>
      <c r="K44" s="1769"/>
      <c r="L44" s="1718"/>
      <c r="M44" s="1718"/>
      <c r="N44" s="1690"/>
      <c r="O44" s="1691"/>
      <c r="P44" s="1690"/>
      <c r="Q44" s="1690"/>
      <c r="R44" s="1690"/>
      <c r="S44" s="1690"/>
      <c r="T44" s="1690"/>
      <c r="U44" s="1690"/>
    </row>
    <row r="45" spans="1:21" s="3029" customFormat="1" ht="21" thickBot="1">
      <c r="A45" s="3030" t="s">
        <v>2896</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tabSelected="1" view="pageBreakPreview"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2333</v>
      </c>
      <c r="BA2" s="2357"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145055.12+26441.81</f>
        <v>171496.93</v>
      </c>
      <c r="B3" s="22">
        <f>IF(C3="否",G5-AT5,G5)</f>
        <v>537479.47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558279.47</v>
      </c>
      <c r="H5" s="27">
        <f t="shared" ref="H5:AT5" si="0">SUM(H13:H641)</f>
        <v>492836.60999999993</v>
      </c>
      <c r="I5" s="27">
        <f t="shared" si="0"/>
        <v>239075.36</v>
      </c>
      <c r="J5" s="27">
        <f t="shared" si="0"/>
        <v>0</v>
      </c>
      <c r="K5" s="27">
        <f t="shared" si="0"/>
        <v>72588.709999999992</v>
      </c>
      <c r="L5" s="27">
        <f t="shared" si="0"/>
        <v>0</v>
      </c>
      <c r="M5" s="27">
        <f t="shared" si="0"/>
        <v>19914.97</v>
      </c>
      <c r="N5" s="27">
        <f t="shared" si="0"/>
        <v>0</v>
      </c>
      <c r="O5" s="27">
        <f t="shared" si="0"/>
        <v>152374.15</v>
      </c>
      <c r="P5" s="27">
        <f t="shared" si="0"/>
        <v>0</v>
      </c>
      <c r="Q5" s="27">
        <f t="shared" si="0"/>
        <v>8883.42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44642.859999999993</v>
      </c>
      <c r="AD5" s="27">
        <f t="shared" si="0"/>
        <v>23423.96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21218.899999999994</v>
      </c>
      <c r="AO5" s="27">
        <f t="shared" si="0"/>
        <v>0</v>
      </c>
      <c r="AP5" s="27">
        <f t="shared" si="0"/>
        <v>0</v>
      </c>
      <c r="AQ5" s="27">
        <f t="shared" si="0"/>
        <v>0</v>
      </c>
      <c r="AR5" s="27">
        <f t="shared" si="0"/>
        <v>0</v>
      </c>
      <c r="AS5" s="27">
        <f t="shared" si="0"/>
        <v>0</v>
      </c>
      <c r="AT5" s="27">
        <f t="shared" si="0"/>
        <v>20800</v>
      </c>
      <c r="AU5" s="986"/>
      <c r="AV5" s="26" t="s">
        <v>168</v>
      </c>
      <c r="AW5" s="987"/>
      <c r="AX5" s="987"/>
      <c r="AY5" s="28" t="s">
        <v>3</v>
      </c>
      <c r="AZ5" s="29">
        <f t="shared" ref="AZ5:BT5" si="1">SUM(AZ13:AZ641)</f>
        <v>537479.47</v>
      </c>
      <c r="BA5" s="29">
        <f t="shared" si="1"/>
        <v>492836.60999999993</v>
      </c>
      <c r="BB5" s="29">
        <f t="shared" si="1"/>
        <v>239075.36</v>
      </c>
      <c r="BC5" s="29">
        <f t="shared" si="1"/>
        <v>72588.709999999992</v>
      </c>
      <c r="BD5" s="29">
        <f t="shared" si="1"/>
        <v>19914.97</v>
      </c>
      <c r="BE5" s="29">
        <f t="shared" si="1"/>
        <v>152374.15</v>
      </c>
      <c r="BF5" s="29">
        <f t="shared" si="1"/>
        <v>8883.42</v>
      </c>
      <c r="BG5" s="29">
        <f t="shared" si="1"/>
        <v>0</v>
      </c>
      <c r="BH5" s="29">
        <f t="shared" si="1"/>
        <v>0</v>
      </c>
      <c r="BI5" s="29">
        <f t="shared" si="1"/>
        <v>0</v>
      </c>
      <c r="BJ5" s="29">
        <f t="shared" si="1"/>
        <v>0</v>
      </c>
      <c r="BK5" s="29">
        <f t="shared" si="1"/>
        <v>0</v>
      </c>
      <c r="BL5" s="29">
        <f t="shared" si="1"/>
        <v>44642.859999999993</v>
      </c>
      <c r="BM5" s="29">
        <f t="shared" si="1"/>
        <v>23423.96</v>
      </c>
      <c r="BN5" s="29">
        <f t="shared" si="1"/>
        <v>0</v>
      </c>
      <c r="BO5" s="29">
        <f t="shared" si="1"/>
        <v>0</v>
      </c>
      <c r="BP5" s="29">
        <f t="shared" si="1"/>
        <v>0</v>
      </c>
      <c r="BQ5" s="29">
        <f t="shared" si="1"/>
        <v>0</v>
      </c>
      <c r="BR5" s="29">
        <f t="shared" si="1"/>
        <v>21218.899999999994</v>
      </c>
      <c r="BS5" s="29">
        <f t="shared" si="1"/>
        <v>0</v>
      </c>
      <c r="BT5" s="30">
        <f t="shared" si="1"/>
        <v>0</v>
      </c>
    </row>
    <row r="6" spans="1:72" s="37" customFormat="1" ht="12.75">
      <c r="A6" s="26" t="s">
        <v>169</v>
      </c>
      <c r="B6" s="31"/>
      <c r="C6" s="31"/>
      <c r="D6" s="32"/>
      <c r="E6" s="27">
        <f>H6+AC6+AT6</f>
        <v>171496.93000000002</v>
      </c>
      <c r="F6" s="27" t="s">
        <v>1</v>
      </c>
      <c r="G6" s="27" t="s">
        <v>2</v>
      </c>
      <c r="H6" s="33">
        <f>SUMIF(I$12:AB$12,"总值",I6:AB6)</f>
        <v>157252.45000000001</v>
      </c>
      <c r="I6" s="27">
        <f t="shared" ref="I6:AB6" si="2">ROUND($A$3*I5/$B$3,2)</f>
        <v>76283.27</v>
      </c>
      <c r="J6" s="27">
        <f t="shared" si="2"/>
        <v>0</v>
      </c>
      <c r="K6" s="27">
        <f t="shared" si="2"/>
        <v>23161.33</v>
      </c>
      <c r="L6" s="27">
        <f t="shared" si="2"/>
        <v>0</v>
      </c>
      <c r="M6" s="27">
        <f t="shared" si="2"/>
        <v>6354.39</v>
      </c>
      <c r="N6" s="27">
        <f t="shared" si="2"/>
        <v>0</v>
      </c>
      <c r="O6" s="27">
        <f t="shared" si="2"/>
        <v>48618.97</v>
      </c>
      <c r="P6" s="27">
        <f t="shared" si="2"/>
        <v>0</v>
      </c>
      <c r="Q6" s="27">
        <f t="shared" si="2"/>
        <v>2834.49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14244.48</v>
      </c>
      <c r="AD6" s="27">
        <f t="shared" ref="AD6:AS6" si="3">ROUND($A$3*AD5/$B$3,2)</f>
        <v>7474.03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6770.45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171496.93</v>
      </c>
      <c r="AZ6" s="27" t="s">
        <v>3</v>
      </c>
      <c r="BA6" s="27">
        <f>ROUND($AY$6*BA5/$AZ$5,2)</f>
        <v>157252.45000000001</v>
      </c>
      <c r="BB6" s="27">
        <f>ROUND($AY$6*BB5/$AZ$5,2)</f>
        <v>76283.27</v>
      </c>
      <c r="BC6" s="27">
        <f t="shared" ref="BC6:BH6" si="4">ROUND($AY$6*BC5/$AZ$5,2)</f>
        <v>23161.33</v>
      </c>
      <c r="BD6" s="27">
        <f t="shared" si="4"/>
        <v>6354.39</v>
      </c>
      <c r="BE6" s="27">
        <f t="shared" si="4"/>
        <v>48618.97</v>
      </c>
      <c r="BF6" s="27">
        <f t="shared" si="4"/>
        <v>2834.49</v>
      </c>
      <c r="BG6" s="27">
        <f t="shared" si="4"/>
        <v>0</v>
      </c>
      <c r="BH6" s="27">
        <f t="shared" si="4"/>
        <v>0</v>
      </c>
      <c r="BI6" s="27">
        <f t="shared" ref="BI6:BT6" si="5">ROUND($AY$6*BI5/$AZ$5,2)</f>
        <v>0</v>
      </c>
      <c r="BJ6" s="27">
        <f t="shared" si="5"/>
        <v>0</v>
      </c>
      <c r="BK6" s="27">
        <f t="shared" si="5"/>
        <v>0</v>
      </c>
      <c r="BL6" s="27">
        <f t="shared" si="5"/>
        <v>14244.48</v>
      </c>
      <c r="BM6" s="27">
        <f t="shared" si="5"/>
        <v>7474.03</v>
      </c>
      <c r="BN6" s="27">
        <f t="shared" si="5"/>
        <v>0</v>
      </c>
      <c r="BO6" s="27">
        <f t="shared" si="5"/>
        <v>0</v>
      </c>
      <c r="BP6" s="27">
        <f t="shared" si="5"/>
        <v>0</v>
      </c>
      <c r="BQ6" s="27">
        <f t="shared" si="5"/>
        <v>0</v>
      </c>
      <c r="BR6" s="27">
        <f t="shared" si="5"/>
        <v>6770.45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1" t="s">
        <v>3014</v>
      </c>
      <c r="J9" s="51"/>
      <c r="K9" s="2981" t="s">
        <v>3014</v>
      </c>
      <c r="L9" s="51"/>
      <c r="M9" s="2981" t="s">
        <v>3014</v>
      </c>
      <c r="N9" s="51"/>
      <c r="O9" s="59" t="s">
        <v>3018</v>
      </c>
      <c r="P9" s="51"/>
      <c r="Q9" s="59" t="s">
        <v>3018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1" t="s">
        <v>924</v>
      </c>
      <c r="J10" s="51"/>
      <c r="K10" s="2983" t="s">
        <v>2993</v>
      </c>
      <c r="L10" s="51"/>
      <c r="M10" s="2983" t="s">
        <v>1679</v>
      </c>
      <c r="N10" s="51"/>
      <c r="O10" s="66" t="s">
        <v>2994</v>
      </c>
      <c r="P10" s="51"/>
      <c r="Q10" s="66" t="s">
        <v>2993</v>
      </c>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2" t="s">
        <v>3015</v>
      </c>
      <c r="J11" s="71"/>
      <c r="K11" s="2982" t="s">
        <v>3016</v>
      </c>
      <c r="L11" s="71"/>
      <c r="M11" s="70" t="s">
        <v>3017</v>
      </c>
      <c r="N11" s="71"/>
      <c r="O11" s="70" t="s">
        <v>2994</v>
      </c>
      <c r="P11" s="71"/>
      <c r="Q11" s="70" t="s">
        <v>3026</v>
      </c>
      <c r="R11" s="71"/>
      <c r="S11" s="70"/>
      <c r="T11" s="71"/>
      <c r="U11" s="70"/>
      <c r="V11" s="71"/>
      <c r="W11" s="70"/>
      <c r="X11" s="71"/>
      <c r="Y11" s="70"/>
      <c r="Z11" s="71"/>
      <c r="AA11" s="70"/>
      <c r="AB11" s="71"/>
      <c r="AC11" s="55"/>
      <c r="AD11" s="2330" t="s">
        <v>2330</v>
      </c>
      <c r="AE11" s="1000"/>
      <c r="AF11" s="2330" t="s">
        <v>2330</v>
      </c>
      <c r="AG11" s="1000"/>
      <c r="AH11" s="2330" t="s">
        <v>2329</v>
      </c>
      <c r="AI11" s="2331"/>
      <c r="AJ11" s="2330" t="s">
        <v>2329</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办公</v>
      </c>
      <c r="BE11" s="50" t="str">
        <f>O10</f>
        <v>车库</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办公楼</v>
      </c>
      <c r="BE12" s="50" t="str">
        <f>O11</f>
        <v>车库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6"/>
      <c r="B13" s="2976"/>
      <c r="C13" s="2976"/>
      <c r="D13" s="2977" t="s">
        <v>1680</v>
      </c>
      <c r="E13" s="27">
        <f t="shared" ref="E13:E20" si="6">IF($C$3="是",ROUND($A$3*G13/$B$3,2),ROUND($A$3*(G13-AT13)/$B$3,2))</f>
        <v>171496.93</v>
      </c>
      <c r="F13" s="81"/>
      <c r="G13" s="82">
        <f t="shared" ref="G13:G20" si="7">H13+AC13+AT13</f>
        <v>558279.47</v>
      </c>
      <c r="H13" s="33">
        <f t="shared" ref="H13:H20" si="8">SUMIF(I$12:AB$12,"总值",I13:AB13)</f>
        <v>492836.60999999993</v>
      </c>
      <c r="I13" s="2980">
        <f>339075.36-100000</f>
        <v>239075.36</v>
      </c>
      <c r="J13" s="2980"/>
      <c r="K13" s="2980">
        <f>13686.33+44676.74+14225.64</f>
        <v>72588.709999999992</v>
      </c>
      <c r="L13" s="2980"/>
      <c r="M13" s="2980">
        <v>19914.97</v>
      </c>
      <c r="N13" s="83"/>
      <c r="O13" s="83">
        <f>133058.13+19316.02</f>
        <v>152374.15</v>
      </c>
      <c r="P13" s="83"/>
      <c r="Q13" s="83">
        <v>8883.42</v>
      </c>
      <c r="R13" s="83"/>
      <c r="S13" s="83"/>
      <c r="T13" s="83"/>
      <c r="U13" s="83"/>
      <c r="V13" s="83"/>
      <c r="W13" s="83"/>
      <c r="X13" s="83"/>
      <c r="Y13" s="83"/>
      <c r="Z13" s="83"/>
      <c r="AA13" s="83"/>
      <c r="AB13" s="83"/>
      <c r="AC13" s="27">
        <f t="shared" ref="AC13:AC20" si="9">SUMIF(AD$12:AS$12,"总值",AD13:AS13)</f>
        <v>44642.859999999993</v>
      </c>
      <c r="AD13" s="2984">
        <v>23423.96</v>
      </c>
      <c r="AE13" s="2984"/>
      <c r="AF13" s="2984"/>
      <c r="AG13" s="2984"/>
      <c r="AH13" s="2984"/>
      <c r="AI13" s="2984"/>
      <c r="AJ13" s="2984"/>
      <c r="AK13" s="2984"/>
      <c r="AL13" s="2984"/>
      <c r="AM13" s="2984"/>
      <c r="AN13" s="2984">
        <f>34417.42+7601.48-AT13</f>
        <v>21218.899999999994</v>
      </c>
      <c r="AO13" s="2984"/>
      <c r="AP13" s="2984"/>
      <c r="AQ13" s="2984"/>
      <c r="AR13" s="2984"/>
      <c r="AS13" s="2984"/>
      <c r="AT13" s="2985">
        <v>20800</v>
      </c>
      <c r="AU13" s="2986"/>
      <c r="AV13" s="17">
        <f t="shared" ref="AV13:AX20" si="10">A13</f>
        <v>0</v>
      </c>
      <c r="AW13" s="17">
        <f t="shared" si="10"/>
        <v>0</v>
      </c>
      <c r="AX13" s="17">
        <f t="shared" si="10"/>
        <v>0</v>
      </c>
      <c r="AY13" s="994">
        <f t="shared" ref="AY13:AY20" si="11">ROUND($AY$6*AZ13/$AZ$5,2)</f>
        <v>171496.93</v>
      </c>
      <c r="AZ13" s="27">
        <f t="shared" ref="AZ13:AZ20" si="12">BA13+BL13</f>
        <v>537479.47</v>
      </c>
      <c r="BA13" s="27">
        <f t="shared" ref="BA13:BA20" si="13">SUM(BB13:BK13)</f>
        <v>492836.60999999993</v>
      </c>
      <c r="BB13" s="27">
        <f t="shared" ref="BB13:BB20" si="14">IF($D13="是",I13-J13,0)</f>
        <v>239075.36</v>
      </c>
      <c r="BC13" s="27">
        <f t="shared" ref="BC13:BC20" si="15">IF($D13="是",K13-L13,0)</f>
        <v>72588.709999999992</v>
      </c>
      <c r="BD13" s="27">
        <f t="shared" ref="BD13:BD20" si="16">IF($D13="是",M13-N13,0)</f>
        <v>19914.97</v>
      </c>
      <c r="BE13" s="27">
        <f t="shared" ref="BE13:BE20" si="17">IF($D13="是",O13-P13,0)</f>
        <v>152374.15</v>
      </c>
      <c r="BF13" s="27">
        <f t="shared" ref="BF13:BF20" si="18">IF($D13="是",Q13-R13,0)</f>
        <v>8883.42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44642.859999999993</v>
      </c>
      <c r="BM13" s="27">
        <f t="shared" ref="BM13:BM20" si="25">IF($D13="是",AD13-AE13,0)</f>
        <v>23423.96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21218.899999999994</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175" t="s">
        <v>0</v>
      </c>
      <c r="B1" s="3175" t="s">
        <v>4</v>
      </c>
      <c r="C1" s="3175" t="s">
        <v>5</v>
      </c>
      <c r="D1" s="3176" t="s">
        <v>40</v>
      </c>
      <c r="E1" s="3176" t="s">
        <v>41</v>
      </c>
      <c r="F1" s="3176"/>
      <c r="G1" s="3176"/>
      <c r="H1" s="3176"/>
      <c r="I1" s="3176"/>
      <c r="J1" s="3176"/>
      <c r="K1" s="3176"/>
      <c r="L1" s="3176"/>
      <c r="M1" s="3176"/>
    </row>
    <row r="2" spans="1:13" ht="27" customHeight="1">
      <c r="A2" s="3175"/>
      <c r="B2" s="3175"/>
      <c r="C2" s="3175"/>
      <c r="D2" s="3176"/>
      <c r="E2" s="3176" t="s">
        <v>24</v>
      </c>
      <c r="F2" s="3176" t="s">
        <v>25</v>
      </c>
      <c r="G2" s="3176"/>
      <c r="H2" s="3176"/>
      <c r="I2" s="3176"/>
      <c r="J2" s="3176" t="s">
        <v>26</v>
      </c>
      <c r="K2" s="3176"/>
      <c r="L2" s="3176"/>
      <c r="M2" s="3176"/>
    </row>
    <row r="3" spans="1:13" ht="28.5">
      <c r="A3" s="3175"/>
      <c r="B3" s="3175"/>
      <c r="C3" s="3175"/>
      <c r="D3" s="3176"/>
      <c r="E3" s="31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176" t="s">
        <v>42</v>
      </c>
      <c r="B9" s="3176"/>
      <c r="C9" s="31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186" t="s">
        <v>203</v>
      </c>
      <c r="B2" s="3186"/>
      <c r="C2" s="3186"/>
      <c r="D2" s="1971" t="s">
        <v>204</v>
      </c>
      <c r="E2" s="106" t="s">
        <v>205</v>
      </c>
      <c r="F2" s="1980"/>
      <c r="G2" s="1196"/>
      <c r="H2" s="1197"/>
      <c r="I2" s="1198" t="s">
        <v>858</v>
      </c>
      <c r="J2" s="1980"/>
      <c r="K2" s="1980"/>
      <c r="L2" s="1980"/>
    </row>
    <row r="3" spans="1:16" ht="15.75" thickBot="1">
      <c r="A3" s="3187" t="s">
        <v>206</v>
      </c>
      <c r="B3" s="3187"/>
      <c r="C3" s="3187"/>
      <c r="D3" s="107">
        <f>'数据-基础表'!AY6</f>
        <v>171496.93</v>
      </c>
      <c r="E3" s="107">
        <f>'数据-基础表'!AZ5</f>
        <v>537479.47</v>
      </c>
      <c r="F3" s="1980"/>
      <c r="G3" s="280" t="s">
        <v>859</v>
      </c>
      <c r="H3" s="275" t="s">
        <v>860</v>
      </c>
      <c r="I3" s="1972">
        <f>ROUND('数据-基础表'!B3/'数据-基础表'!A3,2)</f>
        <v>3.13</v>
      </c>
      <c r="J3" s="1980"/>
      <c r="K3" s="1980"/>
      <c r="L3" s="1980"/>
    </row>
    <row r="4" spans="1:16" ht="15">
      <c r="A4" s="3188"/>
      <c r="B4" s="3189"/>
      <c r="C4" s="3190"/>
      <c r="D4" s="108" t="s">
        <v>204</v>
      </c>
      <c r="E4" s="109" t="s">
        <v>205</v>
      </c>
      <c r="F4" s="1980"/>
      <c r="G4" s="1199"/>
      <c r="H4" s="275" t="s">
        <v>861</v>
      </c>
      <c r="I4" s="1972">
        <f>ROUND(SUMIF('数据-基础表'!I9:AS9,"地上",'数据-基础表'!I5:AS5)/'数据-基础表'!A3,2)</f>
        <v>2.0699999999999998</v>
      </c>
      <c r="J4" s="1980"/>
      <c r="K4" s="1980"/>
      <c r="L4" s="1980"/>
    </row>
    <row r="5" spans="1:16">
      <c r="A5" s="110" t="s">
        <v>207</v>
      </c>
      <c r="B5" s="3191" t="s">
        <v>230</v>
      </c>
      <c r="C5" s="3191"/>
      <c r="D5" s="111">
        <f>ROUND($D$3*E5/$E$3,2)</f>
        <v>76283.27</v>
      </c>
      <c r="E5" s="112">
        <f>SUMIF('数据-基础表'!$11:$11,"住宅",'数据-基础表'!$5:$5)</f>
        <v>239075.36</v>
      </c>
      <c r="F5" s="1980"/>
      <c r="G5" s="280" t="s">
        <v>862</v>
      </c>
      <c r="H5" s="275" t="s">
        <v>860</v>
      </c>
      <c r="I5" s="1972">
        <f>ROUND(E31/D31,2)</f>
        <v>3.13</v>
      </c>
      <c r="J5" s="1980"/>
      <c r="K5" s="1980"/>
      <c r="L5" s="1980"/>
    </row>
    <row r="6" spans="1:16" ht="15" thickBot="1">
      <c r="A6" s="113"/>
      <c r="B6" s="3191" t="s">
        <v>208</v>
      </c>
      <c r="C6" s="3191"/>
      <c r="D6" s="111">
        <f>ROUND($D$3*E6/$E$3,2)</f>
        <v>95213.66</v>
      </c>
      <c r="E6" s="112">
        <f>E3-E5</f>
        <v>298404.11</v>
      </c>
      <c r="F6" s="1980"/>
      <c r="G6" s="1199"/>
      <c r="H6" s="275" t="s">
        <v>861</v>
      </c>
      <c r="I6" s="1972">
        <f>ROUND(F31/D31,2)</f>
        <v>2.0699999999999998</v>
      </c>
      <c r="J6" s="1980"/>
      <c r="K6" s="1980"/>
      <c r="L6" s="1980"/>
    </row>
    <row r="7" spans="1:16" ht="15">
      <c r="A7" s="3183"/>
      <c r="B7" s="3184"/>
      <c r="C7" s="3185"/>
      <c r="D7" s="108" t="s">
        <v>204</v>
      </c>
      <c r="E7" s="114" t="s">
        <v>231</v>
      </c>
      <c r="F7" s="1980"/>
      <c r="G7" s="1154" t="s">
        <v>1647</v>
      </c>
      <c r="H7" s="1155"/>
      <c r="I7" s="1842">
        <v>4</v>
      </c>
      <c r="J7" s="1980"/>
      <c r="K7" s="1980"/>
      <c r="L7" s="1980"/>
    </row>
    <row r="8" spans="1:16">
      <c r="A8" s="110" t="s">
        <v>209</v>
      </c>
      <c r="B8" s="115" t="s">
        <v>210</v>
      </c>
      <c r="C8" s="111" t="s">
        <v>211</v>
      </c>
      <c r="D8" s="111">
        <f t="shared" ref="D8:D15" si="0">ROUND($D$3*E8/$E$3,2)</f>
        <v>105798.99</v>
      </c>
      <c r="E8" s="116">
        <f>SUMIF('数据-基础表'!BB10:BK10,"地上",'数据-基础表'!BB5:BK5)</f>
        <v>331579.03999999992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2834.49</v>
      </c>
      <c r="E10" s="116">
        <f>SUMPRODUCT(('数据-基础表'!BB10:BK10="地下")*('数据-基础表'!BB11:BK11="商业")*('数据-基础表'!BB5:BK5))</f>
        <v>8883.42</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48618.97</v>
      </c>
      <c r="E13" s="116">
        <f>SUMPRODUCT(('数据-基础表'!BB10:BK10="地下")*('数据-基础表'!BB11:BK11="车库")*('数据-基础表'!BB5:BK5))</f>
        <v>152374.15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157252.45000000001</v>
      </c>
      <c r="E16" s="120">
        <f>SUM(E8:E15)</f>
        <v>492836.60999999987</v>
      </c>
      <c r="F16" s="1980"/>
      <c r="G16" s="1982"/>
      <c r="H16" s="966" t="s">
        <v>219</v>
      </c>
      <c r="I16" s="967"/>
      <c r="J16" s="1980"/>
      <c r="K16" s="3177" t="s">
        <v>2569</v>
      </c>
      <c r="L16" s="3178"/>
      <c r="M16" s="3178"/>
      <c r="N16" s="3178"/>
      <c r="O16" s="3178"/>
      <c r="P16" s="3179"/>
    </row>
    <row r="17" spans="1:19" ht="15">
      <c r="A17" s="121" t="s">
        <v>216</v>
      </c>
      <c r="B17" s="122" t="s">
        <v>217</v>
      </c>
      <c r="C17" s="2294" t="s">
        <v>2314</v>
      </c>
      <c r="D17" s="108" t="s">
        <v>204</v>
      </c>
      <c r="E17" s="124" t="s">
        <v>205</v>
      </c>
      <c r="F17" s="125"/>
      <c r="G17" s="1363"/>
      <c r="H17" s="968" t="s">
        <v>218</v>
      </c>
      <c r="I17" s="969" t="s">
        <v>2313</v>
      </c>
      <c r="J17" s="1980"/>
      <c r="K17" s="3180" t="s">
        <v>2570</v>
      </c>
      <c r="L17" s="3181"/>
      <c r="M17" s="3182"/>
      <c r="N17" s="3180" t="s">
        <v>2571</v>
      </c>
      <c r="O17" s="3181"/>
      <c r="P17" s="3182"/>
      <c r="R17" s="2295" t="s">
        <v>2312</v>
      </c>
      <c r="S17" s="144"/>
    </row>
    <row r="18" spans="1:19" ht="15">
      <c r="A18" s="117"/>
      <c r="B18" s="128"/>
      <c r="C18" s="129"/>
      <c r="D18" s="2660"/>
      <c r="E18" s="130" t="s">
        <v>220</v>
      </c>
      <c r="F18" s="131" t="s">
        <v>221</v>
      </c>
      <c r="G18" s="1364" t="s">
        <v>222</v>
      </c>
      <c r="H18" s="970" t="s">
        <v>223</v>
      </c>
      <c r="I18" s="971" t="s">
        <v>224</v>
      </c>
      <c r="J18" s="1980"/>
      <c r="K18" s="2622" t="s">
        <v>2572</v>
      </c>
      <c r="L18" s="2623" t="s">
        <v>2573</v>
      </c>
      <c r="M18" s="2624" t="s">
        <v>2574</v>
      </c>
      <c r="N18" s="2622" t="s">
        <v>2572</v>
      </c>
      <c r="O18" s="2623" t="s">
        <v>2573</v>
      </c>
      <c r="P18" s="2624" t="s">
        <v>2574</v>
      </c>
      <c r="R18" s="2296" t="s">
        <v>2310</v>
      </c>
      <c r="S18" s="2296" t="s">
        <v>2311</v>
      </c>
    </row>
    <row r="19" spans="1:19">
      <c r="A19" s="133"/>
      <c r="B19" s="115" t="s">
        <v>225</v>
      </c>
      <c r="C19" s="2987" t="s">
        <v>3019</v>
      </c>
      <c r="D19" s="111">
        <f t="shared" ref="D19:D26" si="1">ROUND($D$3*E19/$E$3,2)</f>
        <v>76283.27</v>
      </c>
      <c r="E19" s="134">
        <f t="shared" ref="E19:E26" si="2">SUM(F19:G19)</f>
        <v>239075.36</v>
      </c>
      <c r="F19" s="135">
        <f>'数据-基础表'!I13</f>
        <v>239075.36</v>
      </c>
      <c r="G19" s="1365"/>
      <c r="H19" s="972">
        <f>ROUND($D$3*I19/$E$3,2)</f>
        <v>10758.38</v>
      </c>
      <c r="I19" s="116">
        <f>IF($I$17="自定义",P19,M19)</f>
        <v>33717.259999999995</v>
      </c>
      <c r="J19" s="1980"/>
      <c r="K19" s="2625">
        <f t="shared" ref="K19:K26" si="3">ROUND(E$28*E19/E$27,2)</f>
        <v>10293.299999999999</v>
      </c>
      <c r="L19" s="275">
        <f t="shared" ref="L19:L26" si="4">ROUND(IF(COUNTIF(C19,"*住宅*")&gt;0,E$29*E19/E$32,0),2)</f>
        <v>23423.96</v>
      </c>
      <c r="M19" s="2626">
        <f>K19+L19</f>
        <v>33717.259999999995</v>
      </c>
      <c r="N19" s="2627"/>
      <c r="O19" s="2628"/>
      <c r="P19" s="2629">
        <f>N19+O19</f>
        <v>0</v>
      </c>
      <c r="R19" s="275">
        <f t="shared" ref="R19:S26" si="5">D19+H19</f>
        <v>87041.650000000009</v>
      </c>
      <c r="S19" s="2297">
        <f t="shared" si="5"/>
        <v>272792.62</v>
      </c>
    </row>
    <row r="20" spans="1:19">
      <c r="A20" s="138"/>
      <c r="B20" s="115" t="s">
        <v>226</v>
      </c>
      <c r="C20" s="2987" t="s">
        <v>3021</v>
      </c>
      <c r="D20" s="111">
        <f t="shared" si="1"/>
        <v>23161.33</v>
      </c>
      <c r="E20" s="134">
        <f t="shared" si="2"/>
        <v>72588.709999999992</v>
      </c>
      <c r="F20" s="135">
        <f>'数据-基础表'!K13</f>
        <v>72588.709999999992</v>
      </c>
      <c r="G20" s="1365"/>
      <c r="H20" s="972">
        <f t="shared" ref="H20:H26" si="6">ROUND($D$3*I20/$E$3,2)</f>
        <v>997.2</v>
      </c>
      <c r="I20" s="116">
        <f t="shared" ref="I20:I26" si="7">IF($I$17="自定义",P20,M20)</f>
        <v>3125.28</v>
      </c>
      <c r="J20" s="1980"/>
      <c r="K20" s="2625">
        <f t="shared" si="3"/>
        <v>3125.28</v>
      </c>
      <c r="L20" s="275">
        <f t="shared" si="4"/>
        <v>0</v>
      </c>
      <c r="M20" s="2626">
        <f t="shared" ref="M20:M26" si="8">K20+L20</f>
        <v>3125.28</v>
      </c>
      <c r="N20" s="2627"/>
      <c r="O20" s="2628"/>
      <c r="P20" s="2629">
        <f t="shared" ref="P20:P26" si="9">N20+O20</f>
        <v>0</v>
      </c>
      <c r="R20" s="275">
        <f t="shared" si="5"/>
        <v>24158.530000000002</v>
      </c>
      <c r="S20" s="2297">
        <f t="shared" si="5"/>
        <v>75713.989999999991</v>
      </c>
    </row>
    <row r="21" spans="1:19">
      <c r="A21" s="138"/>
      <c r="B21" s="115" t="s">
        <v>226</v>
      </c>
      <c r="C21" s="2987" t="s">
        <v>3024</v>
      </c>
      <c r="D21" s="111">
        <f t="shared" si="1"/>
        <v>6354.39</v>
      </c>
      <c r="E21" s="134">
        <f t="shared" si="2"/>
        <v>19914.97</v>
      </c>
      <c r="F21" s="135">
        <f>'数据-基础表'!M13</f>
        <v>19914.97</v>
      </c>
      <c r="G21" s="1365"/>
      <c r="H21" s="972">
        <f t="shared" si="6"/>
        <v>273.58999999999997</v>
      </c>
      <c r="I21" s="116">
        <f t="shared" si="7"/>
        <v>857.43</v>
      </c>
      <c r="J21" s="1980"/>
      <c r="K21" s="2625">
        <f t="shared" si="3"/>
        <v>857.43</v>
      </c>
      <c r="L21" s="275">
        <f t="shared" si="4"/>
        <v>0</v>
      </c>
      <c r="M21" s="2626">
        <f t="shared" si="8"/>
        <v>857.43</v>
      </c>
      <c r="N21" s="2627"/>
      <c r="O21" s="2628"/>
      <c r="P21" s="2629">
        <f t="shared" si="9"/>
        <v>0</v>
      </c>
      <c r="R21" s="275">
        <f t="shared" si="5"/>
        <v>6627.9800000000005</v>
      </c>
      <c r="S21" s="2297">
        <f t="shared" si="5"/>
        <v>20772.400000000001</v>
      </c>
    </row>
    <row r="22" spans="1:19">
      <c r="A22" s="138"/>
      <c r="B22" s="115" t="s">
        <v>226</v>
      </c>
      <c r="C22" s="3399" t="s">
        <v>3023</v>
      </c>
      <c r="D22" s="111">
        <f t="shared" si="1"/>
        <v>2834.49</v>
      </c>
      <c r="E22" s="134">
        <f t="shared" si="2"/>
        <v>8883.42</v>
      </c>
      <c r="F22" s="140"/>
      <c r="G22" s="1366">
        <f>'数据-基础表'!Q13</f>
        <v>8883.42</v>
      </c>
      <c r="H22" s="972">
        <f t="shared" si="6"/>
        <v>122.04</v>
      </c>
      <c r="I22" s="116">
        <f t="shared" si="7"/>
        <v>382.47</v>
      </c>
      <c r="J22" s="1980"/>
      <c r="K22" s="2625">
        <f t="shared" si="3"/>
        <v>382.47</v>
      </c>
      <c r="L22" s="275">
        <f t="shared" si="4"/>
        <v>0</v>
      </c>
      <c r="M22" s="2626">
        <f t="shared" si="8"/>
        <v>382.47</v>
      </c>
      <c r="N22" s="2627"/>
      <c r="O22" s="2628"/>
      <c r="P22" s="2629">
        <f t="shared" si="9"/>
        <v>0</v>
      </c>
      <c r="R22" s="275">
        <f t="shared" si="5"/>
        <v>2956.5299999999997</v>
      </c>
      <c r="S22" s="2297">
        <f t="shared" si="5"/>
        <v>9265.89</v>
      </c>
    </row>
    <row r="23" spans="1:19">
      <c r="A23" s="138"/>
      <c r="B23" s="115" t="s">
        <v>226</v>
      </c>
      <c r="C23" s="3399" t="s">
        <v>3025</v>
      </c>
      <c r="D23" s="111">
        <f>ROUND($D$3*E23/$E$3,2)</f>
        <v>48618.97</v>
      </c>
      <c r="E23" s="134">
        <f>SUM(F23:G23)</f>
        <v>152374.15</v>
      </c>
      <c r="F23" s="140"/>
      <c r="G23" s="1366">
        <f>'数据-基础表'!O13</f>
        <v>152374.15</v>
      </c>
      <c r="H23" s="972">
        <f>ROUND($D$3*I23/$E$3,2)</f>
        <v>2093.27</v>
      </c>
      <c r="I23" s="116">
        <f t="shared" si="7"/>
        <v>6560.41</v>
      </c>
      <c r="J23" s="1980"/>
      <c r="K23" s="2625">
        <f t="shared" si="3"/>
        <v>6560.41</v>
      </c>
      <c r="L23" s="275">
        <f t="shared" si="4"/>
        <v>0</v>
      </c>
      <c r="M23" s="2626">
        <f t="shared" si="8"/>
        <v>6560.41</v>
      </c>
      <c r="N23" s="2627"/>
      <c r="O23" s="2628"/>
      <c r="P23" s="2629">
        <f t="shared" si="9"/>
        <v>0</v>
      </c>
      <c r="R23" s="275">
        <f t="shared" si="5"/>
        <v>50712.24</v>
      </c>
      <c r="S23" s="2297">
        <f t="shared" si="5"/>
        <v>158934.56</v>
      </c>
    </row>
    <row r="24" spans="1:19">
      <c r="A24" s="138"/>
      <c r="B24" s="115" t="s">
        <v>226</v>
      </c>
      <c r="C24" s="139"/>
      <c r="D24" s="111">
        <f>ROUND($D$3*E24/$E$3,2)</f>
        <v>0</v>
      </c>
      <c r="E24" s="134">
        <f>SUM(F24:G24)</f>
        <v>0</v>
      </c>
      <c r="F24" s="140"/>
      <c r="G24" s="1366"/>
      <c r="H24" s="972">
        <f>ROUND($D$3*I24/$E$3,2)</f>
        <v>0</v>
      </c>
      <c r="I24" s="116">
        <f t="shared" si="7"/>
        <v>0</v>
      </c>
      <c r="J24" s="1980"/>
      <c r="K24" s="2625">
        <f t="shared" si="3"/>
        <v>0</v>
      </c>
      <c r="L24" s="275">
        <f t="shared" si="4"/>
        <v>0</v>
      </c>
      <c r="M24" s="2626">
        <f t="shared" si="8"/>
        <v>0</v>
      </c>
      <c r="N24" s="2627"/>
      <c r="O24" s="2628"/>
      <c r="P24" s="2629">
        <f t="shared" si="9"/>
        <v>0</v>
      </c>
      <c r="R24" s="275">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625">
        <f t="shared" si="3"/>
        <v>0</v>
      </c>
      <c r="L25" s="275">
        <f t="shared" si="4"/>
        <v>0</v>
      </c>
      <c r="M25" s="2626">
        <f t="shared" si="8"/>
        <v>0</v>
      </c>
      <c r="N25" s="2627"/>
      <c r="O25" s="2628"/>
      <c r="P25" s="2629">
        <f t="shared" si="9"/>
        <v>0</v>
      </c>
      <c r="R25" s="275">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630">
        <f t="shared" si="3"/>
        <v>0</v>
      </c>
      <c r="L26" s="280">
        <f t="shared" si="4"/>
        <v>0</v>
      </c>
      <c r="M26" s="146">
        <f t="shared" si="8"/>
        <v>0</v>
      </c>
      <c r="N26" s="2631"/>
      <c r="O26" s="2632"/>
      <c r="P26" s="2633">
        <f t="shared" si="9"/>
        <v>0</v>
      </c>
      <c r="R26" s="275">
        <f t="shared" si="5"/>
        <v>0</v>
      </c>
      <c r="S26" s="2297">
        <f t="shared" si="5"/>
        <v>0</v>
      </c>
    </row>
    <row r="27" spans="1:19" ht="15.75" thickBot="1">
      <c r="A27" s="138"/>
      <c r="B27" s="111"/>
      <c r="C27" s="127" t="s">
        <v>215</v>
      </c>
      <c r="D27" s="134">
        <f>SUM(D19:D26)</f>
        <v>157252.45000000001</v>
      </c>
      <c r="E27" s="143">
        <f>IF(SUM(E19:E26)='数据-基础表'!BA5,SUM(E19:E26),IF(F27="地上面积有误","面积有误","地下面积有误"))</f>
        <v>492836.60999999987</v>
      </c>
      <c r="F27" s="134">
        <f>IF(SUM(F19:F26)=E8,SUM(F19:F26),"地上面积有误")</f>
        <v>331579.03999999992</v>
      </c>
      <c r="G27" s="112">
        <f>SUM(G19:G26)</f>
        <v>161257.57</v>
      </c>
      <c r="H27" s="973">
        <f>SUM(H19:H26)</f>
        <v>14244.480000000001</v>
      </c>
      <c r="I27" s="974">
        <f>SUM(I19:I26)</f>
        <v>44642.849999999991</v>
      </c>
      <c r="J27" s="1980"/>
      <c r="K27" s="2634">
        <f>SUM(K19:K26)</f>
        <v>21218.89</v>
      </c>
      <c r="L27" s="2635">
        <f>SUM(L19:L26)</f>
        <v>23423.96</v>
      </c>
      <c r="M27" s="2636">
        <f>SUM(M19:M26)</f>
        <v>44642.849999999991</v>
      </c>
      <c r="N27" s="2634">
        <f t="shared" ref="N27:O27" si="10">SUM(N19:N26)</f>
        <v>0</v>
      </c>
      <c r="O27" s="2635">
        <f t="shared" si="10"/>
        <v>0</v>
      </c>
      <c r="P27" s="2637">
        <f>SUM(P19:P26)</f>
        <v>0</v>
      </c>
      <c r="R27" s="2301">
        <f>IF(SUM(R19:R26)=$D$3,SUM(R19:R26),SUM(R19:R26)&amp;"误差"&amp;ROUND(SUM(R19:R26)-$D$3,2))</f>
        <v>171496.93</v>
      </c>
      <c r="S27" s="275" t="str">
        <f>IF(SUM(S19:S26)=$E$3,SUM(S19:S26),SUM(S19:S26)&amp;"误差"&amp;ROUND(SUM(S19:S26)-E3,2))</f>
        <v>537479.46误差-0.01</v>
      </c>
    </row>
    <row r="28" spans="1:19">
      <c r="A28" s="138"/>
      <c r="B28" s="115" t="s">
        <v>227</v>
      </c>
      <c r="C28" s="136" t="s">
        <v>228</v>
      </c>
      <c r="D28" s="111">
        <f>ROUND($D$3*E28/$E$3,2)</f>
        <v>6770.45</v>
      </c>
      <c r="E28" s="134">
        <f>SUM(F28:G28)</f>
        <v>21218.899999999994</v>
      </c>
      <c r="F28" s="144">
        <f>'数据-基础表'!BQ5+'数据-基础表'!BS5</f>
        <v>0</v>
      </c>
      <c r="G28" s="145">
        <f>'数据-基础表'!BR5+'数据-基础表'!BT5</f>
        <v>21218.899999999994</v>
      </c>
      <c r="H28" s="1980"/>
      <c r="I28" s="1980"/>
      <c r="J28" s="1980"/>
      <c r="K28" s="1980"/>
      <c r="L28" s="1980"/>
    </row>
    <row r="29" spans="1:19">
      <c r="A29" s="138"/>
      <c r="B29" s="115" t="s">
        <v>227</v>
      </c>
      <c r="C29" s="2309" t="s">
        <v>2321</v>
      </c>
      <c r="D29" s="111">
        <f>ROUND($D$3*E29/$E$3,2)</f>
        <v>7474.03</v>
      </c>
      <c r="E29" s="134">
        <f>SUM(F29:G29)</f>
        <v>23423.96</v>
      </c>
      <c r="F29" s="144">
        <f>'数据-基础表'!BM5+'数据-基础表'!BO5</f>
        <v>23423.96</v>
      </c>
      <c r="G29" s="146">
        <f>'数据-基础表'!BN5+'数据-基础表'!BP5</f>
        <v>0</v>
      </c>
      <c r="H29" s="1980"/>
      <c r="I29" s="1980"/>
      <c r="J29" s="1980"/>
      <c r="K29" s="1980"/>
      <c r="L29" s="1980"/>
    </row>
    <row r="30" spans="1:19">
      <c r="A30" s="138"/>
      <c r="B30" s="111"/>
      <c r="C30" s="147" t="s">
        <v>215</v>
      </c>
      <c r="D30" s="134">
        <f>SUM(D28:D29)</f>
        <v>14244.48</v>
      </c>
      <c r="E30" s="134">
        <f>SUM(E28:E29)</f>
        <v>44642.859999999993</v>
      </c>
      <c r="F30" s="134">
        <f>SUM(F28:F29)</f>
        <v>23423.96</v>
      </c>
      <c r="G30" s="112">
        <f>SUM(G28:G29)</f>
        <v>21218.899999999994</v>
      </c>
      <c r="H30" s="1980"/>
      <c r="I30" s="1980"/>
      <c r="J30" s="1980"/>
      <c r="K30" s="1980"/>
      <c r="L30" s="1980"/>
    </row>
    <row r="31" spans="1:19" ht="32.25" customHeight="1" thickBot="1">
      <c r="A31" s="1367"/>
      <c r="B31" s="1368" t="s">
        <v>229</v>
      </c>
      <c r="C31" s="2326" t="s">
        <v>2323</v>
      </c>
      <c r="D31" s="1369">
        <f>D27+D30</f>
        <v>171496.93000000002</v>
      </c>
      <c r="E31" s="1369">
        <f>E27+E30</f>
        <v>537479.46999999986</v>
      </c>
      <c r="F31" s="1370">
        <f>F27+F30</f>
        <v>355002.99999999994</v>
      </c>
      <c r="G31" s="1371">
        <f>G27+G30</f>
        <v>182476.47</v>
      </c>
      <c r="H31" s="1980"/>
      <c r="I31" s="1980"/>
      <c r="J31" s="1980"/>
      <c r="K31" s="1980"/>
      <c r="L31" s="1980"/>
    </row>
    <row r="32" spans="1:19">
      <c r="A32" s="1980"/>
      <c r="B32" s="2359" t="s">
        <v>2322</v>
      </c>
      <c r="C32" s="2665"/>
      <c r="D32" s="1199"/>
      <c r="E32" s="1199">
        <f>SUMIF(C19:C26,"*住宅*",E19:E26)</f>
        <v>239075.36</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X21" sqref="X21"/>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43054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2833</v>
      </c>
      <c r="O5" s="163" t="s">
        <v>246</v>
      </c>
      <c r="P5" s="165" t="s">
        <v>247</v>
      </c>
      <c r="Q5" s="166" t="s">
        <v>248</v>
      </c>
      <c r="R5" s="167" t="s">
        <v>249</v>
      </c>
      <c r="S5" s="2638" t="s">
        <v>2575</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68621</v>
      </c>
      <c r="F6" s="174">
        <f>SUMIF(项目基本情况!D$15:I$15,C6,项目基本情况!D$19:I$19)</f>
        <v>70</v>
      </c>
      <c r="G6" s="175">
        <f>IF(ISERROR(ROUND(POWER(1+H6,D6-F6)*(POWER(1+H6,F6)-1)/(POWER(1+H6,D6)-1),3)),0,ROUND(POWER(1+H6,D6-F6)*(POWER(1+H6,F6)-1)/(POWER(1+H6,D6)-1),3))</f>
        <v>1</v>
      </c>
      <c r="H6" s="3400">
        <v>0.04</v>
      </c>
      <c r="I6" s="3400">
        <v>4.4999999999999998E-2</v>
      </c>
      <c r="J6" s="3401">
        <v>8.5000000000000006E-2</v>
      </c>
      <c r="K6" s="179">
        <f>SUMIF('数据-汇总表'!C$19:C$33,'数据-取费表'!A6,'数据-汇总表'!E$19:E$33)</f>
        <v>239075.36</v>
      </c>
      <c r="L6" s="2988">
        <v>1800</v>
      </c>
      <c r="M6" s="177">
        <f t="shared" ref="M6:M14" si="0">ROUND(K6*L6/10000,0)</f>
        <v>43034</v>
      </c>
      <c r="N6" s="2989">
        <v>0</v>
      </c>
      <c r="O6" s="177">
        <f>IF($N$5="成新度","——",ROUND(M6*N6,0))</f>
        <v>0</v>
      </c>
      <c r="P6" s="178">
        <f>IF($N$5="成新度","——",M6-O6)</f>
        <v>43034</v>
      </c>
      <c r="Q6" s="2990">
        <v>0.15</v>
      </c>
      <c r="R6" s="179">
        <f>SUMIF('数据-汇总表'!C$19:C$33,A6,'数据-汇总表'!R$19:R$33)</f>
        <v>87041.650000000009</v>
      </c>
      <c r="S6" s="132">
        <f>IF('数据-汇总表'!$I$17="按面积比例",SUMIF('数据-汇总表'!C$19:C$33,A6,'数据-汇总表'!K$19:K$33),SUMIF('数据-汇总表'!C$19:C$33,A6,'数据-汇总表'!N$19:N$33))</f>
        <v>10293.299999999999</v>
      </c>
      <c r="T6" s="2230">
        <f>IF($T$4="按面积比例",IF(ISERROR(ROUND($M$14*S6/S$16,0)),"0",ROUND($M$14*S6/S$16,0)),"需自行计算录入")</f>
        <v>1853</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2996"/>
      <c r="AN6" s="2412"/>
      <c r="AO6" s="1996"/>
      <c r="AP6" s="1202">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地上商业</v>
      </c>
      <c r="B7" s="2333" t="str">
        <f t="shared" ref="B7:B13" si="1">IF(A7=0,"","经营性")</f>
        <v>经营性</v>
      </c>
      <c r="C7" s="173" t="s">
        <v>2993</v>
      </c>
      <c r="D7" s="2304">
        <f>SUMIF(项目基本情况!D$15:I$15,C7,项目基本情况!D$18:I$18)</f>
        <v>40</v>
      </c>
      <c r="E7" s="2305">
        <f>IF(B7="","",SUMIF(项目基本情况!D$15:I$15,C7,项目基本情况!D$17:I$17))</f>
        <v>57664</v>
      </c>
      <c r="F7" s="174">
        <f>SUMIF(项目基本情况!D$15:I$15,C7,项目基本情况!D$19:I$19)</f>
        <v>40</v>
      </c>
      <c r="G7" s="175">
        <f t="shared" ref="G7:G11" si="2">IF(ISERROR(ROUND(POWER(1+H7,D7-F7)*(POWER(1+H7,F7)-1)/(POWER(1+H7,D7)-1),3)),0,ROUND(POWER(1+H7,D7-F7)*(POWER(1+H7,F7)-1)/(POWER(1+H7,D7)-1),3))</f>
        <v>1</v>
      </c>
      <c r="H7" s="3400">
        <v>4.4999999999999998E-2</v>
      </c>
      <c r="I7" s="3400">
        <v>5.5E-2</v>
      </c>
      <c r="J7" s="3401">
        <v>8.5000000000000006E-2</v>
      </c>
      <c r="K7" s="179">
        <f>SUMIF('数据-汇总表'!C$19:C$33,'数据-取费表'!A7,'数据-汇总表'!E$19:E$33)</f>
        <v>72588.709999999992</v>
      </c>
      <c r="L7" s="2988">
        <v>2000</v>
      </c>
      <c r="M7" s="177">
        <f t="shared" si="0"/>
        <v>14518</v>
      </c>
      <c r="N7" s="2989">
        <v>0</v>
      </c>
      <c r="O7" s="177">
        <f t="shared" ref="O7:O14" si="3">IF($N$5="成新度","——",ROUND(M7*N7,0))</f>
        <v>0</v>
      </c>
      <c r="P7" s="178">
        <f t="shared" ref="P7:P14" si="4">IF($N$5="成新度","——",M7-O7)</f>
        <v>14518</v>
      </c>
      <c r="Q7" s="2990">
        <v>0.2</v>
      </c>
      <c r="R7" s="179">
        <f>SUMIF('数据-汇总表'!C$19:C$33,A7,'数据-汇总表'!R$19:R$33)</f>
        <v>24158.530000000002</v>
      </c>
      <c r="S7" s="132">
        <f>IF('数据-汇总表'!$I$17="按面积比例",SUMIF('数据-汇总表'!C$19:C$33,A7,'数据-汇总表'!K$19:K$33),SUMIF('数据-汇总表'!C$19:C$33,A7,'数据-汇总表'!N$19:N$33))</f>
        <v>3125.28</v>
      </c>
      <c r="T7" s="2230">
        <f t="shared" ref="T7:T13" si="5">IF($T$4="按面积比例",IF(ISERROR(ROUND($M$14*S7/S$16,0)),"0",ROUND($M$14*S7/S$16,0)),"需自行计算录入")</f>
        <v>562</v>
      </c>
      <c r="U7" s="180">
        <v>2</v>
      </c>
      <c r="V7" s="181">
        <v>2.5000000000000001E-2</v>
      </c>
      <c r="W7" s="181">
        <v>0.1</v>
      </c>
      <c r="X7" s="2317"/>
      <c r="Y7" s="182">
        <v>1</v>
      </c>
      <c r="Z7" s="183"/>
      <c r="AA7" s="176"/>
      <c r="AB7" s="176"/>
      <c r="AC7" s="2320"/>
      <c r="AD7" s="184"/>
      <c r="AE7" s="970">
        <f t="shared" ref="AE7:AE13" ca="1" si="6">IF(AN7="",0,SUMIF(INDIRECT("'"&amp;AN7&amp;"'"&amp;"!E:E"),$AE$5,INDIRECT("'"&amp;AN7&amp;"'"&amp;"!F:F")))</f>
        <v>37</v>
      </c>
      <c r="AF7" s="141"/>
      <c r="AG7" s="1211">
        <f t="shared" ref="AG7:AG13" si="7">IF(AF7="",0,AE7-AF7)</f>
        <v>0</v>
      </c>
      <c r="AH7" s="141"/>
      <c r="AI7" s="187">
        <v>365</v>
      </c>
      <c r="AJ7" s="188"/>
      <c r="AK7" s="189"/>
      <c r="AL7" s="190"/>
      <c r="AM7" s="2410"/>
      <c r="AN7" s="2412" t="s">
        <v>3122</v>
      </c>
      <c r="AO7" s="1996"/>
      <c r="AP7" s="1202">
        <f t="shared" ref="AP7:AP13" si="8">ROUND(1-1/(1+H7)^F7,3)</f>
        <v>0.82799999999999996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办公</v>
      </c>
      <c r="B8" s="2333" t="str">
        <f t="shared" si="1"/>
        <v>经营性</v>
      </c>
      <c r="C8" s="173" t="s">
        <v>1679</v>
      </c>
      <c r="D8" s="2304">
        <f>SUMIF(项目基本情况!D$15:I$15,C8,项目基本情况!D$18:I$18)</f>
        <v>40</v>
      </c>
      <c r="E8" s="2305">
        <f>IF(B8="","",SUMIF(项目基本情况!D$15:I$15,C8,项目基本情况!D$17:I$17))</f>
        <v>57664</v>
      </c>
      <c r="F8" s="174">
        <f>SUMIF(项目基本情况!D$15:I$15,C8,项目基本情况!D$19:I$19)</f>
        <v>40</v>
      </c>
      <c r="G8" s="175">
        <f t="shared" si="2"/>
        <v>1</v>
      </c>
      <c r="H8" s="3400">
        <v>0.04</v>
      </c>
      <c r="I8" s="3400">
        <v>0.05</v>
      </c>
      <c r="J8" s="3401">
        <v>8.5000000000000006E-2</v>
      </c>
      <c r="K8" s="179">
        <f>SUMIF('数据-汇总表'!C$19:C$33,'数据-取费表'!A8,'数据-汇总表'!E$19:E$33)</f>
        <v>19914.97</v>
      </c>
      <c r="L8" s="2988">
        <v>1800</v>
      </c>
      <c r="M8" s="177">
        <f>ROUND(K8*L8/10000,0)</f>
        <v>3585</v>
      </c>
      <c r="N8" s="2989">
        <v>0</v>
      </c>
      <c r="O8" s="177">
        <f t="shared" si="3"/>
        <v>0</v>
      </c>
      <c r="P8" s="178">
        <f t="shared" si="4"/>
        <v>3585</v>
      </c>
      <c r="Q8" s="2990">
        <v>0.15</v>
      </c>
      <c r="R8" s="179">
        <f>SUMIF('数据-汇总表'!C$19:C$33,A8,'数据-汇总表'!R$19:R$33)</f>
        <v>6627.9800000000005</v>
      </c>
      <c r="S8" s="132">
        <f>IF('数据-汇总表'!$I$17="按面积比例",SUMIF('数据-汇总表'!C$19:C$33,A8,'数据-汇总表'!K$19:K$33),SUMIF('数据-汇总表'!C$19:C$33,A8,'数据-汇总表'!N$19:N$33))</f>
        <v>857.43</v>
      </c>
      <c r="T8" s="2230">
        <f t="shared" si="5"/>
        <v>154</v>
      </c>
      <c r="U8" s="180">
        <v>1.5</v>
      </c>
      <c r="V8" s="181">
        <v>2.5000000000000001E-2</v>
      </c>
      <c r="W8" s="181">
        <v>0.1</v>
      </c>
      <c r="X8" s="2317"/>
      <c r="Y8" s="182">
        <v>1</v>
      </c>
      <c r="Z8" s="183"/>
      <c r="AA8" s="176"/>
      <c r="AB8" s="176"/>
      <c r="AC8" s="2320"/>
      <c r="AD8" s="184"/>
      <c r="AE8" s="970">
        <f t="shared" ca="1" si="6"/>
        <v>37</v>
      </c>
      <c r="AF8" s="141"/>
      <c r="AG8" s="1211">
        <f t="shared" si="7"/>
        <v>0</v>
      </c>
      <c r="AH8" s="141"/>
      <c r="AI8" s="187">
        <v>365</v>
      </c>
      <c r="AJ8" s="188"/>
      <c r="AK8" s="189"/>
      <c r="AL8" s="190"/>
      <c r="AM8" s="2410"/>
      <c r="AN8" s="2412" t="s">
        <v>3126</v>
      </c>
      <c r="AO8" s="1996"/>
      <c r="AP8" s="1202">
        <f t="shared" si="8"/>
        <v>0.79200000000000004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地下商业</v>
      </c>
      <c r="B9" s="2333" t="str">
        <f t="shared" si="1"/>
        <v>经营性</v>
      </c>
      <c r="C9" s="173" t="s">
        <v>2993</v>
      </c>
      <c r="D9" s="2304">
        <f>SUMIF(项目基本情况!D$15:I$15,C9,项目基本情况!D$18:I$18)</f>
        <v>40</v>
      </c>
      <c r="E9" s="2305">
        <f>IF(B9="","",SUMIF(项目基本情况!D$15:I$15,C9,项目基本情况!D$17:I$17))</f>
        <v>57664</v>
      </c>
      <c r="F9" s="174">
        <f>SUMIF(项目基本情况!D$15:I$15,C9,项目基本情况!D$19:I$19)</f>
        <v>40</v>
      </c>
      <c r="G9" s="175">
        <f t="shared" si="2"/>
        <v>1</v>
      </c>
      <c r="H9" s="3400">
        <v>4.4999999999999998E-2</v>
      </c>
      <c r="I9" s="3400">
        <v>5.5E-2</v>
      </c>
      <c r="J9" s="3401">
        <v>8.5000000000000006E-2</v>
      </c>
      <c r="K9" s="179">
        <f>SUMIF('数据-汇总表'!C$19:C$33,'数据-取费表'!A9,'数据-汇总表'!E$19:E$33)</f>
        <v>8883.42</v>
      </c>
      <c r="L9" s="193">
        <v>2000</v>
      </c>
      <c r="M9" s="177">
        <f t="shared" si="0"/>
        <v>1777</v>
      </c>
      <c r="N9" s="194">
        <v>0</v>
      </c>
      <c r="O9" s="177">
        <f t="shared" si="3"/>
        <v>0</v>
      </c>
      <c r="P9" s="178">
        <f t="shared" si="4"/>
        <v>1777</v>
      </c>
      <c r="Q9" s="192">
        <v>0.2</v>
      </c>
      <c r="R9" s="179">
        <f>SUMIF('数据-汇总表'!C$19:C$33,A9,'数据-汇总表'!R$19:R$33)</f>
        <v>2956.5299999999997</v>
      </c>
      <c r="S9" s="132">
        <f>IF('数据-汇总表'!$I$17="按面积比例",SUMIF('数据-汇总表'!C$19:C$33,A9,'数据-汇总表'!K$19:K$33),SUMIF('数据-汇总表'!C$19:C$33,A9,'数据-汇总表'!N$19:N$33))</f>
        <v>382.47</v>
      </c>
      <c r="T9" s="2230">
        <f t="shared" si="5"/>
        <v>69</v>
      </c>
      <c r="U9" s="180">
        <v>1</v>
      </c>
      <c r="V9" s="181">
        <v>2.5000000000000001E-2</v>
      </c>
      <c r="W9" s="181">
        <v>0.1</v>
      </c>
      <c r="X9" s="2317"/>
      <c r="Y9" s="182">
        <v>1</v>
      </c>
      <c r="Z9" s="183"/>
      <c r="AA9" s="176"/>
      <c r="AB9" s="176"/>
      <c r="AC9" s="2320"/>
      <c r="AD9" s="184"/>
      <c r="AE9" s="970">
        <f t="shared" ca="1" si="6"/>
        <v>37</v>
      </c>
      <c r="AF9" s="141"/>
      <c r="AG9" s="1211">
        <f t="shared" si="7"/>
        <v>0</v>
      </c>
      <c r="AH9" s="141"/>
      <c r="AI9" s="187">
        <v>365</v>
      </c>
      <c r="AJ9" s="188"/>
      <c r="AK9" s="189"/>
      <c r="AL9" s="190"/>
      <c r="AM9" s="2410"/>
      <c r="AN9" s="2412" t="s">
        <v>3127</v>
      </c>
      <c r="AO9" s="1996"/>
      <c r="AP9" s="1202">
        <f t="shared" si="8"/>
        <v>0.82799999999999996</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地下车库</v>
      </c>
      <c r="B10" s="2333" t="str">
        <f t="shared" si="1"/>
        <v>经营性</v>
      </c>
      <c r="C10" s="173" t="s">
        <v>2994</v>
      </c>
      <c r="D10" s="2304">
        <f>SUMIF(项目基本情况!D$15:I$15,C10,项目基本情况!D$18:I$18)</f>
        <v>50</v>
      </c>
      <c r="E10" s="2305">
        <f>IF(B10="","",SUMIF(项目基本情况!D$15:I$15,C10,项目基本情况!D$17:I$17))</f>
        <v>61316</v>
      </c>
      <c r="F10" s="174">
        <f>SUMIF(项目基本情况!D$15:I$15,C10,项目基本情况!D$19:I$19)</f>
        <v>50</v>
      </c>
      <c r="G10" s="175">
        <f t="shared" si="2"/>
        <v>1</v>
      </c>
      <c r="H10" s="3400">
        <v>0.04</v>
      </c>
      <c r="I10" s="3400">
        <v>4.4999999999999998E-2</v>
      </c>
      <c r="J10" s="3401">
        <v>8.5000000000000006E-2</v>
      </c>
      <c r="K10" s="179">
        <f>SUMIF('数据-汇总表'!C$19:C$33,'数据-取费表'!A10,'数据-汇总表'!E$19:E$33)</f>
        <v>152374.15</v>
      </c>
      <c r="L10" s="193">
        <v>1800</v>
      </c>
      <c r="M10" s="177">
        <f t="shared" si="0"/>
        <v>27427</v>
      </c>
      <c r="N10" s="194">
        <v>0</v>
      </c>
      <c r="O10" s="177">
        <f t="shared" si="3"/>
        <v>0</v>
      </c>
      <c r="P10" s="178">
        <f t="shared" si="4"/>
        <v>27427</v>
      </c>
      <c r="Q10" s="192">
        <v>0.03</v>
      </c>
      <c r="R10" s="179">
        <f>SUMIF('数据-汇总表'!C$19:C$33,A10,'数据-汇总表'!R$19:R$33)</f>
        <v>50712.24</v>
      </c>
      <c r="S10" s="132">
        <f>IF('数据-汇总表'!$I$17="按面积比例",SUMIF('数据-汇总表'!C$19:C$33,A10,'数据-汇总表'!K$19:K$33),SUMIF('数据-汇总表'!C$19:C$33,A10,'数据-汇总表'!N$19:N$33))</f>
        <v>6560.41</v>
      </c>
      <c r="T10" s="2230">
        <f t="shared" si="5"/>
        <v>1181</v>
      </c>
      <c r="U10" s="180"/>
      <c r="V10" s="181"/>
      <c r="W10" s="181"/>
      <c r="X10" s="2317"/>
      <c r="Y10" s="182"/>
      <c r="Z10" s="183"/>
      <c r="AA10" s="176"/>
      <c r="AB10" s="176"/>
      <c r="AC10" s="2320"/>
      <c r="AD10" s="184"/>
      <c r="AE10" s="970">
        <f t="shared" ca="1" si="6"/>
        <v>0</v>
      </c>
      <c r="AF10" s="141"/>
      <c r="AG10" s="1211">
        <f t="shared" si="7"/>
        <v>0</v>
      </c>
      <c r="AH10" s="141">
        <v>3370</v>
      </c>
      <c r="AI10" s="187"/>
      <c r="AJ10" s="188"/>
      <c r="AK10" s="189"/>
      <c r="AL10" s="190"/>
      <c r="AM10" s="2410"/>
      <c r="AN10" s="2412"/>
      <c r="AO10" s="1996"/>
      <c r="AP10" s="1202">
        <f t="shared" si="8"/>
        <v>0.85899999999999999</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1681</v>
      </c>
      <c r="C14" s="2303" t="s">
        <v>2315</v>
      </c>
      <c r="D14" s="2304"/>
      <c r="E14" s="2305"/>
      <c r="F14" s="174"/>
      <c r="G14" s="175"/>
      <c r="H14" s="2306"/>
      <c r="I14" s="2306"/>
      <c r="J14" s="2306"/>
      <c r="K14" s="179">
        <f>SUMIF('数据-汇总表'!C$19:C$33,'数据-取费表'!A14,'数据-汇总表'!E$19:E$33)</f>
        <v>21218.899999999994</v>
      </c>
      <c r="L14" s="193">
        <v>1800</v>
      </c>
      <c r="M14" s="177">
        <f t="shared" si="0"/>
        <v>3819</v>
      </c>
      <c r="N14" s="194">
        <v>0</v>
      </c>
      <c r="O14" s="177">
        <f t="shared" si="3"/>
        <v>0</v>
      </c>
      <c r="P14" s="178">
        <f t="shared" si="4"/>
        <v>3819</v>
      </c>
      <c r="Q14" s="2314"/>
      <c r="R14" s="179"/>
      <c r="S14" s="132"/>
      <c r="T14" s="2313"/>
      <c r="U14" s="972"/>
      <c r="V14" s="2316"/>
      <c r="W14" s="2316"/>
      <c r="X14" s="2317"/>
      <c r="Y14" s="2318"/>
      <c r="Z14" s="136"/>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1681</v>
      </c>
      <c r="C15" s="2303" t="s">
        <v>2316</v>
      </c>
      <c r="D15" s="2304"/>
      <c r="E15" s="2305"/>
      <c r="F15" s="174"/>
      <c r="G15" s="175"/>
      <c r="H15" s="2306"/>
      <c r="I15" s="2306"/>
      <c r="J15" s="2306"/>
      <c r="K15" s="179">
        <f>SUMIF('数据-汇总表'!C$19:C$33,'数据-取费表'!A15,'数据-汇总表'!E$19:E$33)</f>
        <v>23423.96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537479.46999999986</v>
      </c>
      <c r="L16" s="206">
        <f>ROUND(M16*10000/SUM(K6:K14),0)</f>
        <v>1832</v>
      </c>
      <c r="M16" s="206">
        <f>SUM(M6:M14)</f>
        <v>94160</v>
      </c>
      <c r="N16" s="207">
        <f>ROUND(SUMPRODUCT(M6:M14,N6:N14)/M16,3)</f>
        <v>0</v>
      </c>
      <c r="O16" s="206">
        <f>SUM(O6:O14)</f>
        <v>0</v>
      </c>
      <c r="P16" s="206">
        <f>SUM(P6:P14)</f>
        <v>94160</v>
      </c>
      <c r="Q16" s="208">
        <f>ROUND(SUMPRODUCT(Q6:Q13,K6:K13)/SUMPRODUCT((Q6:Q13&gt;0)*(K6:K13)),2)</f>
        <v>0.12</v>
      </c>
      <c r="R16" s="2307">
        <f>SUM(R6:R13)</f>
        <v>171496.93</v>
      </c>
      <c r="S16" s="209">
        <f>SUM(S6:S13)</f>
        <v>21218.89</v>
      </c>
      <c r="T16" s="210">
        <f>IF(SUMIF(T6:T13,"&lt;9E307")=M14,SUMIF(T6:T13,"&lt;9E307"),"有误，请检查")</f>
        <v>3819</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0.88900000000000001</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2338</v>
      </c>
      <c r="B27" s="227">
        <v>33.200000000000003</v>
      </c>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2339</v>
      </c>
      <c r="B28" s="229">
        <v>21.6</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2337</v>
      </c>
      <c r="B29" s="232">
        <v>0</v>
      </c>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274</v>
      </c>
      <c r="B31" s="230">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275</v>
      </c>
      <c r="B32" s="1375">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1376">
        <v>0.03</v>
      </c>
      <c r="C33" s="2361" t="s">
        <v>2897</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0.03</v>
      </c>
      <c r="C34" s="2361" t="s">
        <v>2898</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2899</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2900</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0.01</v>
      </c>
      <c r="C37" s="2361" t="s">
        <v>2901</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0.02</v>
      </c>
      <c r="C38" s="2361" t="s">
        <v>2901</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6.2719999999999998E-2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40">
        <v>5.6000000000000001E-2</v>
      </c>
      <c r="C42" s="3056">
        <f>IF(B2&lt;DATE(2016,5,1),0,B42)</f>
        <v>5.6000000000000001E-2</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1">
        <f>B42*(B44+B45+B46)+B47</f>
        <v>6.7200000000000003E-3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2902</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2903</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2904</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v>0</v>
      </c>
      <c r="C47" s="3031" t="s">
        <v>2905</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32" t="s">
        <v>2906</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32" t="s">
        <v>2907</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3012</v>
      </c>
      <c r="C53" s="3033" t="s">
        <v>2908</v>
      </c>
      <c r="D53" s="3034" t="s">
        <v>2909</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36" t="s">
        <v>2910</v>
      </c>
      <c r="B54" s="186"/>
      <c r="C54" s="1990">
        <v>30</v>
      </c>
      <c r="D54" s="303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36" t="s">
        <v>3027</v>
      </c>
      <c r="B55" s="186">
        <v>6</v>
      </c>
      <c r="C55" s="1990">
        <v>24</v>
      </c>
      <c r="D55" s="303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36" t="s">
        <v>2911</v>
      </c>
      <c r="B56" s="186"/>
      <c r="C56" s="1990">
        <v>18</v>
      </c>
      <c r="D56" s="303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36" t="s">
        <v>2912</v>
      </c>
      <c r="B57" s="186"/>
      <c r="C57" s="1990">
        <v>12</v>
      </c>
      <c r="D57" s="303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36" t="s">
        <v>2913</v>
      </c>
      <c r="B58" s="186"/>
      <c r="C58" s="1990">
        <v>3</v>
      </c>
      <c r="D58" s="303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36" t="s">
        <v>2914</v>
      </c>
      <c r="B59" s="186"/>
      <c r="C59" s="1990">
        <v>1.5</v>
      </c>
      <c r="D59" s="303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36" t="s">
        <v>2915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36" t="s">
        <v>2916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36" t="s">
        <v>2917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37" t="s">
        <v>2918</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192" t="s">
        <v>1665</v>
      </c>
      <c r="B1" s="3193"/>
      <c r="C1" s="3193"/>
      <c r="D1" s="3193"/>
      <c r="E1" s="3193"/>
      <c r="F1" s="3193"/>
      <c r="G1" s="3193"/>
      <c r="H1" s="1998"/>
      <c r="I1" s="1999"/>
      <c r="J1" s="2000"/>
      <c r="K1" s="1998"/>
      <c r="L1" s="1999"/>
      <c r="M1" s="2000"/>
      <c r="N1" s="1998"/>
      <c r="O1" s="1999"/>
      <c r="P1" s="2000"/>
      <c r="Q1" s="2001"/>
      <c r="R1" s="2002"/>
    </row>
    <row r="2" spans="1:18" ht="14.25" thickBot="1">
      <c r="A2" s="1219"/>
      <c r="B2" s="1220"/>
      <c r="C2" s="1221" t="s">
        <v>1666</v>
      </c>
      <c r="D2" s="1222"/>
      <c r="E2" s="1223"/>
      <c r="F2" s="1224"/>
      <c r="G2" s="1221" t="s">
        <v>1667</v>
      </c>
      <c r="H2" s="2004"/>
      <c r="I2" s="2004"/>
      <c r="J2" s="2004"/>
      <c r="K2" s="2004"/>
      <c r="L2" s="2004"/>
      <c r="M2" s="2004"/>
      <c r="N2" s="2004"/>
      <c r="O2" s="2004"/>
      <c r="P2" s="2004"/>
      <c r="Q2" s="2004"/>
      <c r="R2" s="2004"/>
    </row>
    <row r="3" spans="1:18" ht="54">
      <c r="A3" s="1225" t="s">
        <v>1668</v>
      </c>
      <c r="B3" s="1226" t="s">
        <v>1655</v>
      </c>
      <c r="C3" s="3038" t="s">
        <v>2925</v>
      </c>
      <c r="D3" s="2005"/>
      <c r="E3" s="1227" t="s">
        <v>1668</v>
      </c>
      <c r="F3" s="1228" t="s">
        <v>1656</v>
      </c>
      <c r="G3" s="3042" t="s">
        <v>2924</v>
      </c>
      <c r="H3" s="2004"/>
      <c r="I3" s="2004"/>
      <c r="J3" s="2004"/>
      <c r="K3" s="2004"/>
      <c r="L3" s="2004"/>
      <c r="M3" s="2004"/>
      <c r="N3" s="2004"/>
      <c r="O3" s="2004"/>
      <c r="P3" s="2004"/>
      <c r="Q3" s="2004"/>
      <c r="R3" s="2004"/>
    </row>
    <row r="4" spans="1:18" ht="41.25">
      <c r="A4" s="1227"/>
      <c r="B4" s="1229" t="s">
        <v>1669</v>
      </c>
      <c r="C4" s="3039" t="s">
        <v>2926</v>
      </c>
      <c r="D4" s="2005"/>
      <c r="E4" s="1230"/>
      <c r="F4" s="1231" t="s">
        <v>1670</v>
      </c>
      <c r="G4" s="3040" t="s">
        <v>2921</v>
      </c>
      <c r="H4" s="2004"/>
      <c r="I4" s="2004"/>
      <c r="J4" s="2004"/>
      <c r="K4" s="2004"/>
      <c r="L4" s="2004"/>
      <c r="M4" s="2004"/>
      <c r="N4" s="2004"/>
      <c r="O4" s="2004"/>
      <c r="P4" s="2004"/>
      <c r="Q4" s="2004"/>
      <c r="R4" s="2004"/>
    </row>
    <row r="5" spans="1:18" ht="41.25">
      <c r="A5" s="1227"/>
      <c r="B5" s="1229" t="s">
        <v>1671</v>
      </c>
      <c r="C5" s="3039" t="s">
        <v>2927</v>
      </c>
      <c r="D5" s="2005"/>
      <c r="E5" s="1230"/>
      <c r="F5" s="1229" t="s">
        <v>2549</v>
      </c>
      <c r="G5" s="3040" t="s">
        <v>2922</v>
      </c>
      <c r="H5" s="2004"/>
      <c r="I5" s="2004"/>
      <c r="J5" s="2004"/>
      <c r="K5" s="2004"/>
      <c r="L5" s="2004"/>
      <c r="M5" s="2004"/>
      <c r="N5" s="2004"/>
      <c r="O5" s="2004"/>
      <c r="P5" s="2004"/>
      <c r="Q5" s="2004"/>
      <c r="R5" s="2004"/>
    </row>
    <row r="6" spans="1:18" ht="54">
      <c r="A6" s="1227"/>
      <c r="B6" s="1229" t="s">
        <v>1657</v>
      </c>
      <c r="C6" s="3040" t="s">
        <v>2921</v>
      </c>
      <c r="D6" s="2005"/>
      <c r="E6" s="1230"/>
      <c r="F6" s="1229" t="s">
        <v>2550</v>
      </c>
      <c r="G6" s="3040" t="s">
        <v>2919</v>
      </c>
      <c r="H6" s="2004"/>
      <c r="I6" s="2004"/>
      <c r="J6" s="2004"/>
      <c r="K6" s="2004"/>
      <c r="L6" s="2004"/>
      <c r="M6" s="2004"/>
      <c r="N6" s="2004"/>
      <c r="O6" s="2004"/>
      <c r="P6" s="2004"/>
      <c r="Q6" s="2004"/>
      <c r="R6" s="2004"/>
    </row>
    <row r="7" spans="1:18" ht="41.25" thickBot="1">
      <c r="A7" s="1227"/>
      <c r="B7" s="1229" t="s">
        <v>2549</v>
      </c>
      <c r="C7" s="3040" t="s">
        <v>2922</v>
      </c>
      <c r="D7" s="2006"/>
      <c r="E7" s="1232"/>
      <c r="F7" s="1233" t="s">
        <v>1672</v>
      </c>
      <c r="G7" s="3043" t="s">
        <v>2923</v>
      </c>
      <c r="H7" s="2004"/>
      <c r="I7" s="2004"/>
      <c r="J7" s="2004"/>
      <c r="K7" s="2004"/>
      <c r="L7" s="2004"/>
      <c r="M7" s="2004"/>
      <c r="N7" s="2004"/>
      <c r="O7" s="2004"/>
      <c r="P7" s="2004"/>
      <c r="Q7" s="2004"/>
      <c r="R7" s="2004"/>
    </row>
    <row r="8" spans="1:18" ht="27">
      <c r="A8" s="1227"/>
      <c r="B8" s="1229" t="s">
        <v>2550</v>
      </c>
      <c r="C8" s="3040" t="s">
        <v>2919</v>
      </c>
      <c r="D8" s="2006"/>
      <c r="E8" s="2006"/>
      <c r="F8" s="1551"/>
      <c r="G8" s="1551"/>
      <c r="H8" s="2004"/>
      <c r="I8" s="2004"/>
      <c r="J8" s="2004"/>
      <c r="K8" s="2004"/>
      <c r="L8" s="2004"/>
      <c r="M8" s="2004"/>
      <c r="N8" s="2004"/>
      <c r="O8" s="2004"/>
      <c r="P8" s="2004"/>
      <c r="Q8" s="2004"/>
      <c r="R8" s="2004"/>
    </row>
    <row r="9" spans="1:18" ht="40.5">
      <c r="A9" s="1227"/>
      <c r="B9" s="1229" t="s">
        <v>1658</v>
      </c>
      <c r="C9" s="3039" t="s">
        <v>2920</v>
      </c>
      <c r="D9" s="2005"/>
      <c r="E9" s="2006"/>
      <c r="F9" s="1551"/>
      <c r="G9" s="1551"/>
      <c r="H9" s="2004"/>
      <c r="I9" s="2004"/>
      <c r="J9" s="2004"/>
      <c r="K9" s="2004"/>
      <c r="L9" s="2004"/>
      <c r="M9" s="2004"/>
      <c r="N9" s="2004"/>
      <c r="O9" s="2004"/>
      <c r="P9" s="2004"/>
      <c r="Q9" s="2004"/>
      <c r="R9" s="2004"/>
    </row>
    <row r="10" spans="1:18" s="2012" customFormat="1" ht="15" thickBot="1">
      <c r="A10" s="1234"/>
      <c r="B10" s="1235" t="s">
        <v>1673</v>
      </c>
      <c r="C10" s="3041"/>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5"/>
      <c r="E12" s="2005"/>
      <c r="F12" s="2006"/>
      <c r="G12" s="2008"/>
      <c r="H12" s="2013"/>
      <c r="I12" s="2014"/>
      <c r="J12" s="2013"/>
      <c r="K12" s="2013"/>
      <c r="L12" s="2015"/>
      <c r="M12" s="2013"/>
      <c r="N12" s="2016"/>
      <c r="O12" s="2017"/>
      <c r="P12" s="2018"/>
      <c r="Q12" s="2016"/>
      <c r="R12" s="2002"/>
    </row>
    <row r="13" spans="1:18" ht="19.5" thickBot="1">
      <c r="A13" s="2594" t="s">
        <v>1674</v>
      </c>
      <c r="B13" s="2595"/>
      <c r="C13" s="2595"/>
      <c r="D13" s="1222"/>
      <c r="E13" s="2595"/>
      <c r="F13" s="2595"/>
      <c r="G13" s="2595"/>
    </row>
    <row r="14" spans="1:18" ht="14.25" thickBot="1">
      <c r="A14" s="1236"/>
      <c r="B14" s="1237"/>
      <c r="C14" s="1238" t="s">
        <v>1666</v>
      </c>
      <c r="D14" s="2005"/>
      <c r="E14" s="1239"/>
      <c r="F14" s="1239"/>
      <c r="G14" s="1221" t="s">
        <v>1667</v>
      </c>
    </row>
    <row r="15" spans="1:18" ht="54">
      <c r="A15" s="2605" t="s">
        <v>1659</v>
      </c>
      <c r="B15" s="1240" t="s">
        <v>1655</v>
      </c>
      <c r="C15" s="1241" t="str">
        <f>C3</f>
        <v>估价对象周边居住用地比例、居住小区规模和社区发展完善程度，综合评价居住社区成熟度一般</v>
      </c>
      <c r="D15" s="2005"/>
      <c r="E15" s="2602" t="s">
        <v>1660</v>
      </c>
      <c r="F15" s="1240" t="s">
        <v>1675</v>
      </c>
      <c r="G15" s="1242" t="str">
        <f>G3</f>
        <v>估价对象位于XX开发区，园区建设成熟度XX，产业集聚程度XX</v>
      </c>
    </row>
    <row r="16" spans="1:18" ht="40.5">
      <c r="A16" s="2606"/>
      <c r="B16" s="1243" t="s">
        <v>1669</v>
      </c>
      <c r="C16" s="1244" t="str">
        <f>C4</f>
        <v>估价对象位于XX商圈，周边商业氛围成熟，人流量大，商业繁华度好</v>
      </c>
      <c r="D16" s="2005"/>
      <c r="E16" s="2603"/>
      <c r="F16" s="1245" t="s">
        <v>1670</v>
      </c>
      <c r="G16" s="1003" t="str">
        <f>G4</f>
        <v>估价对象周边道路状况、公共交通通达情况、停车便捷程度，综合评价交通便捷度较好</v>
      </c>
    </row>
    <row r="17" spans="1:7" ht="40.5">
      <c r="A17" s="2606"/>
      <c r="B17" s="1243" t="s">
        <v>1671</v>
      </c>
      <c r="C17" s="1244" t="str">
        <f>C5</f>
        <v>估价对象位于XX商圈，周边办公楼项目较多，入驻率高，办公集聚程度较好</v>
      </c>
      <c r="D17" s="2006"/>
      <c r="E17" s="2603"/>
      <c r="F17" s="1245" t="s">
        <v>1676</v>
      </c>
      <c r="G17" s="2813"/>
    </row>
    <row r="18" spans="1:7" ht="54">
      <c r="A18" s="2606"/>
      <c r="B18" s="1245" t="s">
        <v>1657</v>
      </c>
      <c r="C18" s="1003" t="str">
        <f>C6</f>
        <v>估价对象周边道路状况、公共交通通达情况、停车便捷程度，综合评价交通便捷度较好</v>
      </c>
      <c r="D18" s="2006"/>
      <c r="E18" s="2603"/>
      <c r="F18" s="1245" t="s">
        <v>1672</v>
      </c>
      <c r="G18" s="1003" t="str">
        <f>G7</f>
        <v>该园区内是否有污染型企业，绿化情况，卫生条件，整体环境状况判断</v>
      </c>
    </row>
    <row r="19" spans="1:7" ht="27">
      <c r="A19" s="2606"/>
      <c r="B19" s="1245" t="s">
        <v>1661</v>
      </c>
      <c r="C19" s="2813"/>
      <c r="D19" s="2005"/>
      <c r="E19" s="2603"/>
      <c r="F19" s="1229" t="s">
        <v>2549</v>
      </c>
      <c r="G19" s="1003" t="str">
        <f>G5</f>
        <v>估价对象所在区域公共配套设施齐备情况</v>
      </c>
    </row>
    <row r="20" spans="1:7" ht="40.5">
      <c r="A20" s="2606"/>
      <c r="B20" s="1245" t="s">
        <v>1662</v>
      </c>
      <c r="C20" s="1244" t="str">
        <f>C9</f>
        <v>区域自然环境：；人文环境；综合评价环境状况一般</v>
      </c>
      <c r="D20" s="2006"/>
      <c r="E20" s="2603"/>
      <c r="F20" s="1229" t="s">
        <v>2550</v>
      </c>
      <c r="G20" s="1003" t="str">
        <f>G6</f>
        <v>估价对象所在区域基础设施水平</v>
      </c>
    </row>
    <row r="21" spans="1:7" ht="27">
      <c r="A21" s="2606"/>
      <c r="B21" s="1229" t="s">
        <v>2549</v>
      </c>
      <c r="C21" s="1003" t="str">
        <f>C7</f>
        <v>估价对象所在区域公共配套设施齐备情况</v>
      </c>
      <c r="D21" s="2005"/>
      <c r="E21" s="2603"/>
      <c r="F21" s="1245" t="s">
        <v>1663</v>
      </c>
      <c r="G21" s="3044"/>
    </row>
    <row r="22" spans="1:7" ht="27">
      <c r="A22" s="2606"/>
      <c r="B22" s="1229" t="s">
        <v>2550</v>
      </c>
      <c r="C22" s="1003" t="str">
        <f>C8</f>
        <v>估价对象所在区域基础设施水平</v>
      </c>
      <c r="D22" s="2005"/>
      <c r="E22" s="2603"/>
      <c r="F22" s="1245" t="s">
        <v>1673</v>
      </c>
      <c r="G22" s="2813"/>
    </row>
    <row r="23" spans="1:7" ht="15" thickBot="1">
      <c r="A23" s="2606"/>
      <c r="B23" s="1245" t="s">
        <v>1663</v>
      </c>
      <c r="C23" s="3044"/>
      <c r="E23" s="2604"/>
      <c r="F23" s="1246" t="s">
        <v>1677</v>
      </c>
      <c r="G23" s="3045"/>
    </row>
    <row r="24" spans="1:7" ht="14.25" thickBot="1">
      <c r="A24" s="2607"/>
      <c r="B24" s="1246" t="s">
        <v>1664</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2849</v>
      </c>
      <c r="B1" s="3002">
        <f>SUM(B14:B23)</f>
        <v>537479.47</v>
      </c>
      <c r="C1" s="3003"/>
      <c r="D1" s="3003"/>
      <c r="E1" s="3003"/>
      <c r="F1" s="3003"/>
    </row>
    <row r="2" spans="1:9" ht="16.5">
      <c r="A2" s="3002" t="s">
        <v>2850</v>
      </c>
      <c r="B2" s="3002">
        <f>SUM(C14:C23)</f>
        <v>171496.93</v>
      </c>
      <c r="C2" s="3003"/>
      <c r="D2" s="3003"/>
      <c r="E2" s="3003"/>
      <c r="F2" s="3003"/>
    </row>
    <row r="3" spans="1:9" ht="16.5">
      <c r="A3" s="3002" t="s">
        <v>2851</v>
      </c>
      <c r="B3" s="3004">
        <f>项目基本情况!D3</f>
        <v>43054</v>
      </c>
      <c r="C3" s="3003"/>
      <c r="D3" s="3003"/>
      <c r="E3" s="3003"/>
      <c r="F3" s="3003"/>
    </row>
    <row r="4" spans="1:9" ht="33">
      <c r="A4" s="3002" t="s">
        <v>2852</v>
      </c>
      <c r="B4" s="3002" t="s">
        <v>2853</v>
      </c>
      <c r="C4" s="3002" t="s">
        <v>2854</v>
      </c>
      <c r="D4" s="3002" t="s">
        <v>2855</v>
      </c>
      <c r="E4" s="3003"/>
      <c r="F4" s="3003"/>
    </row>
    <row r="5" spans="1:9" ht="16.5">
      <c r="A5" s="3002" t="s">
        <v>2856</v>
      </c>
      <c r="B5" s="3002">
        <f ca="1">SUM(D14:D23)</f>
        <v>125507</v>
      </c>
      <c r="C5" s="3002">
        <f ca="1">ROUND(B5*10000/$B$1,0)</f>
        <v>2335</v>
      </c>
      <c r="D5" s="3002">
        <f ca="1">ROUND(B5*10000/$B$2,0)</f>
        <v>7318</v>
      </c>
      <c r="E5" s="3003"/>
      <c r="F5" s="3003"/>
    </row>
    <row r="6" spans="1:9" ht="16.5">
      <c r="A6" s="3002" t="s">
        <v>2857</v>
      </c>
      <c r="B6" s="3002">
        <f>SUM(G14:G23)</f>
        <v>0</v>
      </c>
      <c r="C6" s="3002">
        <f t="shared" ref="C6:C8" si="0">ROUND(B6*10000/$B$1,0)</f>
        <v>0</v>
      </c>
      <c r="D6" s="3002">
        <f t="shared" ref="D6:D8" si="1">ROUND(B6*10000/$B$2,0)</f>
        <v>0</v>
      </c>
      <c r="E6" s="3003"/>
      <c r="F6" s="3003"/>
    </row>
    <row r="7" spans="1:9" ht="16.5">
      <c r="A7" s="3002" t="s">
        <v>2858</v>
      </c>
      <c r="B7" s="3002">
        <f ca="1">SUM(H14:H23)</f>
        <v>125507</v>
      </c>
      <c r="C7" s="3002">
        <f t="shared" ca="1" si="0"/>
        <v>2335</v>
      </c>
      <c r="D7" s="3002">
        <f t="shared" ca="1" si="1"/>
        <v>7318</v>
      </c>
      <c r="E7" s="3003"/>
      <c r="F7" s="3003"/>
    </row>
    <row r="8" spans="1:9" ht="16.5">
      <c r="A8" s="3002" t="s">
        <v>2859</v>
      </c>
      <c r="B8" s="3002">
        <f>SUM(I14:I23)</f>
        <v>0</v>
      </c>
      <c r="C8" s="3002">
        <f t="shared" si="0"/>
        <v>0</v>
      </c>
      <c r="D8" s="3002">
        <f t="shared" si="1"/>
        <v>0</v>
      </c>
      <c r="E8" s="3003"/>
      <c r="F8" s="3003"/>
    </row>
    <row r="9" spans="1:9" ht="16.5">
      <c r="A9" s="3002" t="s">
        <v>2860</v>
      </c>
      <c r="B9" s="3005"/>
      <c r="C9" s="3003"/>
      <c r="D9" s="3003"/>
      <c r="E9" s="3003"/>
      <c r="F9" s="3003"/>
    </row>
    <row r="10" spans="1:9" ht="16.5">
      <c r="A10" s="3002" t="s">
        <v>2861</v>
      </c>
      <c r="B10" s="3005"/>
      <c r="C10" s="3003"/>
      <c r="D10" s="3003"/>
      <c r="E10" s="3003"/>
      <c r="F10" s="3003"/>
    </row>
    <row r="11" spans="1:9" ht="16.5">
      <c r="A11" s="3002" t="s">
        <v>2878</v>
      </c>
      <c r="B11" s="3005"/>
      <c r="C11" s="3003"/>
      <c r="D11" s="3003"/>
      <c r="E11" s="3003"/>
      <c r="F11" s="3003"/>
    </row>
    <row r="12" spans="1:9" ht="16.5">
      <c r="A12" s="3003"/>
      <c r="B12" s="3003"/>
      <c r="C12" s="3003"/>
      <c r="D12" s="3003"/>
      <c r="E12" s="3003"/>
      <c r="F12" s="3003"/>
    </row>
    <row r="13" spans="1:9" ht="33">
      <c r="A13" s="3008" t="s">
        <v>2877</v>
      </c>
      <c r="B13" s="3006" t="s">
        <v>2849</v>
      </c>
      <c r="C13" s="3006" t="s">
        <v>2850</v>
      </c>
      <c r="D13" s="3006" t="s">
        <v>2862</v>
      </c>
      <c r="E13" s="3002" t="s">
        <v>2876</v>
      </c>
      <c r="F13" s="3002" t="s">
        <v>2855</v>
      </c>
      <c r="G13" s="3006" t="s">
        <v>2863</v>
      </c>
      <c r="H13" s="3006" t="s">
        <v>2864</v>
      </c>
      <c r="I13" s="3006" t="s">
        <v>2865</v>
      </c>
    </row>
    <row r="14" spans="1:9" ht="16.5">
      <c r="A14" s="3009" t="s">
        <v>2875</v>
      </c>
      <c r="B14" s="3006">
        <f>结果表!L38</f>
        <v>537479.47</v>
      </c>
      <c r="C14" s="3006">
        <f>结果表!K38</f>
        <v>171496.93</v>
      </c>
      <c r="D14" s="3006">
        <f ca="1">结果表!C42</f>
        <v>125507</v>
      </c>
      <c r="E14" s="3006">
        <f ca="1">ROUND(D14*10000/B14,0)</f>
        <v>2335</v>
      </c>
      <c r="F14" s="3006">
        <f ca="1">ROUND(D14*10000/C14,0)</f>
        <v>7318</v>
      </c>
      <c r="G14" s="3006" t="str">
        <f>结果表!C44</f>
        <v>——</v>
      </c>
      <c r="H14" s="3006">
        <f ca="1">结果表!C45</f>
        <v>125507</v>
      </c>
      <c r="I14" s="3006" t="str">
        <f>结果表!C46</f>
        <v>——</v>
      </c>
    </row>
    <row r="15" spans="1:9" ht="16.5">
      <c r="A15" s="3009" t="s">
        <v>2866</v>
      </c>
      <c r="B15" s="3010"/>
      <c r="C15" s="3010"/>
      <c r="D15" s="3010"/>
      <c r="E15" s="3006" t="e">
        <f t="shared" ref="E15:E23" si="2">ROUND(D15*10000/B15,0)</f>
        <v>#DIV/0!</v>
      </c>
      <c r="F15" s="3006" t="e">
        <f t="shared" ref="F15:F23" si="3">ROUND(D15*10000/C15,0)</f>
        <v>#DIV/0!</v>
      </c>
      <c r="G15" s="3007"/>
      <c r="H15" s="3007"/>
      <c r="I15" s="3010"/>
    </row>
    <row r="16" spans="1:9" ht="16.5">
      <c r="A16" s="3009" t="s">
        <v>2867</v>
      </c>
      <c r="B16" s="3010"/>
      <c r="C16" s="3010"/>
      <c r="D16" s="3010"/>
      <c r="E16" s="3006" t="e">
        <f t="shared" si="2"/>
        <v>#DIV/0!</v>
      </c>
      <c r="F16" s="3006" t="e">
        <f t="shared" si="3"/>
        <v>#DIV/0!</v>
      </c>
      <c r="G16" s="3007"/>
      <c r="H16" s="3007"/>
      <c r="I16" s="3010"/>
    </row>
    <row r="17" spans="1:9" ht="16.5">
      <c r="A17" s="3009" t="s">
        <v>2868</v>
      </c>
      <c r="B17" s="3010"/>
      <c r="C17" s="3010"/>
      <c r="D17" s="3010"/>
      <c r="E17" s="3006" t="e">
        <f t="shared" si="2"/>
        <v>#DIV/0!</v>
      </c>
      <c r="F17" s="3006" t="e">
        <f t="shared" si="3"/>
        <v>#DIV/0!</v>
      </c>
      <c r="G17" s="3007"/>
      <c r="H17" s="3007"/>
      <c r="I17" s="3010"/>
    </row>
    <row r="18" spans="1:9" ht="16.5">
      <c r="A18" s="3009" t="s">
        <v>2869</v>
      </c>
      <c r="B18" s="3010"/>
      <c r="C18" s="3010"/>
      <c r="D18" s="3010"/>
      <c r="E18" s="3006" t="e">
        <f t="shared" si="2"/>
        <v>#DIV/0!</v>
      </c>
      <c r="F18" s="3006" t="e">
        <f t="shared" si="3"/>
        <v>#DIV/0!</v>
      </c>
      <c r="G18" s="3010"/>
      <c r="H18" s="3010"/>
      <c r="I18" s="3010"/>
    </row>
    <row r="19" spans="1:9" ht="16.5">
      <c r="A19" s="3009" t="s">
        <v>2870</v>
      </c>
      <c r="B19" s="3010"/>
      <c r="C19" s="3010"/>
      <c r="D19" s="3010"/>
      <c r="E19" s="3006" t="e">
        <f t="shared" si="2"/>
        <v>#DIV/0!</v>
      </c>
      <c r="F19" s="3006" t="e">
        <f t="shared" si="3"/>
        <v>#DIV/0!</v>
      </c>
      <c r="G19" s="3010"/>
      <c r="H19" s="3010"/>
      <c r="I19" s="3010"/>
    </row>
    <row r="20" spans="1:9" ht="16.5">
      <c r="A20" s="3009" t="s">
        <v>2871</v>
      </c>
      <c r="B20" s="3010"/>
      <c r="C20" s="3010"/>
      <c r="D20" s="3010"/>
      <c r="E20" s="3006" t="e">
        <f t="shared" si="2"/>
        <v>#DIV/0!</v>
      </c>
      <c r="F20" s="3006" t="e">
        <f t="shared" si="3"/>
        <v>#DIV/0!</v>
      </c>
      <c r="G20" s="3010"/>
      <c r="H20" s="3010"/>
      <c r="I20" s="3010"/>
    </row>
    <row r="21" spans="1:9" ht="16.5">
      <c r="A21" s="3009" t="s">
        <v>2872</v>
      </c>
      <c r="B21" s="3010"/>
      <c r="C21" s="3010"/>
      <c r="D21" s="3010"/>
      <c r="E21" s="3006" t="e">
        <f t="shared" si="2"/>
        <v>#DIV/0!</v>
      </c>
      <c r="F21" s="3006" t="e">
        <f t="shared" si="3"/>
        <v>#DIV/0!</v>
      </c>
      <c r="G21" s="3010"/>
      <c r="H21" s="3010"/>
      <c r="I21" s="3010"/>
    </row>
    <row r="22" spans="1:9" ht="16.5">
      <c r="A22" s="3009" t="s">
        <v>2873</v>
      </c>
      <c r="B22" s="3010"/>
      <c r="C22" s="3010"/>
      <c r="D22" s="3010"/>
      <c r="E22" s="3006" t="e">
        <f t="shared" si="2"/>
        <v>#DIV/0!</v>
      </c>
      <c r="F22" s="3006" t="e">
        <f t="shared" si="3"/>
        <v>#DIV/0!</v>
      </c>
      <c r="G22" s="3010"/>
      <c r="H22" s="3010"/>
      <c r="I22" s="3010"/>
    </row>
    <row r="23" spans="1:9" ht="16.5">
      <c r="A23" s="3009" t="s">
        <v>2874</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28" zoomScaleSheetLayoutView="100" zoomScalePageLayoutView="80" workbookViewId="0">
      <selection activeCell="H30" sqref="H3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2" t="s">
        <v>2056</v>
      </c>
      <c r="B1" s="1773"/>
      <c r="C1" s="1801" t="s">
        <v>2057</v>
      </c>
      <c r="D1" s="1802" t="s">
        <v>3070</v>
      </c>
      <c r="E1" s="1801" t="s">
        <v>2058</v>
      </c>
      <c r="F1" s="1803" t="s">
        <v>3071</v>
      </c>
      <c r="G1" s="311"/>
      <c r="H1" s="311"/>
      <c r="I1" s="311"/>
      <c r="J1" s="2025"/>
      <c r="K1" s="2025"/>
      <c r="L1" s="2025"/>
      <c r="M1" s="2025"/>
      <c r="N1" s="2025"/>
      <c r="O1" s="2025"/>
      <c r="P1" s="2025"/>
      <c r="Q1" s="2025"/>
      <c r="R1" s="2025"/>
      <c r="S1" s="2025"/>
      <c r="T1" s="2025"/>
      <c r="U1" s="2025"/>
      <c r="V1" s="2025"/>
    </row>
    <row r="2" spans="1:22" ht="21.75" customHeight="1" thickBot="1">
      <c r="A2" s="3239" t="str">
        <f>项目基本情况!K2</f>
        <v>河北省霸州市河北省廊坊市霸州市益津中路西侧国蕴城一区项目出让国有建设用地使用权</v>
      </c>
      <c r="B2" s="3240"/>
      <c r="C2" s="3241"/>
      <c r="D2" s="3241"/>
      <c r="E2" s="3241"/>
      <c r="F2" s="3241"/>
      <c r="G2" s="3240"/>
      <c r="H2" s="3240"/>
      <c r="I2" s="3242"/>
      <c r="J2" s="2026"/>
      <c r="K2" s="2025"/>
      <c r="L2" s="2025"/>
      <c r="M2" s="2025"/>
      <c r="N2" s="2025"/>
      <c r="O2" s="2025"/>
      <c r="P2" s="2025"/>
      <c r="Q2" s="2025"/>
      <c r="R2" s="2025"/>
      <c r="S2" s="2025"/>
      <c r="T2" s="2025"/>
      <c r="U2" s="2025"/>
      <c r="V2" s="2025"/>
    </row>
    <row r="3" spans="1:22" ht="14.25">
      <c r="A3" s="3250" t="s">
        <v>298</v>
      </c>
      <c r="B3" s="3251"/>
      <c r="C3" s="3251"/>
      <c r="D3" s="3251"/>
      <c r="E3" s="3251"/>
      <c r="F3" s="3251"/>
      <c r="G3" s="3251"/>
      <c r="H3" s="3251"/>
      <c r="I3" s="3251"/>
      <c r="J3" s="2026"/>
      <c r="K3" s="2025"/>
      <c r="L3" s="2025"/>
      <c r="M3" s="2025"/>
      <c r="N3" s="2025"/>
      <c r="O3" s="2025"/>
      <c r="P3" s="2025"/>
      <c r="Q3" s="2025"/>
      <c r="R3" s="2025"/>
      <c r="S3" s="2025"/>
      <c r="T3" s="2025"/>
      <c r="U3" s="2025"/>
      <c r="V3" s="2025"/>
    </row>
    <row r="4" spans="1:22" ht="14.25">
      <c r="A4" s="258" t="s">
        <v>299</v>
      </c>
      <c r="B4" s="259" t="s">
        <v>300</v>
      </c>
      <c r="C4" s="260" t="s">
        <v>3072</v>
      </c>
      <c r="D4" s="260" t="s">
        <v>3146</v>
      </c>
      <c r="E4" s="3214" t="s">
        <v>301</v>
      </c>
      <c r="F4" s="3256"/>
      <c r="G4" s="3256"/>
      <c r="H4" s="3256"/>
      <c r="I4" s="3215"/>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243" t="s">
        <v>302</v>
      </c>
      <c r="B5" s="3244">
        <v>25</v>
      </c>
      <c r="C5" s="3252"/>
      <c r="D5" s="3255"/>
      <c r="E5" s="261" t="s">
        <v>303</v>
      </c>
      <c r="F5" s="262"/>
      <c r="G5" s="262"/>
      <c r="H5" s="262"/>
      <c r="I5" s="263"/>
      <c r="J5" s="2026"/>
      <c r="K5" s="2025"/>
      <c r="L5" s="2025"/>
      <c r="M5" s="2025"/>
      <c r="N5" s="2025"/>
      <c r="O5" s="2025"/>
      <c r="P5" s="2025"/>
      <c r="Q5" s="2025"/>
      <c r="R5" s="2025"/>
      <c r="S5" s="2025"/>
      <c r="T5" s="2025"/>
      <c r="U5" s="2025"/>
      <c r="V5" s="2025"/>
    </row>
    <row r="6" spans="1:22" ht="14.25">
      <c r="A6" s="3243"/>
      <c r="B6" s="3244"/>
      <c r="C6" s="3253"/>
      <c r="D6" s="3255"/>
      <c r="E6" s="261" t="s">
        <v>304</v>
      </c>
      <c r="F6" s="262"/>
      <c r="G6" s="262"/>
      <c r="H6" s="262"/>
      <c r="I6" s="263"/>
      <c r="J6" s="2026"/>
      <c r="K6" s="2025"/>
      <c r="L6" s="2025"/>
      <c r="M6" s="2025"/>
      <c r="N6" s="2025"/>
      <c r="O6" s="2025"/>
      <c r="P6" s="2025"/>
      <c r="Q6" s="2025"/>
      <c r="R6" s="2025"/>
      <c r="S6" s="2025"/>
      <c r="T6" s="2025"/>
      <c r="U6" s="2025"/>
      <c r="V6" s="2025"/>
    </row>
    <row r="7" spans="1:22" ht="14.25">
      <c r="A7" s="3243"/>
      <c r="B7" s="3244"/>
      <c r="C7" s="3254"/>
      <c r="D7" s="3255"/>
      <c r="E7" s="261" t="s">
        <v>305</v>
      </c>
      <c r="F7" s="262"/>
      <c r="G7" s="262"/>
      <c r="H7" s="262"/>
      <c r="I7" s="263"/>
      <c r="J7" s="2026"/>
      <c r="K7" s="2025"/>
      <c r="L7" s="2025"/>
      <c r="M7" s="2025"/>
      <c r="N7" s="2025"/>
      <c r="O7" s="2025"/>
      <c r="P7" s="2025"/>
      <c r="Q7" s="2025"/>
      <c r="R7" s="2025"/>
      <c r="S7" s="2025"/>
      <c r="T7" s="2025"/>
      <c r="U7" s="2025"/>
      <c r="V7" s="2025"/>
    </row>
    <row r="8" spans="1:22" ht="14.25">
      <c r="A8" s="3243" t="s">
        <v>306</v>
      </c>
      <c r="B8" s="3244">
        <v>15</v>
      </c>
      <c r="C8" s="3252"/>
      <c r="D8" s="3255"/>
      <c r="E8" s="261" t="s">
        <v>307</v>
      </c>
      <c r="F8" s="262"/>
      <c r="G8" s="262"/>
      <c r="H8" s="262"/>
      <c r="I8" s="263"/>
      <c r="J8" s="2026"/>
      <c r="K8" s="2025"/>
      <c r="L8" s="2025"/>
      <c r="M8" s="2025"/>
      <c r="N8" s="2025"/>
      <c r="O8" s="2025"/>
      <c r="P8" s="2025"/>
      <c r="Q8" s="2025"/>
      <c r="R8" s="2025"/>
      <c r="S8" s="2025"/>
      <c r="T8" s="2025"/>
      <c r="U8" s="2025"/>
      <c r="V8" s="2025"/>
    </row>
    <row r="9" spans="1:22" ht="14.25">
      <c r="A9" s="3243"/>
      <c r="B9" s="3244"/>
      <c r="C9" s="3254"/>
      <c r="D9" s="3255"/>
      <c r="E9" s="261" t="s">
        <v>308</v>
      </c>
      <c r="F9" s="262"/>
      <c r="G9" s="262"/>
      <c r="H9" s="262"/>
      <c r="I9" s="263"/>
      <c r="J9" s="2026"/>
      <c r="K9" s="2025"/>
      <c r="L9" s="2025"/>
      <c r="M9" s="2025"/>
      <c r="N9" s="2025"/>
      <c r="O9" s="2025"/>
      <c r="P9" s="2025"/>
      <c r="Q9" s="2025"/>
      <c r="R9" s="2025"/>
      <c r="S9" s="2025"/>
      <c r="T9" s="2025"/>
      <c r="U9" s="2025"/>
      <c r="V9" s="2025"/>
    </row>
    <row r="10" spans="1:22" ht="14.25">
      <c r="A10" s="3243" t="s">
        <v>309</v>
      </c>
      <c r="B10" s="3244">
        <v>15</v>
      </c>
      <c r="C10" s="3252"/>
      <c r="D10" s="3255"/>
      <c r="E10" s="261" t="s">
        <v>310</v>
      </c>
      <c r="F10" s="262"/>
      <c r="G10" s="262"/>
      <c r="H10" s="262"/>
      <c r="I10" s="263"/>
      <c r="J10" s="2026"/>
      <c r="K10" s="2025"/>
      <c r="L10" s="2025"/>
      <c r="M10" s="2025"/>
      <c r="N10" s="2025"/>
      <c r="O10" s="2025"/>
      <c r="P10" s="2025"/>
      <c r="Q10" s="2025"/>
      <c r="R10" s="2025"/>
      <c r="S10" s="2025"/>
      <c r="T10" s="2025"/>
      <c r="U10" s="2025"/>
      <c r="V10" s="2025"/>
    </row>
    <row r="11" spans="1:22" ht="14.25">
      <c r="A11" s="3243"/>
      <c r="B11" s="3244"/>
      <c r="C11" s="3254"/>
      <c r="D11" s="3255"/>
      <c r="E11" s="261" t="s">
        <v>311</v>
      </c>
      <c r="F11" s="262"/>
      <c r="G11" s="262"/>
      <c r="H11" s="262"/>
      <c r="I11" s="263"/>
      <c r="J11" s="2026"/>
      <c r="K11" s="2025"/>
      <c r="L11" s="2025"/>
      <c r="M11" s="2025"/>
      <c r="N11" s="2025"/>
      <c r="O11" s="2025"/>
      <c r="P11" s="2025"/>
      <c r="Q11" s="2025"/>
      <c r="R11" s="2025"/>
      <c r="S11" s="2025"/>
      <c r="T11" s="2025"/>
      <c r="U11" s="2025"/>
      <c r="V11" s="2025"/>
    </row>
    <row r="12" spans="1:22" ht="14.25">
      <c r="A12" s="3243" t="s">
        <v>312</v>
      </c>
      <c r="B12" s="3244">
        <v>15</v>
      </c>
      <c r="C12" s="3252"/>
      <c r="D12" s="3255"/>
      <c r="E12" s="261" t="s">
        <v>313</v>
      </c>
      <c r="F12" s="262"/>
      <c r="G12" s="262"/>
      <c r="H12" s="262"/>
      <c r="I12" s="263"/>
      <c r="J12" s="2026"/>
      <c r="K12" s="2025"/>
      <c r="L12" s="2025"/>
      <c r="M12" s="2025"/>
      <c r="N12" s="2025"/>
      <c r="O12" s="2025"/>
      <c r="P12" s="2025"/>
      <c r="Q12" s="2025"/>
      <c r="R12" s="2025"/>
      <c r="S12" s="2025"/>
      <c r="T12" s="2025"/>
      <c r="U12" s="2025"/>
      <c r="V12" s="2025"/>
    </row>
    <row r="13" spans="1:22" ht="14.25">
      <c r="A13" s="3243"/>
      <c r="B13" s="3244"/>
      <c r="C13" s="3254"/>
      <c r="D13" s="3255"/>
      <c r="E13" s="261" t="s">
        <v>314</v>
      </c>
      <c r="F13" s="262"/>
      <c r="G13" s="262"/>
      <c r="H13" s="262"/>
      <c r="I13" s="263"/>
      <c r="J13" s="2026"/>
      <c r="K13" s="2025"/>
      <c r="L13" s="2025"/>
      <c r="M13" s="2025"/>
      <c r="N13" s="2025"/>
      <c r="O13" s="2025"/>
      <c r="P13" s="2025"/>
      <c r="Q13" s="2025"/>
      <c r="R13" s="2025"/>
      <c r="S13" s="2025"/>
      <c r="T13" s="2025"/>
      <c r="U13" s="2025"/>
      <c r="V13" s="2025"/>
    </row>
    <row r="14" spans="1:22" ht="14.25">
      <c r="A14" s="3243" t="s">
        <v>315</v>
      </c>
      <c r="B14" s="3244">
        <v>30</v>
      </c>
      <c r="C14" s="3252">
        <v>6</v>
      </c>
      <c r="D14" s="3255">
        <v>4</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243"/>
      <c r="B15" s="3244"/>
      <c r="C15" s="3253"/>
      <c r="D15" s="3255"/>
      <c r="E15" s="261" t="s">
        <v>317</v>
      </c>
      <c r="F15" s="262"/>
      <c r="G15" s="262"/>
      <c r="H15" s="262"/>
      <c r="I15" s="263"/>
      <c r="J15" s="2026"/>
      <c r="K15" s="2025"/>
      <c r="L15" s="2025"/>
      <c r="M15" s="2025"/>
      <c r="N15" s="2025"/>
      <c r="O15" s="2025"/>
      <c r="P15" s="2025"/>
      <c r="Q15" s="2025"/>
      <c r="R15" s="2025"/>
      <c r="S15" s="2025"/>
      <c r="T15" s="2025"/>
      <c r="U15" s="2025"/>
      <c r="V15" s="2025"/>
    </row>
    <row r="16" spans="1:22" ht="14.25">
      <c r="A16" s="3243"/>
      <c r="B16" s="3244"/>
      <c r="C16" s="3254"/>
      <c r="D16" s="3255"/>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6</v>
      </c>
      <c r="D17" s="265">
        <f>SUM(D5:D16)</f>
        <v>4</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0.6</v>
      </c>
      <c r="D18" s="267">
        <f>1-C18</f>
        <v>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89350</v>
      </c>
      <c r="D19" s="271">
        <f ca="1">SUMIF(INDIRECT("'"&amp;D4&amp;"'"&amp;"!A:A"),结果表!B19,INDIRECT("'"&amp;D4&amp;"'"&amp;"!B:B"))</f>
        <v>224742</v>
      </c>
      <c r="E19" s="268" t="s">
        <v>323</v>
      </c>
      <c r="F19" s="269" t="s">
        <v>322</v>
      </c>
      <c r="G19" s="272">
        <f ca="1">ROUND(C19*$C$18+D19*$D$18,0)</f>
        <v>143507</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1662</v>
      </c>
      <c r="D20" s="277">
        <f ca="1">SUMIF(INDIRECT("'"&amp;D4&amp;"'"&amp;"!A:A"),结果表!B20,INDIRECT("'"&amp;D4&amp;"'"&amp;"!B:B"))</f>
        <v>4181</v>
      </c>
      <c r="E20" s="274"/>
      <c r="F20" s="275" t="s">
        <v>325</v>
      </c>
      <c r="G20" s="278">
        <f ca="1">ROUND(C20*$C$18+D20*$D$18,0)</f>
        <v>2670</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5210</v>
      </c>
      <c r="D21" s="151">
        <f ca="1">SUMIF(INDIRECT("'"&amp;D4&amp;"'"&amp;"!A:A"),结果表!B21,INDIRECT("'"&amp;D4&amp;"'"&amp;"!B:B"))</f>
        <v>13105</v>
      </c>
      <c r="E21" s="274"/>
      <c r="F21" s="280" t="s">
        <v>327</v>
      </c>
      <c r="G21" s="282">
        <f ca="1">ROUND(C21*$C$18+D21*$D$18,0)</f>
        <v>8368</v>
      </c>
      <c r="H21" s="1249" t="s">
        <v>326</v>
      </c>
      <c r="I21" s="311"/>
      <c r="J21" s="2025"/>
      <c r="K21" s="2025"/>
      <c r="L21" s="2025"/>
      <c r="M21" s="2025"/>
      <c r="N21" s="2025"/>
      <c r="O21" s="2025"/>
      <c r="P21" s="2025"/>
      <c r="Q21" s="2025"/>
      <c r="R21" s="2025"/>
      <c r="S21" s="2025"/>
      <c r="T21" s="2025"/>
      <c r="U21" s="2025"/>
      <c r="V21" s="2025"/>
    </row>
    <row r="22" spans="1:26" ht="15.75" thickBot="1">
      <c r="A22" s="126" t="s">
        <v>328</v>
      </c>
      <c r="B22" s="1250"/>
      <c r="C22" s="1251"/>
      <c r="D22" s="283">
        <f ca="1">IF(C19&lt;D19,D19/C19-1,C19/D19-1)</f>
        <v>1.515299384443201</v>
      </c>
      <c r="E22" s="284"/>
      <c r="F22" s="285"/>
      <c r="G22" s="286">
        <f ca="1">ROUND(G19/('数据-汇总表'!D3/666.67),0)</f>
        <v>558</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216" t="s">
        <v>330</v>
      </c>
      <c r="B24" s="269" t="s">
        <v>322</v>
      </c>
      <c r="C24" s="288">
        <f>IF(B30=0,0,D30)</f>
        <v>18000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258"/>
      <c r="B25" s="1319" t="s">
        <v>331</v>
      </c>
      <c r="C25" s="290">
        <f>IF(B30=0,0,C30)</f>
        <v>1800</v>
      </c>
      <c r="D25" s="291"/>
      <c r="E25" s="311"/>
      <c r="F25" s="311"/>
      <c r="G25" s="311"/>
      <c r="H25" s="311"/>
      <c r="I25" s="311"/>
      <c r="J25" s="2025"/>
      <c r="K25" s="1253" t="str">
        <f ca="1">项目基本情况!B16&amp;"国有建设用地使用权价格："&amp;O38&amp;"万元"</f>
        <v>出让国有建设用地使用权价格：125507万元</v>
      </c>
      <c r="L25" s="1254"/>
      <c r="M25" s="1254"/>
      <c r="N25" s="1254"/>
      <c r="O25" s="1255"/>
      <c r="P25" s="2025"/>
      <c r="Q25" s="2025"/>
      <c r="R25" s="2025"/>
      <c r="S25" s="2025"/>
      <c r="T25" s="2025"/>
      <c r="U25" s="2025"/>
      <c r="V25" s="2025"/>
    </row>
    <row r="26" spans="1:26" s="1252" customFormat="1" ht="18">
      <c r="A26" s="293" t="s">
        <v>332</v>
      </c>
      <c r="B26" s="294" t="s">
        <v>333</v>
      </c>
      <c r="C26" s="294" t="s">
        <v>334</v>
      </c>
      <c r="D26" s="295" t="s">
        <v>335</v>
      </c>
      <c r="E26" s="311"/>
      <c r="F26" s="311"/>
      <c r="G26" s="311"/>
      <c r="H26" s="311"/>
      <c r="I26" s="311"/>
      <c r="J26" s="2025"/>
      <c r="K26" s="1256" t="str">
        <f ca="1">"大写金额：人民币"&amp;NUMBERSTRING(INT(O38*10000),2)&amp;"元整"</f>
        <v>大写金额：人民币壹拾贰亿伍仟伍佰零柒万元整</v>
      </c>
      <c r="L26" s="1250"/>
      <c r="M26" s="1250"/>
      <c r="N26" s="1250"/>
      <c r="O26" s="1249"/>
      <c r="P26" s="2025"/>
      <c r="Q26" s="2025"/>
      <c r="R26" s="2025"/>
      <c r="S26" s="2025"/>
      <c r="T26" s="2025"/>
      <c r="U26" s="2025"/>
      <c r="V26" s="2025"/>
      <c r="W26" s="292"/>
      <c r="X26" s="292"/>
      <c r="Y26" s="292"/>
      <c r="Z26" s="292"/>
    </row>
    <row r="27" spans="1:26" ht="18">
      <c r="A27" s="3419" t="s">
        <v>3147</v>
      </c>
      <c r="B27" s="294">
        <v>100000</v>
      </c>
      <c r="C27" s="294">
        <v>1800</v>
      </c>
      <c r="D27" s="295">
        <f>ROUND(C27*B27/10000,0)</f>
        <v>18000</v>
      </c>
      <c r="E27" s="311"/>
      <c r="F27" s="311"/>
      <c r="G27" s="311"/>
      <c r="H27" s="311"/>
      <c r="I27" s="311"/>
      <c r="J27" s="2025"/>
      <c r="K27" s="1256" t="str">
        <f ca="1">"单位面积地价："&amp;M38&amp;"元/平方米"</f>
        <v>单位面积地价：7318元/平方米</v>
      </c>
      <c r="L27" s="1250"/>
      <c r="M27" s="1250"/>
      <c r="N27" s="1250"/>
      <c r="O27" s="1249"/>
      <c r="P27" s="2025"/>
      <c r="Q27" s="2025"/>
      <c r="R27" s="2025"/>
      <c r="S27" s="2025"/>
      <c r="T27" s="2025"/>
      <c r="U27" s="2025"/>
      <c r="V27" s="2025"/>
    </row>
    <row r="28" spans="1:26" ht="18.75" customHeight="1">
      <c r="A28" s="293"/>
      <c r="B28" s="294"/>
      <c r="C28" s="294"/>
      <c r="D28" s="295"/>
      <c r="E28" s="311"/>
      <c r="F28" s="311"/>
      <c r="G28" s="311"/>
      <c r="H28" s="311"/>
      <c r="I28" s="311"/>
      <c r="J28" s="2025"/>
      <c r="K28" s="1256" t="str">
        <f ca="1">"楼面地价："&amp;N38&amp;"元/平方米"</f>
        <v>楼面地价：2335元/平方米</v>
      </c>
      <c r="L28" s="1250"/>
      <c r="M28" s="1250"/>
      <c r="N28" s="1250"/>
      <c r="O28" s="1249"/>
      <c r="P28" s="2025"/>
      <c r="V28" s="2025"/>
    </row>
    <row r="29" spans="1:26" ht="18">
      <c r="A29" s="293"/>
      <c r="B29" s="294"/>
      <c r="C29" s="294"/>
      <c r="D29" s="295"/>
      <c r="E29" s="311"/>
      <c r="F29" s="311"/>
      <c r="G29" s="311"/>
      <c r="H29" s="311"/>
      <c r="I29" s="311"/>
      <c r="J29" s="2025"/>
      <c r="K29" s="1256" t="str">
        <f>IF(OR(项目基本情况!E8="抵押价格",项目基本情况!E8="已注销及未注销"),"抵押价格："&amp;O39&amp;"万元","——")</f>
        <v>——</v>
      </c>
      <c r="L29" s="1250"/>
      <c r="M29" s="1250"/>
      <c r="N29" s="1250"/>
      <c r="O29" s="1249"/>
      <c r="P29" s="2025"/>
      <c r="V29" s="2025"/>
    </row>
    <row r="30" spans="1:26" ht="18.75" thickBot="1">
      <c r="A30" s="3104" t="s">
        <v>336</v>
      </c>
      <c r="B30" s="309">
        <f>SUM(B27:B29)</f>
        <v>100000</v>
      </c>
      <c r="C30" s="309">
        <f t="shared" ref="C30:D30" si="0">SUM(C27:C29)</f>
        <v>1800</v>
      </c>
      <c r="D30" s="309">
        <f t="shared" si="0"/>
        <v>18000</v>
      </c>
      <c r="E30" s="3105" t="s">
        <v>2976</v>
      </c>
      <c r="F30" s="311"/>
      <c r="G30" s="311"/>
      <c r="H30" s="311"/>
      <c r="I30" s="311"/>
      <c r="J30" s="2025"/>
      <c r="K30" s="1256" t="str">
        <f>IF(K29="——","——","大写金额：人民币"&amp;NUMBERSTRING(INT(O39*10000),2)&amp;"元整")</f>
        <v>——</v>
      </c>
      <c r="L30" s="1250"/>
      <c r="M30" s="1250"/>
      <c r="N30" s="1250"/>
      <c r="O30" s="1249"/>
      <c r="P30" s="2025"/>
      <c r="V30" s="2025"/>
    </row>
    <row r="31" spans="1:26" ht="24" customHeight="1" thickBot="1">
      <c r="A31" s="311"/>
      <c r="B31" s="311"/>
      <c r="C31" s="311"/>
      <c r="D31" s="311"/>
      <c r="E31" s="311"/>
      <c r="F31" s="311"/>
      <c r="G31" s="311"/>
      <c r="H31" s="311"/>
      <c r="I31" s="311"/>
      <c r="J31" s="2025"/>
      <c r="K31" s="2489" t="str">
        <f ca="1">IF(项目基本情况!E8="抵押价格","——","抵押担保权已注销时的抵押价格："&amp;O40&amp;"万元")</f>
        <v>抵押担保权已注销时的抵押价格：125507万元</v>
      </c>
      <c r="L31" s="2485"/>
      <c r="M31" s="2485"/>
      <c r="N31" s="2485"/>
      <c r="O31" s="2486"/>
      <c r="P31" s="2025"/>
      <c r="V31" s="2025"/>
    </row>
    <row r="32" spans="1:26" ht="18.75" thickBot="1">
      <c r="A32" s="268" t="s">
        <v>337</v>
      </c>
      <c r="B32" s="1379" t="s">
        <v>1690</v>
      </c>
      <c r="C32" s="1380">
        <f ca="1">G19-C24</f>
        <v>125507</v>
      </c>
      <c r="D32" s="1381" t="s">
        <v>1691</v>
      </c>
      <c r="E32" s="311"/>
      <c r="F32" s="311"/>
      <c r="G32" s="311"/>
      <c r="H32" s="311"/>
      <c r="I32" s="311"/>
      <c r="J32" s="2025"/>
      <c r="K32" s="2484" t="str">
        <f ca="1">IF(K31="——","——","大写金额：人民币"&amp;NUMBERSTRING(INT(O40*10000),2)&amp;"元整")</f>
        <v>大写金额：人民币壹拾贰亿伍仟伍佰零柒万元整</v>
      </c>
      <c r="L32" s="2487"/>
      <c r="M32" s="2487"/>
      <c r="N32" s="2487"/>
      <c r="O32" s="2488"/>
      <c r="P32" s="2025"/>
      <c r="V32" s="2025"/>
    </row>
    <row r="33" spans="1:26" ht="18.75" thickBot="1">
      <c r="A33" s="298" t="s">
        <v>340</v>
      </c>
      <c r="B33" s="1382" t="s">
        <v>1692</v>
      </c>
      <c r="C33" s="264">
        <f ca="1">ROUND(C32*10000/'数据-汇总表'!E3,0)</f>
        <v>2335</v>
      </c>
      <c r="D33" s="1383" t="s">
        <v>1693</v>
      </c>
      <c r="E33" s="3216" t="s">
        <v>338</v>
      </c>
      <c r="F33" s="296" t="s">
        <v>339</v>
      </c>
      <c r="G33" s="297"/>
      <c r="H33" s="978" t="s">
        <v>3148</v>
      </c>
      <c r="I33" s="1257"/>
      <c r="J33" s="2025"/>
      <c r="K33" s="1256" t="str">
        <f>IF(项目基本情况!E9="——","——","抵押净值："&amp;C46&amp;"万元")</f>
        <v>抵押净值：——万元</v>
      </c>
      <c r="L33" s="1250"/>
      <c r="M33" s="1250"/>
      <c r="N33" s="1250"/>
      <c r="O33" s="1249"/>
      <c r="P33" s="2025"/>
      <c r="V33" s="2025"/>
    </row>
    <row r="34" spans="1:26" s="1252" customFormat="1" ht="18.75" thickBot="1">
      <c r="A34" s="300"/>
      <c r="B34" s="1384" t="s">
        <v>1694</v>
      </c>
      <c r="C34" s="264">
        <f ca="1">ROUND(C32*10000/'数据-汇总表'!D3,0)</f>
        <v>7318</v>
      </c>
      <c r="D34" s="1385" t="s">
        <v>1693</v>
      </c>
      <c r="E34" s="3217"/>
      <c r="F34" s="127" t="s">
        <v>341</v>
      </c>
      <c r="G34" s="299"/>
      <c r="H34" s="105"/>
      <c r="I34" s="311"/>
      <c r="J34" s="2025"/>
      <c r="K34" s="1259" t="e">
        <f>IF(K33="——","——","大写金额：人民币"&amp;NUMBERSTRING(INT(O41*10000),2)&amp;"元整")</f>
        <v>#VALUE!</v>
      </c>
      <c r="L34" s="1260"/>
      <c r="M34" s="1260"/>
      <c r="N34" s="1260"/>
      <c r="O34" s="1261"/>
      <c r="P34" s="2025"/>
      <c r="Q34" s="292"/>
      <c r="R34" s="292"/>
      <c r="S34" s="292"/>
      <c r="T34" s="292"/>
      <c r="U34" s="292"/>
      <c r="V34" s="2025"/>
      <c r="W34" s="292"/>
      <c r="X34" s="292"/>
      <c r="Y34" s="292"/>
      <c r="Z34" s="292"/>
    </row>
    <row r="35" spans="1:26" ht="15.75" thickBot="1">
      <c r="A35" s="284"/>
      <c r="B35" s="1386"/>
      <c r="C35" s="1387">
        <f ca="1">ROUND(C32/('数据-汇总表'!D3/666.67),0)</f>
        <v>488</v>
      </c>
      <c r="D35" s="1388" t="s">
        <v>1695</v>
      </c>
      <c r="E35" s="3218"/>
      <c r="F35" s="301" t="s">
        <v>342</v>
      </c>
      <c r="G35" s="980"/>
      <c r="H35" s="979" t="s">
        <v>343</v>
      </c>
      <c r="I35" s="311"/>
      <c r="J35" s="2025"/>
      <c r="K35" s="3222" t="s">
        <v>350</v>
      </c>
      <c r="L35" s="3222" t="s">
        <v>351</v>
      </c>
      <c r="M35" s="1262" t="s">
        <v>352</v>
      </c>
      <c r="N35" s="3222" t="s">
        <v>353</v>
      </c>
      <c r="O35" s="3222" t="s">
        <v>354</v>
      </c>
      <c r="P35" s="2025"/>
      <c r="V35" s="2025"/>
    </row>
    <row r="36" spans="1:26" ht="16.5" customHeight="1">
      <c r="A36" s="303" t="s">
        <v>344</v>
      </c>
      <c r="B36" s="304" t="s">
        <v>333</v>
      </c>
      <c r="C36" s="305" t="s">
        <v>345</v>
      </c>
      <c r="D36" s="305" t="s">
        <v>346</v>
      </c>
      <c r="E36" s="306" t="s">
        <v>347</v>
      </c>
      <c r="F36" s="311"/>
      <c r="G36" s="311"/>
      <c r="H36" s="311"/>
      <c r="I36" s="311"/>
      <c r="J36" s="2027"/>
      <c r="K36" s="3223"/>
      <c r="L36" s="3223"/>
      <c r="M36" s="1264" t="s">
        <v>355</v>
      </c>
      <c r="N36" s="3223"/>
      <c r="O36" s="3223"/>
      <c r="P36" s="2025"/>
      <c r="V36" s="2025"/>
    </row>
    <row r="37" spans="1:26" ht="16.5" customHeight="1" thickBot="1">
      <c r="A37" s="1258" t="s">
        <v>348</v>
      </c>
      <c r="B37" s="307"/>
      <c r="C37" s="294"/>
      <c r="D37" s="294"/>
      <c r="E37" s="295"/>
      <c r="F37" s="311"/>
      <c r="G37" s="311"/>
      <c r="H37" s="311"/>
      <c r="I37" s="311"/>
      <c r="J37" s="2027"/>
      <c r="K37" s="3224"/>
      <c r="L37" s="3224"/>
      <c r="M37" s="1265"/>
      <c r="N37" s="3224"/>
      <c r="O37" s="3224"/>
      <c r="P37" s="2025"/>
      <c r="V37" s="2025"/>
    </row>
    <row r="38" spans="1:26" ht="16.5" customHeight="1" thickBot="1">
      <c r="A38" s="1258" t="s">
        <v>349</v>
      </c>
      <c r="B38" s="307"/>
      <c r="C38" s="294"/>
      <c r="D38" s="294"/>
      <c r="E38" s="295"/>
      <c r="F38" s="311"/>
      <c r="G38" s="311"/>
      <c r="H38" s="311"/>
      <c r="I38" s="311"/>
      <c r="J38" s="2027"/>
      <c r="K38" s="1266">
        <f>'数据-汇总表'!D3</f>
        <v>171496.93</v>
      </c>
      <c r="L38" s="1267">
        <f>'数据-汇总表'!E3</f>
        <v>537479.47</v>
      </c>
      <c r="M38" s="1267">
        <f ca="1">C34</f>
        <v>7318</v>
      </c>
      <c r="N38" s="1267">
        <f ca="1">C33</f>
        <v>2335</v>
      </c>
      <c r="O38" s="1268">
        <f ca="1">C32</f>
        <v>125507</v>
      </c>
      <c r="P38" s="2025"/>
      <c r="V38" s="2025"/>
    </row>
    <row r="39" spans="1:26" ht="16.5" customHeight="1" thickBot="1">
      <c r="A39" s="1263"/>
      <c r="B39" s="308"/>
      <c r="C39" s="309"/>
      <c r="D39" s="309"/>
      <c r="E39" s="310"/>
      <c r="F39" s="311"/>
      <c r="G39" s="311"/>
      <c r="H39" s="311"/>
      <c r="I39" s="311"/>
      <c r="J39" s="2027"/>
      <c r="K39" s="3199" t="str">
        <f>MID(A44,3,LEN(A44)-2)</f>
        <v/>
      </c>
      <c r="L39" s="3200"/>
      <c r="M39" s="3200"/>
      <c r="N39" s="3201"/>
      <c r="O39" s="1390" t="str">
        <f>C44</f>
        <v>——</v>
      </c>
      <c r="P39" s="2025"/>
      <c r="V39" s="2025"/>
    </row>
    <row r="40" spans="1:26" ht="19.5" thickBot="1">
      <c r="A40" s="104" t="s">
        <v>874</v>
      </c>
      <c r="B40" s="311"/>
      <c r="C40" s="311"/>
      <c r="D40" s="311"/>
      <c r="E40" s="311"/>
      <c r="F40" s="311"/>
      <c r="G40" s="311"/>
      <c r="H40" s="311"/>
      <c r="I40" s="311"/>
      <c r="J40" s="2027"/>
      <c r="K40" s="3199" t="str">
        <f t="shared" ref="K40:K41" si="1">MID(A45,3,LEN(A45)-2)</f>
        <v>抵押担保权已注销时的抵押价格</v>
      </c>
      <c r="L40" s="3200"/>
      <c r="M40" s="3200"/>
      <c r="N40" s="3201"/>
      <c r="O40" s="1390">
        <f ca="1">C45</f>
        <v>125507</v>
      </c>
      <c r="P40" s="2025"/>
      <c r="V40" s="2025"/>
    </row>
    <row r="41" spans="1:26" ht="16.5" thickBot="1">
      <c r="A41" s="312" t="s">
        <v>356</v>
      </c>
      <c r="B41" s="313"/>
      <c r="C41" s="314" t="s">
        <v>357</v>
      </c>
      <c r="D41" s="315" t="s">
        <v>358</v>
      </c>
      <c r="E41" s="315" t="s">
        <v>359</v>
      </c>
      <c r="F41" s="316" t="s">
        <v>360</v>
      </c>
      <c r="G41" s="311"/>
      <c r="H41" s="311"/>
      <c r="I41" s="311"/>
      <c r="J41" s="2027"/>
      <c r="K41" s="3199" t="str">
        <f t="shared" si="1"/>
        <v/>
      </c>
      <c r="L41" s="3200"/>
      <c r="M41" s="3200"/>
      <c r="N41" s="3201"/>
      <c r="O41" s="1390" t="str">
        <f>C46</f>
        <v>——</v>
      </c>
      <c r="P41" s="2025"/>
      <c r="V41" s="2025"/>
    </row>
    <row r="42" spans="1:26" ht="29.25">
      <c r="A42" s="3259" t="s">
        <v>2068</v>
      </c>
      <c r="B42" s="3260"/>
      <c r="C42" s="264">
        <f ca="1">C32</f>
        <v>125507</v>
      </c>
      <c r="D42" s="317">
        <f ca="1">C33</f>
        <v>2335</v>
      </c>
      <c r="E42" s="317">
        <f ca="1">C34</f>
        <v>7318</v>
      </c>
      <c r="F42" s="318">
        <f ca="1">C35</f>
        <v>488</v>
      </c>
      <c r="G42" s="311"/>
      <c r="H42" s="311"/>
      <c r="I42" s="319"/>
      <c r="J42" s="2027"/>
      <c r="K42" s="1269" t="s">
        <v>361</v>
      </c>
      <c r="L42" s="2044" t="s">
        <v>362</v>
      </c>
      <c r="M42" s="1270" t="s">
        <v>363</v>
      </c>
      <c r="N42" s="2045" t="s">
        <v>364</v>
      </c>
      <c r="O42" s="2046" t="s">
        <v>365</v>
      </c>
      <c r="P42" s="2025"/>
      <c r="V42" s="2025"/>
    </row>
    <row r="43" spans="1:26" ht="18">
      <c r="A43" s="3269" t="s">
        <v>2735</v>
      </c>
      <c r="B43" s="3270"/>
      <c r="C43" s="264">
        <f>IF(H33="正常操作",G33+G34+G35,G34+G35)</f>
        <v>0</v>
      </c>
      <c r="D43" s="317" t="s">
        <v>43</v>
      </c>
      <c r="E43" s="317" t="s">
        <v>44</v>
      </c>
      <c r="F43" s="318" t="s">
        <v>44</v>
      </c>
      <c r="G43" s="2829" t="s">
        <v>953</v>
      </c>
      <c r="H43" s="311"/>
      <c r="I43" s="319"/>
      <c r="J43" s="2027"/>
      <c r="K43" s="1271" t="str">
        <f>C4</f>
        <v>比较法-住宅、综合</v>
      </c>
      <c r="L43" s="1272">
        <f ca="1">IF(L42="估价结果/万元",C19,C20)</f>
        <v>89350</v>
      </c>
      <c r="M43" s="1273">
        <f>C18</f>
        <v>0.6</v>
      </c>
      <c r="N43" s="1274">
        <f ca="1">IF(N42="测算结果/万元",G19,G20)</f>
        <v>143507</v>
      </c>
      <c r="O43" s="1275">
        <f ca="1">IF(O42="最终结果/万元",C32,C33)</f>
        <v>125507</v>
      </c>
      <c r="P43" s="2025"/>
      <c r="V43" s="2025"/>
    </row>
    <row r="44" spans="1:26" ht="18.75" thickBot="1">
      <c r="A44" s="3259" t="str">
        <f>IF(OR(项目基本情况!E8="抵押价格",项目基本情况!E8="已注销及未注销"),"3.抵押价格","——")</f>
        <v>——</v>
      </c>
      <c r="B44" s="3260"/>
      <c r="C44" s="264" t="str">
        <f>IF(A44="——","——",C42-C43)</f>
        <v>——</v>
      </c>
      <c r="D44" s="317" t="e">
        <f>ROUND(C44*10000/'数据-汇总表'!E3,0)</f>
        <v>#VALUE!</v>
      </c>
      <c r="E44" s="317" t="e">
        <f>ROUND(C44*10000/'数据-汇总表'!D3,0)</f>
        <v>#VALUE!</v>
      </c>
      <c r="F44" s="318" t="e">
        <f>ROUND(C44/('数据-汇总表'!D3/666.67),0)</f>
        <v>#VALUE!</v>
      </c>
      <c r="G44" s="311"/>
      <c r="H44" s="311"/>
      <c r="I44" s="319"/>
      <c r="J44" s="2027"/>
      <c r="K44" s="1276" t="str">
        <f>D4</f>
        <v>剩余法-待开发</v>
      </c>
      <c r="L44" s="1277">
        <f ca="1">IF(L42="估价结果/万元",D19,D20)</f>
        <v>224742</v>
      </c>
      <c r="M44" s="1278">
        <f>D18</f>
        <v>0.4</v>
      </c>
      <c r="N44" s="1279"/>
      <c r="O44" s="1280"/>
      <c r="P44" s="2025"/>
      <c r="V44" s="2025"/>
    </row>
    <row r="45" spans="1:26" ht="15">
      <c r="A45" s="3264" t="str">
        <f>IF(项目基本情况!E8="已注销及未注销","4.抵押担保权已注销时的抵押价格",IF(项目基本情况!E8="已注销","3.抵押担保权已注销时的抵押价格","——"))</f>
        <v>3.抵押担保权已注销时的抵押价格</v>
      </c>
      <c r="B45" s="3265"/>
      <c r="C45" s="1800">
        <f ca="1">IF(A45="——","——",IF(项目基本情况!E8="抵押价格","——",C32-G34-G35))</f>
        <v>125507</v>
      </c>
      <c r="D45" s="317">
        <f ca="1">ROUND(C45*10000/'数据-汇总表'!E3,0)</f>
        <v>2335</v>
      </c>
      <c r="E45" s="317">
        <f ca="1">ROUND(C45*10000/'数据-汇总表'!D3,0)</f>
        <v>7318</v>
      </c>
      <c r="F45" s="318">
        <f ca="1">ROUND(C45/('数据-汇总表'!D3/666.67),0)</f>
        <v>488</v>
      </c>
      <c r="G45" s="311"/>
      <c r="H45" s="311"/>
      <c r="I45" s="319"/>
      <c r="J45" s="2027"/>
      <c r="K45" s="2025"/>
      <c r="L45" s="2025"/>
      <c r="M45" s="2025"/>
      <c r="N45" s="2025"/>
      <c r="O45" s="2025"/>
      <c r="P45" s="2025"/>
      <c r="V45" s="2025"/>
    </row>
    <row r="46" spans="1:26" ht="15.75" thickBot="1">
      <c r="A46" s="3261" t="str">
        <f>IF(项目基本情况!E9="抵押净值",IF(A45="——","4.抵押净值","5.抵押净值"),"——")</f>
        <v>——</v>
      </c>
      <c r="B46" s="3262"/>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1"/>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227" t="s">
        <v>374</v>
      </c>
      <c r="B63" s="3228"/>
      <c r="C63" s="3229"/>
      <c r="D63" s="341">
        <f ca="1">ROUND(C42*F63,0)</f>
        <v>75304</v>
      </c>
      <c r="E63" s="302" t="s">
        <v>375</v>
      </c>
      <c r="F63" s="342">
        <v>0.6</v>
      </c>
      <c r="G63" s="343" t="s">
        <v>376</v>
      </c>
      <c r="H63" s="311"/>
      <c r="I63" s="311"/>
      <c r="J63" s="2025"/>
      <c r="K63" s="2025"/>
      <c r="L63" s="2025"/>
      <c r="M63" s="2025"/>
      <c r="N63" s="2025"/>
      <c r="O63" s="2025"/>
      <c r="P63" s="311"/>
      <c r="Q63" s="2025"/>
      <c r="R63" s="2025"/>
      <c r="S63" s="2025"/>
      <c r="T63" s="2025"/>
      <c r="U63" s="2025"/>
      <c r="V63" s="2025"/>
    </row>
    <row r="64" spans="1:22" ht="14.25" customHeight="1">
      <c r="A64" s="3266" t="s">
        <v>378</v>
      </c>
      <c r="B64" s="3267"/>
      <c r="C64" s="3267"/>
      <c r="D64" s="3267"/>
      <c r="E64" s="3267"/>
      <c r="F64" s="3267"/>
      <c r="G64" s="3268"/>
      <c r="H64" s="1286"/>
      <c r="I64" s="946"/>
      <c r="J64" s="1987"/>
      <c r="K64" s="1559"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6"/>
      <c r="I65" s="946"/>
      <c r="J65" s="1987"/>
      <c r="K65" s="1287"/>
      <c r="L65" s="1288"/>
      <c r="M65" s="1288"/>
      <c r="N65" s="1320" t="s">
        <v>379</v>
      </c>
      <c r="O65" s="1321"/>
      <c r="P65" s="1322"/>
      <c r="Q65" s="2025"/>
      <c r="R65" s="2025"/>
      <c r="S65" s="2025"/>
      <c r="T65" s="2025"/>
      <c r="U65" s="2025"/>
      <c r="V65" s="2025"/>
    </row>
    <row r="66" spans="1:22" ht="25.5">
      <c r="A66" s="3263" t="s">
        <v>386</v>
      </c>
      <c r="B66" s="3234"/>
      <c r="C66" s="3234"/>
      <c r="D66" s="261">
        <f ca="1">IF(H66="情况1",0,IF(H66="情况2",D70,IF(H66="情况3",D71,IF(H66="情况4",D72))))</f>
        <v>4473</v>
      </c>
      <c r="E66" s="991" t="str">
        <f>IF(H66="情况4","(销售额-原购置价)×税（费）率","销售额×税（费）率")</f>
        <v>销售额×税（费）率</v>
      </c>
      <c r="F66" s="350">
        <f>IF(H66="情况1","免征",'数据-取费表'!B41)</f>
        <v>6.2719999999999998E-2</v>
      </c>
      <c r="G66" s="351" t="s">
        <v>387</v>
      </c>
      <c r="H66" s="191" t="s">
        <v>388</v>
      </c>
      <c r="I66" s="1286"/>
      <c r="J66" s="2031"/>
      <c r="K66" s="1289">
        <v>1</v>
      </c>
      <c r="L66" s="3203" t="s">
        <v>385</v>
      </c>
      <c r="M66" s="3204"/>
      <c r="N66" s="2479"/>
      <c r="O66" s="2480"/>
      <c r="P66" s="2481"/>
      <c r="Q66" s="2025"/>
      <c r="R66" s="2025"/>
      <c r="S66" s="2025"/>
      <c r="T66" s="2025"/>
      <c r="U66" s="2025"/>
      <c r="V66" s="2025"/>
    </row>
    <row r="67" spans="1:22" ht="25.5" customHeight="1">
      <c r="A67" s="352" t="s">
        <v>390</v>
      </c>
      <c r="B67" s="3246" t="s">
        <v>391</v>
      </c>
      <c r="C67" s="3246"/>
      <c r="D67" s="353">
        <v>0</v>
      </c>
      <c r="E67" s="41" t="s">
        <v>392</v>
      </c>
      <c r="F67" s="62" t="s">
        <v>21</v>
      </c>
      <c r="G67" s="3230"/>
      <c r="H67" s="311"/>
      <c r="I67" s="1290"/>
      <c r="J67" s="2032"/>
      <c r="K67" s="1973">
        <v>2</v>
      </c>
      <c r="L67" s="3202" t="s">
        <v>389</v>
      </c>
      <c r="M67" s="3202"/>
      <c r="N67" s="1323">
        <f>'数据-取费表'!B2</f>
        <v>43054</v>
      </c>
      <c r="O67" s="1323"/>
      <c r="P67" s="1323"/>
      <c r="Q67" s="2025"/>
      <c r="R67" s="2025"/>
      <c r="S67" s="2025"/>
      <c r="T67" s="2025"/>
      <c r="U67" s="2025"/>
      <c r="V67" s="2025"/>
    </row>
    <row r="68" spans="1:22" ht="25.5" customHeight="1">
      <c r="A68" s="354"/>
      <c r="B68" s="3246" t="s">
        <v>394</v>
      </c>
      <c r="C68" s="3246"/>
      <c r="D68" s="355"/>
      <c r="E68" s="77"/>
      <c r="F68" s="356"/>
      <c r="G68" s="3231"/>
      <c r="H68" s="311"/>
      <c r="I68" s="1290"/>
      <c r="J68" s="2032"/>
      <c r="K68" s="1973">
        <v>3</v>
      </c>
      <c r="L68" s="3202" t="s">
        <v>393</v>
      </c>
      <c r="M68" s="3202"/>
      <c r="N68" s="1291">
        <f ca="1">C42</f>
        <v>125507</v>
      </c>
      <c r="O68" s="1291"/>
      <c r="P68" s="1291"/>
      <c r="Q68" s="2025"/>
      <c r="R68" s="2025"/>
      <c r="S68" s="2025"/>
      <c r="T68" s="2025"/>
      <c r="U68" s="2025"/>
      <c r="V68" s="2025"/>
    </row>
    <row r="69" spans="1:22" ht="12" customHeight="1">
      <c r="A69" s="357"/>
      <c r="B69" s="3246" t="s">
        <v>395</v>
      </c>
      <c r="C69" s="3246"/>
      <c r="D69" s="358"/>
      <c r="E69" s="73"/>
      <c r="F69" s="356"/>
      <c r="G69" s="3232"/>
      <c r="H69" s="311"/>
      <c r="I69" s="1290"/>
      <c r="J69" s="2032"/>
      <c r="K69" s="1292">
        <v>4</v>
      </c>
      <c r="L69" s="3208" t="s">
        <v>2888</v>
      </c>
      <c r="M69" s="3209"/>
      <c r="N69" s="1293" t="str">
        <f>C44</f>
        <v>——</v>
      </c>
      <c r="O69" s="1293"/>
      <c r="P69" s="1293"/>
      <c r="Q69" s="2025"/>
      <c r="R69" s="2025"/>
      <c r="S69" s="2025"/>
      <c r="T69" s="2025"/>
      <c r="U69" s="2025"/>
      <c r="V69" s="2025"/>
    </row>
    <row r="70" spans="1:22" ht="24" customHeight="1">
      <c r="A70" s="359" t="s">
        <v>396</v>
      </c>
      <c r="B70" s="3246" t="s">
        <v>397</v>
      </c>
      <c r="C70" s="3246"/>
      <c r="D70" s="358">
        <f ca="1">ROUND(D63*'数据-取费表'!B41/(1+'数据-取费表'!C42),0)</f>
        <v>4473</v>
      </c>
      <c r="E70" s="17" t="s">
        <v>398</v>
      </c>
      <c r="F70" s="360">
        <f>'数据-取费表'!B41</f>
        <v>6.2719999999999998E-2</v>
      </c>
      <c r="G70" s="361"/>
      <c r="H70" s="311"/>
      <c r="I70" s="1290"/>
      <c r="J70" s="2032"/>
      <c r="K70" s="3019"/>
      <c r="L70" s="3020"/>
      <c r="M70" s="3020"/>
      <c r="N70" s="3021" t="s">
        <v>2893</v>
      </c>
      <c r="O70" s="3020"/>
      <c r="P70" s="3022"/>
      <c r="Q70" s="2025"/>
      <c r="R70" s="2025"/>
      <c r="S70" s="2025"/>
      <c r="T70" s="2025"/>
      <c r="U70" s="2025"/>
      <c r="V70" s="2025"/>
    </row>
    <row r="71" spans="1:22" ht="12" customHeight="1">
      <c r="A71" s="359" t="s">
        <v>404</v>
      </c>
      <c r="B71" s="3245" t="s">
        <v>405</v>
      </c>
      <c r="C71" s="3257"/>
      <c r="D71" s="358">
        <f ca="1">ROUND(D63*'数据-取费表'!B41/(1+'数据-取费表'!C42),0)</f>
        <v>4473</v>
      </c>
      <c r="E71" s="17" t="s">
        <v>398</v>
      </c>
      <c r="F71" s="360">
        <f>'数据-取费表'!B41</f>
        <v>6.2719999999999998E-2</v>
      </c>
      <c r="G71" s="361"/>
      <c r="H71" s="311"/>
      <c r="I71" s="1290"/>
      <c r="J71" s="2032"/>
      <c r="K71" s="3018" t="s">
        <v>399</v>
      </c>
      <c r="L71" s="3210" t="s">
        <v>400</v>
      </c>
      <c r="M71" s="3210"/>
      <c r="N71" s="3018" t="s">
        <v>401</v>
      </c>
      <c r="O71" s="3018" t="s">
        <v>402</v>
      </c>
      <c r="P71" s="3018" t="s">
        <v>403</v>
      </c>
      <c r="Q71" s="2025"/>
      <c r="R71" s="2025"/>
      <c r="S71" s="2025"/>
      <c r="T71" s="2025"/>
      <c r="U71" s="2025"/>
      <c r="V71" s="2025"/>
    </row>
    <row r="72" spans="1:22" ht="12" customHeight="1">
      <c r="A72" s="359" t="s">
        <v>407</v>
      </c>
      <c r="B72" s="3245" t="s">
        <v>408</v>
      </c>
      <c r="C72" s="3257"/>
      <c r="D72" s="358">
        <f ca="1">C86</f>
        <v>4347</v>
      </c>
      <c r="E72" s="73" t="s">
        <v>409</v>
      </c>
      <c r="F72" s="360">
        <f>'数据-取费表'!B41</f>
        <v>6.2719999999999998E-2</v>
      </c>
      <c r="G72" s="361"/>
      <c r="H72" s="1296"/>
      <c r="I72" s="1290"/>
      <c r="J72" s="2032"/>
      <c r="K72" s="1973">
        <v>1</v>
      </c>
      <c r="L72" s="3207" t="s">
        <v>406</v>
      </c>
      <c r="M72" s="3207"/>
      <c r="N72" s="1294">
        <f ca="1">D66</f>
        <v>4473</v>
      </c>
      <c r="O72" s="1856" t="str">
        <f>E66</f>
        <v>销售额×税（费）率</v>
      </c>
      <c r="P72" s="1295">
        <f>F66</f>
        <v>6.2719999999999998E-2</v>
      </c>
      <c r="Q72" s="2025"/>
      <c r="R72" s="2025"/>
      <c r="S72" s="2025"/>
      <c r="T72" s="2025"/>
      <c r="U72" s="2025"/>
      <c r="V72" s="2025"/>
    </row>
    <row r="73" spans="1:22" ht="24" customHeight="1">
      <c r="A73" s="3233" t="s">
        <v>411</v>
      </c>
      <c r="B73" s="3234"/>
      <c r="C73" s="3234"/>
      <c r="D73" s="362">
        <f>IF(H73="个人住宅",0,ROUND(D63*I73,0))</f>
        <v>0</v>
      </c>
      <c r="E73" s="17" t="s">
        <v>412</v>
      </c>
      <c r="F73" s="360" t="str">
        <f>IF(H73="正常",I73,"免征")</f>
        <v>免征</v>
      </c>
      <c r="G73" s="361"/>
      <c r="H73" s="191" t="s">
        <v>2457</v>
      </c>
      <c r="I73" s="360">
        <f>'数据-取费表'!B49</f>
        <v>5.0000000000000001E-4</v>
      </c>
      <c r="J73" s="2032"/>
      <c r="K73" s="1973">
        <v>2</v>
      </c>
      <c r="L73" s="3207" t="s">
        <v>410</v>
      </c>
      <c r="M73" s="3207"/>
      <c r="N73" s="1294">
        <f t="shared" ref="N73:P74" si="2">D73</f>
        <v>0</v>
      </c>
      <c r="O73" s="1856" t="str">
        <f t="shared" si="2"/>
        <v>销售额×税（费）率</v>
      </c>
      <c r="P73" s="1295" t="str">
        <f t="shared" si="2"/>
        <v>免征</v>
      </c>
      <c r="Q73" s="2025"/>
      <c r="R73" s="2025"/>
      <c r="S73" s="2025"/>
      <c r="T73" s="2025"/>
      <c r="U73" s="2025"/>
      <c r="V73" s="2025"/>
    </row>
    <row r="74" spans="1:22" ht="24.75">
      <c r="A74" s="3233" t="s">
        <v>415</v>
      </c>
      <c r="B74" s="3234"/>
      <c r="C74" s="3234"/>
      <c r="D74" s="362">
        <f ca="1">IF(H74="个人住宅",D75,D76)</f>
        <v>41676</v>
      </c>
      <c r="E74" s="17" t="s">
        <v>416</v>
      </c>
      <c r="F74" s="360" t="str">
        <f>IF(H74="正常",F76,"免征")</f>
        <v>——</v>
      </c>
      <c r="G74" s="981" t="s">
        <v>417</v>
      </c>
      <c r="H74" s="363" t="s">
        <v>413</v>
      </c>
      <c r="I74" s="42"/>
      <c r="J74" s="2032"/>
      <c r="K74" s="1973">
        <v>3</v>
      </c>
      <c r="L74" s="3207" t="s">
        <v>414</v>
      </c>
      <c r="M74" s="3207"/>
      <c r="N74" s="1294">
        <f t="shared" ca="1" si="2"/>
        <v>41676</v>
      </c>
      <c r="O74" s="1856" t="str">
        <f t="shared" si="2"/>
        <v>增值额×税（费）率</v>
      </c>
      <c r="P74" s="1297" t="str">
        <f t="shared" si="2"/>
        <v>——</v>
      </c>
      <c r="Q74" s="2025"/>
      <c r="R74" s="2025"/>
      <c r="S74" s="2025"/>
      <c r="T74" s="2025"/>
      <c r="U74" s="2025"/>
      <c r="V74" s="2025"/>
    </row>
    <row r="75" spans="1:22" ht="24">
      <c r="A75" s="359" t="s">
        <v>418</v>
      </c>
      <c r="B75" s="3214" t="s">
        <v>419</v>
      </c>
      <c r="C75" s="3215"/>
      <c r="D75" s="364">
        <v>0</v>
      </c>
      <c r="E75" s="41" t="s">
        <v>420</v>
      </c>
      <c r="F75" s="365"/>
      <c r="G75" s="361"/>
      <c r="H75" s="42"/>
      <c r="I75" s="42"/>
      <c r="J75" s="2032"/>
      <c r="K75" s="3011">
        <f>IF(H77="非个人房产","",4)</f>
        <v>4</v>
      </c>
      <c r="L75" s="3207" t="str">
        <f>IF(H77="非个人房产","——","个人所得税")</f>
        <v>个人所得税</v>
      </c>
      <c r="M75" s="3207"/>
      <c r="N75" s="1298">
        <f ca="1">D77</f>
        <v>753</v>
      </c>
      <c r="O75" s="1869" t="str">
        <f>E77</f>
        <v>销售额×税（费）率</v>
      </c>
      <c r="P75" s="1299">
        <f>F77</f>
        <v>0.01</v>
      </c>
      <c r="Q75" s="2025"/>
      <c r="R75" s="2025"/>
      <c r="S75" s="2025"/>
      <c r="T75" s="2025"/>
      <c r="U75" s="2025"/>
      <c r="V75" s="2025"/>
    </row>
    <row r="76" spans="1:22" ht="24.75">
      <c r="A76" s="359" t="s">
        <v>396</v>
      </c>
      <c r="B76" s="3214" t="s">
        <v>422</v>
      </c>
      <c r="C76" s="3256"/>
      <c r="D76" s="362">
        <f ca="1">IF(H76="转让取得",C99,C115)</f>
        <v>41676</v>
      </c>
      <c r="E76" s="17" t="s">
        <v>423</v>
      </c>
      <c r="F76" s="53" t="s">
        <v>21</v>
      </c>
      <c r="G76" s="361"/>
      <c r="H76" s="363" t="s">
        <v>424</v>
      </c>
      <c r="I76" s="42"/>
      <c r="J76" s="2032"/>
      <c r="K76" s="3011" t="str">
        <f>IF(项目基本情况!K6="上海银行",IF(K75="",4,K75+1),"")</f>
        <v/>
      </c>
      <c r="L76" s="3195" t="str">
        <f>IF(项目基本情况!K6="上海银行","其他处置费用","")</f>
        <v/>
      </c>
      <c r="M76" s="3196"/>
      <c r="N76" s="1294" t="str">
        <f>IF(项目基本情况!K6="上海银行",N89,"")</f>
        <v/>
      </c>
      <c r="O76" s="3197" t="str">
        <f>IF(项目基本情况!K6="上海银行","包含处置中涉及的律师、诉讼、拍卖、评估等费用","")</f>
        <v/>
      </c>
      <c r="P76" s="3198"/>
      <c r="Q76" s="2025"/>
      <c r="R76" s="2025"/>
      <c r="S76" s="2025"/>
      <c r="T76" s="2025"/>
      <c r="U76" s="2025"/>
      <c r="V76" s="2025"/>
    </row>
    <row r="77" spans="1:22" ht="26.25" thickBot="1">
      <c r="A77" s="3225" t="s">
        <v>426</v>
      </c>
      <c r="B77" s="3226"/>
      <c r="C77" s="3226"/>
      <c r="D77" s="366">
        <f ca="1">IF(H77="非个人房产","——",IF(H77="个人住宅",0,ROUND(D63*I77,0)))</f>
        <v>753</v>
      </c>
      <c r="E77" s="367" t="str">
        <f>IF(H77="非个人房产","——","销售额×税（费）率")</f>
        <v>销售额×税（费）率</v>
      </c>
      <c r="F77" s="368">
        <f>IF(H77="非个人房产","——",IF(H77="个人住宅","免征",I77))</f>
        <v>0.01</v>
      </c>
      <c r="G77" s="982" t="s">
        <v>417</v>
      </c>
      <c r="H77" s="363" t="s">
        <v>2889</v>
      </c>
      <c r="I77" s="369">
        <v>0.01</v>
      </c>
      <c r="J77" s="2032"/>
      <c r="K77" s="3221">
        <f>IF(AND(K75="",K76=""),4,IF(项目基本情况!K6="上海银行",K76+1,K75+1))</f>
        <v>5</v>
      </c>
      <c r="L77" s="3207" t="s">
        <v>2890</v>
      </c>
      <c r="M77" s="3017" t="s">
        <v>421</v>
      </c>
      <c r="N77" s="1300"/>
      <c r="O77" s="1301">
        <f ca="1">SUMIF(N72:N76,"&lt;9e307")</f>
        <v>46902</v>
      </c>
      <c r="P77" s="1302"/>
      <c r="Q77" s="3015" t="e">
        <f ca="1">O77/N69</f>
        <v>#VALUE!</v>
      </c>
      <c r="R77" s="2025"/>
      <c r="S77" s="2025"/>
      <c r="T77" s="2025"/>
      <c r="U77" s="2025"/>
      <c r="V77" s="2025"/>
    </row>
    <row r="78" spans="1:22" ht="12" customHeight="1">
      <c r="A78" s="1303"/>
      <c r="B78" s="311"/>
      <c r="C78" s="311"/>
      <c r="D78" s="311"/>
      <c r="E78" s="42"/>
      <c r="F78" s="42"/>
      <c r="G78" s="42"/>
      <c r="H78" s="1001"/>
      <c r="I78" s="311"/>
      <c r="J78" s="2032"/>
      <c r="K78" s="3221"/>
      <c r="L78" s="3207"/>
      <c r="M78" s="3017" t="s">
        <v>425</v>
      </c>
      <c r="N78" s="1300"/>
      <c r="O78" s="1301" t="str">
        <f ca="1">NUMBERSTRING(INT(O77*10000),2)&amp;"元整"</f>
        <v>肆亿陆仟玖佰零贰万元整</v>
      </c>
      <c r="P78" s="1302"/>
      <c r="Q78" s="2025"/>
      <c r="R78" s="2025"/>
      <c r="S78" s="2025"/>
      <c r="T78" s="2025"/>
      <c r="U78" s="2025"/>
      <c r="V78" s="2025"/>
    </row>
    <row r="79" spans="1:22" ht="13.5" thickBot="1">
      <c r="A79" s="3211" t="s">
        <v>427</v>
      </c>
      <c r="B79" s="3211"/>
      <c r="C79" s="3211"/>
      <c r="D79" s="3211"/>
      <c r="E79" s="3211"/>
      <c r="F79" s="42"/>
      <c r="G79" s="42"/>
      <c r="H79" s="1001"/>
      <c r="I79" s="311"/>
      <c r="J79" s="2032"/>
      <c r="K79" s="3205">
        <f>K77+1</f>
        <v>6</v>
      </c>
      <c r="L79" s="3207" t="s">
        <v>2891</v>
      </c>
      <c r="M79" s="3017" t="s">
        <v>421</v>
      </c>
      <c r="N79" s="1300"/>
      <c r="O79" s="1301" t="e">
        <f ca="1">N69-O77</f>
        <v>#VALUE!</v>
      </c>
      <c r="P79" s="1302"/>
      <c r="Q79" s="2025"/>
      <c r="R79" s="2025"/>
      <c r="S79" s="2025"/>
      <c r="T79" s="2025"/>
      <c r="U79" s="2025"/>
      <c r="V79" s="2025"/>
    </row>
    <row r="80" spans="1:22" ht="12.75">
      <c r="A80" s="3212" t="s">
        <v>428</v>
      </c>
      <c r="B80" s="3213"/>
      <c r="C80" s="992"/>
      <c r="D80" s="992" t="s">
        <v>429</v>
      </c>
      <c r="E80" s="370" t="s">
        <v>430</v>
      </c>
      <c r="F80" s="42"/>
      <c r="G80" s="42"/>
      <c r="H80" s="1001"/>
      <c r="I80" s="311"/>
      <c r="J80" s="2025"/>
      <c r="K80" s="3206"/>
      <c r="L80" s="3207"/>
      <c r="M80" s="3017" t="s">
        <v>425</v>
      </c>
      <c r="N80" s="1300"/>
      <c r="O80" s="1301" t="e">
        <f ca="1">NUMBERSTRING(INT(O79*10000),2)&amp;"元整"</f>
        <v>#VALUE!</v>
      </c>
      <c r="P80" s="1302"/>
      <c r="Q80" s="2025"/>
      <c r="R80" s="2025"/>
      <c r="S80" s="2025"/>
      <c r="T80" s="2025"/>
      <c r="U80" s="2025"/>
      <c r="V80" s="2025"/>
    </row>
    <row r="81" spans="1:26" ht="13.5" thickBot="1">
      <c r="A81" s="381" t="s">
        <v>1825</v>
      </c>
      <c r="B81" s="371" t="s">
        <v>431</v>
      </c>
      <c r="C81" s="372">
        <f ca="1">ROUND((C82+C83)/(1+'数据-取费表'!C42),0)</f>
        <v>71311</v>
      </c>
      <c r="D81" s="373"/>
      <c r="E81" s="374"/>
      <c r="F81" s="42"/>
      <c r="G81" s="42"/>
      <c r="H81" s="1001"/>
      <c r="I81" s="311"/>
      <c r="J81" s="2025"/>
      <c r="K81" s="3011">
        <f>K79+1</f>
        <v>7</v>
      </c>
      <c r="L81" s="3219" t="s">
        <v>2892</v>
      </c>
      <c r="M81" s="3220"/>
      <c r="N81" s="1304"/>
      <c r="O81" s="1305" t="e">
        <f ca="1">ROUND(O79*10000/'数据-汇总表'!E3,0)</f>
        <v>#VALUE!</v>
      </c>
      <c r="P81" s="1306"/>
      <c r="Q81" s="2025"/>
      <c r="R81" s="2025"/>
      <c r="S81" s="2025"/>
      <c r="T81" s="2025"/>
      <c r="U81" s="2025"/>
      <c r="V81" s="2025"/>
    </row>
    <row r="82" spans="1:26" ht="13.5" thickTop="1">
      <c r="A82" s="375" t="s">
        <v>1826</v>
      </c>
      <c r="B82" s="376" t="s">
        <v>432</v>
      </c>
      <c r="C82" s="377">
        <f ca="1">D63</f>
        <v>75304</v>
      </c>
      <c r="D82" s="378" t="s">
        <v>19</v>
      </c>
      <c r="E82" s="379"/>
      <c r="F82" s="42"/>
      <c r="G82" s="42"/>
      <c r="H82" s="1001"/>
      <c r="I82" s="311"/>
      <c r="J82" s="2025"/>
      <c r="K82" s="2025"/>
      <c r="L82" s="2025"/>
      <c r="M82" s="2025"/>
      <c r="N82" s="2025"/>
      <c r="O82" s="2025"/>
      <c r="P82" s="2025"/>
      <c r="Q82" s="2025"/>
      <c r="R82" s="2025"/>
      <c r="S82" s="2025"/>
      <c r="T82" s="2025"/>
      <c r="U82" s="2025"/>
      <c r="V82" s="2025"/>
    </row>
    <row r="83" spans="1:26" ht="12.75">
      <c r="A83" s="375" t="s">
        <v>1827</v>
      </c>
      <c r="B83" s="376" t="s">
        <v>433</v>
      </c>
      <c r="C83" s="380">
        <v>0</v>
      </c>
      <c r="D83" s="378"/>
      <c r="E83" s="379"/>
      <c r="F83" s="42"/>
      <c r="G83" s="42"/>
      <c r="H83" s="1001"/>
      <c r="I83" s="311"/>
      <c r="J83" s="2025"/>
      <c r="K83" s="3194" t="s">
        <v>2879</v>
      </c>
      <c r="L83" s="3023" t="s">
        <v>2880</v>
      </c>
      <c r="M83" s="3013" t="e">
        <f>IF(N69&gt;10000,N69*0.5%,IF(AND(N69&gt;1000,N69&lt;=10000),N69*1%,IF(AND(N69&gt;100,N69&lt;=1000),N69*3%,IF(AND(N69&gt;10,N69&lt;=100),N69*5%,N69*8%))))</f>
        <v>#VALUE!</v>
      </c>
      <c r="N83" s="53" t="e">
        <f>ROUND(M83,1)</f>
        <v>#VALUE!</v>
      </c>
      <c r="O83" s="3016"/>
      <c r="P83" s="2025"/>
      <c r="Q83" s="2025"/>
      <c r="R83" s="2025"/>
      <c r="S83" s="2025"/>
      <c r="T83" s="2025"/>
      <c r="U83" s="2025"/>
      <c r="V83" s="2025"/>
    </row>
    <row r="84" spans="1:26" ht="12.75">
      <c r="A84" s="381" t="s">
        <v>1828</v>
      </c>
      <c r="B84" s="382" t="s">
        <v>434</v>
      </c>
      <c r="C84" s="383">
        <v>2000</v>
      </c>
      <c r="D84" s="384" t="s">
        <v>19</v>
      </c>
      <c r="E84" s="3057" t="s">
        <v>2946</v>
      </c>
      <c r="F84" s="42"/>
      <c r="G84" s="42"/>
      <c r="H84" s="1001"/>
      <c r="I84" s="311"/>
      <c r="J84" s="2025"/>
      <c r="K84" s="3194"/>
      <c r="L84" s="3023" t="s">
        <v>2881</v>
      </c>
      <c r="M84" s="3013" t="e">
        <f>IF(N69&gt;2000,N69*0.5%,IF(AND(N69&gt;1000,N69&lt;=2000),N69*0.6%,IF(AND(N69&gt;500,N69&lt;=1000),N69*0.7%,IF(AND(N69&gt;200,N69&lt;=500),N69*0.8%,IF(AND(N69&gt;100,N69&lt;=200),N69*0.9%,IF(AND(N69&gt;50,N69&lt;=100),N69*1%,IF(AND(N69&gt;20,N69&lt;=50),N69*1.5%,IF(AND(N69&gt;10,N69&lt;=20),N69*2%,IF(AND(N69&gt;1,N69&lt;=10),N69*2.5%)))))))))</f>
        <v>#VALUE!</v>
      </c>
      <c r="N84" s="53" t="e">
        <f t="shared" ref="N84:N85" si="3">ROUND(M84,1)</f>
        <v>#VALUE!</v>
      </c>
      <c r="O84" s="2025" t="s">
        <v>2882</v>
      </c>
      <c r="P84" s="2025"/>
      <c r="Q84" s="2025"/>
      <c r="R84" s="2025"/>
      <c r="S84" s="2025"/>
      <c r="T84" s="2025"/>
      <c r="U84" s="2025"/>
      <c r="V84" s="2025"/>
    </row>
    <row r="85" spans="1:26" ht="12.75">
      <c r="A85" s="381" t="s">
        <v>1829</v>
      </c>
      <c r="B85" s="382" t="s">
        <v>435</v>
      </c>
      <c r="C85" s="385">
        <f ca="1">C81-C84</f>
        <v>69311</v>
      </c>
      <c r="D85" s="378" t="s">
        <v>19</v>
      </c>
      <c r="E85" s="379"/>
      <c r="F85" s="42"/>
      <c r="G85" s="42"/>
      <c r="H85" s="1001"/>
      <c r="I85" s="311"/>
      <c r="J85" s="2025"/>
      <c r="K85" s="3194"/>
      <c r="L85" s="3023" t="s">
        <v>2883</v>
      </c>
      <c r="M85" s="3013" t="e">
        <f>IF(N69&gt;1000,N69*0.1%,IF(AND(N69&gt;500,N69&lt;=1000),N69*0.5%,IF(AND(N69&gt;50,N69&lt;=500),N69*1%,IF(AND(N69&gt;1,N69&lt;=50),N69*1.5%))))</f>
        <v>#VALUE!</v>
      </c>
      <c r="N85" s="53" t="e">
        <f t="shared" si="3"/>
        <v>#VALUE!</v>
      </c>
      <c r="O85" s="2025" t="s">
        <v>2882</v>
      </c>
      <c r="P85" s="2025"/>
      <c r="Q85" s="2025"/>
      <c r="R85" s="2025"/>
      <c r="S85" s="2025"/>
      <c r="T85" s="2025"/>
      <c r="U85" s="2025"/>
      <c r="V85" s="2025"/>
    </row>
    <row r="86" spans="1:26" ht="13.5" thickBot="1">
      <c r="A86" s="386" t="s">
        <v>1830</v>
      </c>
      <c r="B86" s="387" t="s">
        <v>436</v>
      </c>
      <c r="C86" s="388">
        <f ca="1">IF(C85&lt;=0,0,ROUND(C85*D86,0))</f>
        <v>4347</v>
      </c>
      <c r="D86" s="389">
        <f>'数据-取费表'!B41</f>
        <v>6.2719999999999998E-2</v>
      </c>
      <c r="E86" s="390"/>
      <c r="F86" s="42"/>
      <c r="G86" s="42"/>
      <c r="H86" s="1001"/>
      <c r="I86" s="311"/>
      <c r="J86" s="2025"/>
      <c r="K86" s="3194"/>
      <c r="L86" s="3023" t="s">
        <v>2884</v>
      </c>
      <c r="M86" s="3013" t="e">
        <f>N69*0.5%</f>
        <v>#VALUE!</v>
      </c>
      <c r="N86" s="53" t="e">
        <f>IF(M86&gt;0.5,0.5,ROUND(M86,0))</f>
        <v>#VALUE!</v>
      </c>
      <c r="O86" s="2025" t="s">
        <v>2885</v>
      </c>
      <c r="P86" s="2025"/>
      <c r="Q86" s="2025"/>
      <c r="R86" s="2025"/>
      <c r="S86" s="2025"/>
      <c r="T86" s="2025"/>
      <c r="U86" s="2025"/>
      <c r="V86" s="2025"/>
    </row>
    <row r="87" spans="1:26" s="1252" customFormat="1" ht="14.25" customHeight="1">
      <c r="A87" s="1307"/>
      <c r="B87" s="1308"/>
      <c r="C87" s="1309"/>
      <c r="D87" s="1310"/>
      <c r="E87" s="1311"/>
      <c r="F87" s="42"/>
      <c r="G87" s="42"/>
      <c r="H87" s="1001"/>
      <c r="I87" s="311"/>
      <c r="J87" s="2025"/>
      <c r="K87" s="3194"/>
      <c r="L87" s="3023" t="s">
        <v>2886</v>
      </c>
      <c r="M87" s="301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6"/>
      <c r="P87" s="311"/>
      <c r="Q87" s="2025"/>
      <c r="R87" s="2025"/>
      <c r="S87" s="2025"/>
      <c r="T87" s="2025"/>
      <c r="U87" s="2025"/>
      <c r="V87" s="2025"/>
      <c r="W87" s="292"/>
      <c r="X87" s="292"/>
      <c r="Y87" s="292"/>
      <c r="Z87" s="292"/>
    </row>
    <row r="88" spans="1:26" s="1312" customFormat="1" ht="15" thickBot="1">
      <c r="A88" s="3248" t="s">
        <v>437</v>
      </c>
      <c r="B88" s="3249"/>
      <c r="C88" s="3249"/>
      <c r="D88" s="3249"/>
      <c r="E88" s="3249"/>
      <c r="F88" s="3249"/>
      <c r="G88" s="3249"/>
      <c r="H88" s="3249"/>
      <c r="I88" s="1313"/>
      <c r="J88" s="2033"/>
      <c r="K88" s="3194"/>
      <c r="L88" s="3023" t="s">
        <v>2887</v>
      </c>
      <c r="M88" s="3013" t="e">
        <f>IF(N69&gt;10000,N69*0.5%,IF(AND(N69&gt;5000,N69&lt;=10000),N69*1%,IF(AND(N69&gt;1000,N69&lt;=5000),N69*2%,IF(AND(N69&gt;200,N69&lt;=1000),N69*3%,N69*5%))))</f>
        <v>#VALUE!</v>
      </c>
      <c r="N88" s="53" t="e">
        <f>ROUND(M88,1)</f>
        <v>#VALUE!</v>
      </c>
      <c r="O88" s="3016"/>
      <c r="P88" s="11"/>
      <c r="Q88" s="2030"/>
      <c r="R88" s="2030"/>
      <c r="S88" s="2030"/>
      <c r="T88" s="2030"/>
      <c r="U88" s="2030"/>
      <c r="V88" s="2030"/>
      <c r="W88" s="2034"/>
      <c r="X88" s="2034"/>
      <c r="Y88" s="2034"/>
      <c r="Z88" s="2034"/>
    </row>
    <row r="89" spans="1:26" s="1312" customFormat="1" ht="14.25">
      <c r="A89" s="3212" t="s">
        <v>428</v>
      </c>
      <c r="B89" s="3213"/>
      <c r="C89" s="992"/>
      <c r="D89" s="992" t="s">
        <v>429</v>
      </c>
      <c r="E89" s="391" t="s">
        <v>438</v>
      </c>
      <c r="F89" s="392"/>
      <c r="G89" s="392"/>
      <c r="H89" s="393"/>
      <c r="I89" s="1314"/>
      <c r="J89" s="2035"/>
      <c r="K89" s="3194"/>
      <c r="L89" s="3023" t="s">
        <v>27</v>
      </c>
      <c r="M89" s="3014"/>
      <c r="N89" s="53" t="e">
        <f>ROUND(SUM(N83:N88),0)</f>
        <v>#VALUE!</v>
      </c>
      <c r="O89" s="3024" t="e">
        <f>N89/N69</f>
        <v>#VALUE!</v>
      </c>
      <c r="P89" s="2030"/>
      <c r="Q89" s="2030"/>
      <c r="R89" s="2030"/>
      <c r="S89" s="2030"/>
      <c r="T89" s="2030"/>
      <c r="U89" s="2030"/>
      <c r="V89" s="2030"/>
      <c r="W89" s="2034"/>
      <c r="X89" s="2034"/>
      <c r="Y89" s="2034"/>
      <c r="Z89" s="2034"/>
    </row>
    <row r="90" spans="1:26" s="1312" customFormat="1" ht="14.25">
      <c r="A90" s="381" t="s">
        <v>1825</v>
      </c>
      <c r="B90" s="382" t="s">
        <v>439</v>
      </c>
      <c r="C90" s="385">
        <f ca="1">ROUND(D63/(1+'数据-取费表'!C42),0)</f>
        <v>71311</v>
      </c>
      <c r="D90" s="378" t="s">
        <v>19</v>
      </c>
      <c r="E90" s="989"/>
      <c r="F90" s="988"/>
      <c r="G90" s="988"/>
      <c r="H90" s="394"/>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1" t="s">
        <v>1831</v>
      </c>
      <c r="B91" s="348" t="s">
        <v>440</v>
      </c>
      <c r="C91" s="385">
        <f ca="1">C92+C96</f>
        <v>3040</v>
      </c>
      <c r="D91" s="378" t="s">
        <v>19</v>
      </c>
      <c r="E91" s="989"/>
      <c r="F91" s="988"/>
      <c r="G91" s="988"/>
      <c r="H91" s="394"/>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5" t="s">
        <v>1832</v>
      </c>
      <c r="B92" s="376" t="s">
        <v>441</v>
      </c>
      <c r="C92" s="378">
        <f>ROUND(IF(G95="2016年5月1日后购买",C93/(1+'数据-取费表'!C30)+C94+C95,C93+C94+C95),0)</f>
        <v>2561</v>
      </c>
      <c r="D92" s="378" t="s">
        <v>19</v>
      </c>
      <c r="E92" s="989"/>
      <c r="F92" s="988"/>
      <c r="G92" s="988"/>
      <c r="H92" s="394"/>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5" t="s">
        <v>1833</v>
      </c>
      <c r="B93" s="376" t="s">
        <v>442</v>
      </c>
      <c r="C93" s="396">
        <v>2000</v>
      </c>
      <c r="D93" s="378" t="s">
        <v>19</v>
      </c>
      <c r="E93" s="397" t="s">
        <v>443</v>
      </c>
      <c r="F93" s="398" t="s">
        <v>444</v>
      </c>
      <c r="G93" s="397" t="s">
        <v>445</v>
      </c>
      <c r="H93" s="399">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5" t="s">
        <v>1834</v>
      </c>
      <c r="B94" s="400" t="s">
        <v>446</v>
      </c>
      <c r="C94" s="378">
        <f>IF(F93="购房发票",ROUND(C93*H93*5%,0),0)</f>
        <v>500</v>
      </c>
      <c r="D94" s="401">
        <v>0.05</v>
      </c>
      <c r="E94" s="3245" t="s">
        <v>447</v>
      </c>
      <c r="F94" s="3246"/>
      <c r="G94" s="3246"/>
      <c r="H94" s="3247"/>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7" t="str">
        <f>IF(G95="个人买卖住房","免征印花税"," ")</f>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5" t="s">
        <v>1836</v>
      </c>
      <c r="B96" s="376" t="s">
        <v>450</v>
      </c>
      <c r="C96" s="405">
        <f ca="1">ROUND(D63*D96/(1+'数据-取费表'!C42),0)</f>
        <v>479</v>
      </c>
      <c r="D96" s="406">
        <f>'数据-取费表'!B43</f>
        <v>6.7200000000000003E-3</v>
      </c>
      <c r="E96" s="3235" t="s">
        <v>2429</v>
      </c>
      <c r="F96" s="3236"/>
      <c r="G96" s="3236"/>
      <c r="H96" s="3237"/>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1837</v>
      </c>
      <c r="B97" s="382" t="s">
        <v>451</v>
      </c>
      <c r="C97" s="385">
        <f ca="1">C90-C91</f>
        <v>68271</v>
      </c>
      <c r="D97" s="378" t="s">
        <v>19</v>
      </c>
      <c r="E97" s="989"/>
      <c r="F97" s="988"/>
      <c r="G97" s="988"/>
      <c r="H97" s="394"/>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1838</v>
      </c>
      <c r="B98" s="382" t="s">
        <v>452</v>
      </c>
      <c r="C98" s="407">
        <f ca="1">IF(C97&lt;=0,0,C97/C91)</f>
        <v>22.457565789473684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1839</v>
      </c>
      <c r="B99" s="387" t="s">
        <v>453</v>
      </c>
      <c r="C99" s="408">
        <f ca="1">ROUND(IF(C97&lt;=0,0,IF(C98&gt;=200%,C97*60%-C91*35%,IF(C98&gt;=100%,C97*50%-C91*15%,IF(C98&gt;=50%,C97*40%-C91*5%,IF(C98&lt;50%,C97*30%,0))))),0)</f>
        <v>39899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248" t="s">
        <v>454</v>
      </c>
      <c r="B101" s="3249"/>
      <c r="C101" s="3249"/>
      <c r="D101" s="3249"/>
      <c r="E101" s="3249"/>
      <c r="F101" s="3249"/>
      <c r="G101" s="3249"/>
      <c r="H101" s="324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212" t="s">
        <v>428</v>
      </c>
      <c r="B102" s="3213"/>
      <c r="C102" s="992"/>
      <c r="D102" s="992" t="s">
        <v>429</v>
      </c>
      <c r="E102" s="391" t="s">
        <v>438</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1" t="s">
        <v>1825</v>
      </c>
      <c r="B103" s="382" t="s">
        <v>439</v>
      </c>
      <c r="C103" s="385">
        <f ca="1">ROUND(D63/(1+'数据-取费表'!C42),0)</f>
        <v>71311</v>
      </c>
      <c r="D103" s="378" t="s">
        <v>19</v>
      </c>
      <c r="E103" s="989"/>
      <c r="F103" s="988"/>
      <c r="G103" s="988"/>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1" t="s">
        <v>1831</v>
      </c>
      <c r="B104" s="348" t="s">
        <v>440</v>
      </c>
      <c r="C104" s="385">
        <f ca="1">IF(H106="仅含出让金",C105+C108+C109+C110+C111+C112,C105+C109+C110+C111+C112)</f>
        <v>1169</v>
      </c>
      <c r="D104" s="415"/>
      <c r="E104" s="989"/>
      <c r="F104" s="988"/>
      <c r="G104" s="988"/>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5" t="s">
        <v>1832</v>
      </c>
      <c r="B105" s="376" t="s">
        <v>455</v>
      </c>
      <c r="C105" s="405">
        <f>C106+C107</f>
        <v>572</v>
      </c>
      <c r="D105" s="406"/>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5" t="s">
        <v>1833</v>
      </c>
      <c r="B106" s="376" t="s">
        <v>456</v>
      </c>
      <c r="C106" s="416">
        <v>555</v>
      </c>
      <c r="D106" s="406"/>
      <c r="E106" s="417" t="s">
        <v>457</v>
      </c>
      <c r="F106" s="984"/>
      <c r="G106" s="418" t="s">
        <v>458</v>
      </c>
      <c r="H106" s="419"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5" t="s">
        <v>1834</v>
      </c>
      <c r="B107" s="376" t="s">
        <v>448</v>
      </c>
      <c r="C107" s="405">
        <f>ROUND(C106*D107,0)</f>
        <v>17</v>
      </c>
      <c r="D107" s="406">
        <f>'数据-取费表'!B48+'数据-取费表'!B49</f>
        <v>3.0499999999999999E-2</v>
      </c>
      <c r="E107" s="417"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5" t="s">
        <v>1836</v>
      </c>
      <c r="B108" s="376" t="s">
        <v>460</v>
      </c>
      <c r="C108" s="416"/>
      <c r="D108" s="406"/>
      <c r="E108" s="417" t="str">
        <f>IF(H106="-","土地取得成本中已包含该笔费用"," ")</f>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1840</v>
      </c>
      <c r="B109" s="376" t="s">
        <v>461</v>
      </c>
      <c r="C109" s="405">
        <f>IF(H109="——",IF(F1="现房",'剩余法-现房'!C18,'剩余法-待开发'!C18),I109)</f>
        <v>55</v>
      </c>
      <c r="D109" s="406"/>
      <c r="E109" s="3238" t="s">
        <v>462</v>
      </c>
      <c r="F109" s="3236"/>
      <c r="G109" s="3236"/>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1841</v>
      </c>
      <c r="B110" s="376" t="s">
        <v>463</v>
      </c>
      <c r="C110" s="405">
        <f>ROUND((C105+C108+C109)*D110,0)</f>
        <v>63</v>
      </c>
      <c r="D110" s="406">
        <v>0.1</v>
      </c>
      <c r="E110" s="3238" t="s">
        <v>464</v>
      </c>
      <c r="F110" s="3236"/>
      <c r="G110" s="3236"/>
      <c r="H110" s="3237"/>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1842</v>
      </c>
      <c r="B111" s="376" t="s">
        <v>450</v>
      </c>
      <c r="C111" s="405">
        <f ca="1">ROUND(D63*D111/(1+'数据-取费表'!C42),0)</f>
        <v>479</v>
      </c>
      <c r="D111" s="406">
        <f>'数据-取费表'!B43</f>
        <v>6.7200000000000003E-3</v>
      </c>
      <c r="E111" s="3235" t="s">
        <v>2429</v>
      </c>
      <c r="F111" s="3236"/>
      <c r="G111" s="3236"/>
      <c r="H111" s="3237"/>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1843</v>
      </c>
      <c r="B112" s="376" t="s">
        <v>465</v>
      </c>
      <c r="C112" s="405">
        <f>ROUND(C108*D112,0)</f>
        <v>0</v>
      </c>
      <c r="D112" s="406">
        <v>0.2</v>
      </c>
      <c r="E112" s="3238" t="s">
        <v>2454</v>
      </c>
      <c r="F112" s="3236"/>
      <c r="G112" s="3236"/>
      <c r="H112" s="3237"/>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1837</v>
      </c>
      <c r="B113" s="382" t="s">
        <v>451</v>
      </c>
      <c r="C113" s="385">
        <f ca="1">ROUND(C103-C104,0)</f>
        <v>70142</v>
      </c>
      <c r="D113" s="378" t="s">
        <v>19</v>
      </c>
      <c r="E113" s="989"/>
      <c r="F113" s="988"/>
      <c r="G113" s="988"/>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1838</v>
      </c>
      <c r="B114" s="382" t="s">
        <v>452</v>
      </c>
      <c r="C114" s="407">
        <f ca="1">IF(C113&lt;=0,0,C113/C104)</f>
        <v>60.001710863986311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1839</v>
      </c>
      <c r="B115" s="387" t="s">
        <v>453</v>
      </c>
      <c r="C115" s="408">
        <f ca="1">ROUND(IF(C113&lt;=0,0,IF(C114&gt;=200%,C113*60%-C104*35%,IF(C114&gt;=100%,C113*50%-C104*15%,IF(C114&gt;=50%,C113*40%-C104*5%,IF(C114&lt;50%,C113*30%,0))))),0)</f>
        <v>41676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54" zoomScale="80" zoomScaleNormal="95" zoomScaleSheetLayoutView="80" workbookViewId="0">
      <selection activeCell="E40" sqref="E4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3" t="s">
        <v>467</v>
      </c>
      <c r="B2" s="506">
        <f>F68</f>
        <v>89350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1686</v>
      </c>
      <c r="B3" s="508">
        <f>ROUND(B2*10000/'数据-汇总表'!E3,0)</f>
        <v>1662</v>
      </c>
      <c r="C3" s="2058"/>
      <c r="D3" s="258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30" s="1334" customFormat="1" ht="28.5" customHeight="1">
      <c r="A4" s="509" t="s">
        <v>521</v>
      </c>
      <c r="B4" s="427">
        <f>IF(B48="单位面积地价",C50,ROUND(B2*10000/'数据-汇总表'!D3,0))</f>
        <v>5210</v>
      </c>
      <c r="C4" s="2058"/>
      <c r="D4" s="258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30" s="1334" customFormat="1" ht="28.5" customHeight="1" thickBot="1">
      <c r="A5" s="429"/>
      <c r="B5" s="430">
        <f>ROUND(B2/('数据-汇总表'!D3/666.67),0)</f>
        <v>347</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8"/>
    </row>
    <row r="6" spans="1:30" ht="20.25">
      <c r="A6" s="510" t="s">
        <v>522</v>
      </c>
      <c r="B6" s="511"/>
      <c r="C6" s="3293" t="s">
        <v>523</v>
      </c>
      <c r="D6" s="3294"/>
      <c r="E6" s="3293" t="s">
        <v>524</v>
      </c>
      <c r="F6" s="3294"/>
      <c r="G6" s="3293" t="s">
        <v>525</v>
      </c>
      <c r="H6" s="3294"/>
      <c r="I6" s="3293" t="s">
        <v>526</v>
      </c>
      <c r="J6" s="3294"/>
      <c r="K6" s="512" t="s">
        <v>527</v>
      </c>
      <c r="L6" s="2130"/>
      <c r="M6" s="2129"/>
      <c r="N6" s="2129"/>
      <c r="O6" s="2131"/>
      <c r="P6" s="3295" t="s">
        <v>528</v>
      </c>
      <c r="Q6" s="3296"/>
      <c r="R6" s="3281" t="s">
        <v>524</v>
      </c>
      <c r="S6" s="3282"/>
      <c r="T6" s="3281" t="s">
        <v>525</v>
      </c>
      <c r="U6" s="3282"/>
      <c r="V6" s="3301" t="s">
        <v>526</v>
      </c>
      <c r="W6" s="3301"/>
      <c r="X6" s="1565"/>
      <c r="Y6" s="3281" t="s">
        <v>528</v>
      </c>
      <c r="Z6" s="3282"/>
      <c r="AA6" s="3276" t="s">
        <v>524</v>
      </c>
      <c r="AB6" s="3277" t="s">
        <v>525</v>
      </c>
      <c r="AC6" s="3276" t="s">
        <v>526</v>
      </c>
    </row>
    <row r="7" spans="1:30" ht="20.25">
      <c r="A7" s="513"/>
      <c r="B7" s="514"/>
      <c r="C7" s="3304" t="s">
        <v>2933</v>
      </c>
      <c r="D7" s="3305"/>
      <c r="E7" s="3402" t="s">
        <v>3028</v>
      </c>
      <c r="F7" s="3403"/>
      <c r="G7" s="3402" t="s">
        <v>3029</v>
      </c>
      <c r="H7" s="3403"/>
      <c r="I7" s="3402" t="s">
        <v>3030</v>
      </c>
      <c r="J7" s="3403"/>
      <c r="K7" s="512"/>
      <c r="L7" s="2130"/>
      <c r="M7" s="2129"/>
      <c r="N7" s="2129"/>
      <c r="O7" s="2131"/>
      <c r="P7" s="3297"/>
      <c r="Q7" s="3298"/>
      <c r="R7" s="3283"/>
      <c r="S7" s="3284"/>
      <c r="T7" s="3283"/>
      <c r="U7" s="3284"/>
      <c r="V7" s="3301"/>
      <c r="W7" s="3301"/>
      <c r="X7" s="1565"/>
      <c r="Y7" s="3283"/>
      <c r="Z7" s="3284"/>
      <c r="AA7" s="3277"/>
      <c r="AB7" s="3277"/>
      <c r="AC7" s="3277"/>
    </row>
    <row r="8" spans="1:30" ht="21" thickBot="1">
      <c r="A8" s="513"/>
      <c r="B8" s="514"/>
      <c r="C8" s="3306" t="s">
        <v>2937</v>
      </c>
      <c r="D8" s="3307"/>
      <c r="E8" s="3404" t="s">
        <v>3028</v>
      </c>
      <c r="F8" s="3405"/>
      <c r="G8" s="3406" t="s">
        <v>3029</v>
      </c>
      <c r="H8" s="3407"/>
      <c r="I8" s="3406" t="s">
        <v>3030</v>
      </c>
      <c r="J8" s="3407"/>
      <c r="K8" s="512" t="s">
        <v>529</v>
      </c>
      <c r="L8" s="2130"/>
      <c r="M8" s="2129"/>
      <c r="N8" s="2129"/>
      <c r="O8" s="2131"/>
      <c r="P8" s="3299"/>
      <c r="Q8" s="3300"/>
      <c r="R8" s="3283"/>
      <c r="S8" s="3284"/>
      <c r="T8" s="3285"/>
      <c r="U8" s="3286"/>
      <c r="V8" s="3301"/>
      <c r="W8" s="3301"/>
      <c r="X8" s="1565"/>
      <c r="Y8" s="3285"/>
      <c r="Z8" s="3286"/>
      <c r="AA8" s="3278"/>
      <c r="AB8" s="3278"/>
      <c r="AC8" s="3278"/>
    </row>
    <row r="9" spans="1:30" s="1218" customFormat="1" ht="21" thickBot="1">
      <c r="A9" s="2875"/>
      <c r="B9" s="2882" t="s">
        <v>530</v>
      </c>
      <c r="C9" s="2874">
        <f>'数据-取费表'!B2</f>
        <v>43054</v>
      </c>
      <c r="D9" s="518">
        <v>100</v>
      </c>
      <c r="E9" s="519">
        <v>42989</v>
      </c>
      <c r="F9" s="520">
        <f>SUMIF(72:72,YEAR(E9)&amp;"-"&amp;INT((MONTH(E9)+2)/3),73:73)</f>
        <v>99</v>
      </c>
      <c r="G9" s="521">
        <v>42969</v>
      </c>
      <c r="H9" s="518">
        <f>SUMIF(72:72,YEAR(G9)&amp;"-"&amp;INT((MONTH(G9)+2)/3),73:73)</f>
        <v>99</v>
      </c>
      <c r="I9" s="521">
        <v>42968</v>
      </c>
      <c r="J9" s="518">
        <f>SUMIF(72:72,YEAR(I9)&amp;"-"&amp;INT((MONTH(I9)+2)/3),73:73)</f>
        <v>99</v>
      </c>
      <c r="K9" s="522"/>
      <c r="L9" s="2132"/>
      <c r="M9" s="2129"/>
      <c r="N9" s="2129"/>
      <c r="O9" s="2133"/>
      <c r="P9" s="3279" t="s">
        <v>531</v>
      </c>
      <c r="Q9" s="3288"/>
      <c r="R9" s="1566" t="s">
        <v>8</v>
      </c>
      <c r="S9" s="1567">
        <f t="shared" ref="S9:S17" si="0">F9</f>
        <v>99</v>
      </c>
      <c r="T9" s="1566" t="s">
        <v>8</v>
      </c>
      <c r="U9" s="1567">
        <f t="shared" ref="U9:U17" si="1">H9</f>
        <v>99</v>
      </c>
      <c r="V9" s="1566" t="s">
        <v>8</v>
      </c>
      <c r="W9" s="1567">
        <f t="shared" ref="W9:W17" si="2">J9</f>
        <v>99</v>
      </c>
      <c r="X9" s="1568"/>
      <c r="Y9" s="3279" t="s">
        <v>531</v>
      </c>
      <c r="Z9" s="3280"/>
      <c r="AA9" s="1569">
        <f>D9/F9</f>
        <v>1.0101010101010102</v>
      </c>
      <c r="AB9" s="1569">
        <f>D9/H9</f>
        <v>1.0101010101010102</v>
      </c>
      <c r="AC9" s="1569">
        <f>D9/J9</f>
        <v>1.0101010101010102</v>
      </c>
    </row>
    <row r="10" spans="1:30" s="1218" customFormat="1" ht="21" thickBot="1">
      <c r="A10" s="2876"/>
      <c r="B10" s="2883" t="s">
        <v>532</v>
      </c>
      <c r="C10" s="854" t="s">
        <v>533</v>
      </c>
      <c r="D10" s="518">
        <v>100</v>
      </c>
      <c r="E10" s="523" t="s">
        <v>3031</v>
      </c>
      <c r="F10" s="520">
        <f>SUMIF(75:75,E10,76:76)-SUMIF(75:75,C10,76:76)+100</f>
        <v>100</v>
      </c>
      <c r="G10" s="523" t="s">
        <v>3031</v>
      </c>
      <c r="H10" s="518">
        <f>SUMIF(75:75,G10,76:76)-SUMIF(75:75,C10,76:76)+100</f>
        <v>100</v>
      </c>
      <c r="I10" s="523" t="s">
        <v>3031</v>
      </c>
      <c r="J10" s="518">
        <f>SUMIF(75:75,I10,76:76)-SUMIF(75:75,C10,76:76)+100</f>
        <v>100</v>
      </c>
      <c r="K10" s="522"/>
      <c r="L10" s="2132"/>
      <c r="M10" s="2129"/>
      <c r="N10" s="2129"/>
      <c r="O10" s="2133"/>
      <c r="P10" s="3279" t="s">
        <v>534</v>
      </c>
      <c r="Q10" s="3280"/>
      <c r="R10" s="1566" t="s">
        <v>8</v>
      </c>
      <c r="S10" s="1567">
        <f t="shared" si="0"/>
        <v>100</v>
      </c>
      <c r="T10" s="1566" t="s">
        <v>8</v>
      </c>
      <c r="U10" s="1567">
        <f t="shared" si="1"/>
        <v>100</v>
      </c>
      <c r="V10" s="1566" t="s">
        <v>8</v>
      </c>
      <c r="W10" s="1567">
        <f t="shared" si="2"/>
        <v>100</v>
      </c>
      <c r="X10" s="1568"/>
      <c r="Y10" s="3279" t="s">
        <v>534</v>
      </c>
      <c r="Z10" s="3280"/>
      <c r="AA10" s="1569">
        <f t="shared" ref="AA10:AA47" si="3">D10/F10</f>
        <v>1</v>
      </c>
      <c r="AB10" s="1569">
        <f t="shared" ref="AB10:AB47" si="4">D10/H10</f>
        <v>1</v>
      </c>
      <c r="AC10" s="1569">
        <f t="shared" ref="AC10:AC47" si="5">D10/J10</f>
        <v>1</v>
      </c>
    </row>
    <row r="11" spans="1:30" s="1218" customFormat="1" ht="42.75">
      <c r="A11" s="2877"/>
      <c r="B11" s="2884" t="s">
        <v>2761</v>
      </c>
      <c r="C11" s="2871" t="s">
        <v>3036</v>
      </c>
      <c r="D11" s="254">
        <v>100</v>
      </c>
      <c r="E11" s="524" t="s">
        <v>3037</v>
      </c>
      <c r="F11" s="254">
        <f>SUMIF(77:77,E11,78:78)-SUMIF(77:77,C11,78:78)+100</f>
        <v>100</v>
      </c>
      <c r="G11" s="524" t="s">
        <v>3037</v>
      </c>
      <c r="H11" s="254">
        <f>SUMIF(77:77,G11,78:78)-SUMIF(77:77,C11,78:78)+100</f>
        <v>100</v>
      </c>
      <c r="I11" s="524" t="s">
        <v>3038</v>
      </c>
      <c r="J11" s="254">
        <f>SUMIF(77:77,I11,78:78)-SUMIF(77:77,C11,78:78)+100</f>
        <v>100</v>
      </c>
      <c r="K11" s="522"/>
      <c r="L11" s="2132"/>
      <c r="M11" s="2129"/>
      <c r="N11" s="2129"/>
      <c r="O11" s="2134"/>
      <c r="P11" s="3287" t="s">
        <v>536</v>
      </c>
      <c r="Q11" s="1149" t="str">
        <f t="shared" ref="Q11:Q17" si="6">B11</f>
        <v>用途</v>
      </c>
      <c r="R11" s="1566" t="s">
        <v>8</v>
      </c>
      <c r="S11" s="1567">
        <f t="shared" si="0"/>
        <v>100</v>
      </c>
      <c r="T11" s="1566" t="s">
        <v>8</v>
      </c>
      <c r="U11" s="1567">
        <f t="shared" si="1"/>
        <v>100</v>
      </c>
      <c r="V11" s="1566" t="s">
        <v>8</v>
      </c>
      <c r="W11" s="1567">
        <f t="shared" si="2"/>
        <v>100</v>
      </c>
      <c r="X11" s="1568"/>
      <c r="Y11" s="3244" t="s">
        <v>537</v>
      </c>
      <c r="Z11" s="1148" t="str">
        <f t="shared" ref="Z11:Z17" si="7">Q11</f>
        <v>用途</v>
      </c>
      <c r="AA11" s="1569">
        <f t="shared" si="3"/>
        <v>1</v>
      </c>
      <c r="AB11" s="1569">
        <f t="shared" si="4"/>
        <v>1</v>
      </c>
      <c r="AC11" s="1569">
        <f t="shared" si="5"/>
        <v>1</v>
      </c>
    </row>
    <row r="12" spans="1:30" s="1336" customFormat="1" ht="27">
      <c r="A12" s="2878"/>
      <c r="B12" s="2883" t="s">
        <v>2762</v>
      </c>
      <c r="C12" s="908" t="s">
        <v>3039</v>
      </c>
      <c r="D12" s="255">
        <v>100</v>
      </c>
      <c r="E12" s="527" t="s">
        <v>3039</v>
      </c>
      <c r="F12" s="255">
        <f>ROUND(100/'数据-取费表'!G16,0)</f>
        <v>100</v>
      </c>
      <c r="G12" s="528" t="s">
        <v>3039</v>
      </c>
      <c r="H12" s="255">
        <f>ROUND(100/'数据-取费表'!G16,0)</f>
        <v>100</v>
      </c>
      <c r="I12" s="528" t="s">
        <v>3039</v>
      </c>
      <c r="J12" s="255">
        <f>ROUND(100/'数据-取费表'!G16,0)</f>
        <v>100</v>
      </c>
      <c r="K12" s="529"/>
      <c r="L12" s="2135"/>
      <c r="M12" s="2129"/>
      <c r="N12" s="2129"/>
      <c r="O12" s="2136"/>
      <c r="P12" s="3287"/>
      <c r="Q12" s="1149" t="str">
        <f t="shared" si="6"/>
        <v>土地使用年限（年）</v>
      </c>
      <c r="R12" s="1566" t="s">
        <v>8</v>
      </c>
      <c r="S12" s="1567">
        <f t="shared" si="0"/>
        <v>100</v>
      </c>
      <c r="T12" s="1566" t="s">
        <v>8</v>
      </c>
      <c r="U12" s="1567">
        <f t="shared" si="1"/>
        <v>100</v>
      </c>
      <c r="V12" s="1566" t="s">
        <v>8</v>
      </c>
      <c r="W12" s="1567">
        <f t="shared" si="2"/>
        <v>100</v>
      </c>
      <c r="X12" s="1568"/>
      <c r="Y12" s="3244"/>
      <c r="Z12" s="1148" t="str">
        <f t="shared" si="7"/>
        <v>土地使用年限（年）</v>
      </c>
      <c r="AA12" s="1569">
        <f t="shared" si="3"/>
        <v>1</v>
      </c>
      <c r="AB12" s="1569">
        <f t="shared" si="4"/>
        <v>1</v>
      </c>
      <c r="AC12" s="1569">
        <f t="shared" si="5"/>
        <v>1</v>
      </c>
    </row>
    <row r="13" spans="1:30" ht="21" thickBot="1">
      <c r="A13" s="2879"/>
      <c r="B13" s="2883" t="s">
        <v>2763</v>
      </c>
      <c r="C13" s="532">
        <f>'数据-汇总表'!I4</f>
        <v>2.0699999999999998</v>
      </c>
      <c r="D13" s="255">
        <v>100</v>
      </c>
      <c r="E13" s="531">
        <v>1.5</v>
      </c>
      <c r="F13" s="255">
        <f>LOOKUP(E13,82:82,83:83)-LOOKUP(C13,82:82,83:83)+100</f>
        <v>99</v>
      </c>
      <c r="G13" s="532">
        <v>1.5</v>
      </c>
      <c r="H13" s="255">
        <f>LOOKUP(G13,82:82,83:83)-LOOKUP(C13,82:82,83:83)+100</f>
        <v>99</v>
      </c>
      <c r="I13" s="531">
        <v>1.5</v>
      </c>
      <c r="J13" s="255">
        <f>LOOKUP(I13,82:82,83:83)-LOOKUP(C13,82:82,83:83)+100</f>
        <v>99</v>
      </c>
      <c r="K13" s="533">
        <v>1</v>
      </c>
      <c r="L13" s="2137"/>
      <c r="M13" s="2129"/>
      <c r="N13" s="2129"/>
      <c r="O13" s="2138"/>
      <c r="P13" s="3287"/>
      <c r="Q13" s="1149" t="str">
        <f t="shared" si="6"/>
        <v>容积率</v>
      </c>
      <c r="R13" s="1566" t="s">
        <v>8</v>
      </c>
      <c r="S13" s="1567">
        <f t="shared" si="0"/>
        <v>99</v>
      </c>
      <c r="T13" s="1566" t="s">
        <v>8</v>
      </c>
      <c r="U13" s="1567">
        <f t="shared" si="1"/>
        <v>99</v>
      </c>
      <c r="V13" s="1566" t="s">
        <v>8</v>
      </c>
      <c r="W13" s="1567">
        <f t="shared" si="2"/>
        <v>99</v>
      </c>
      <c r="X13" s="1568"/>
      <c r="Y13" s="3244"/>
      <c r="Z13" s="1148" t="str">
        <f t="shared" si="7"/>
        <v>容积率</v>
      </c>
      <c r="AA13" s="1569">
        <f t="shared" si="3"/>
        <v>1.0101010101010102</v>
      </c>
      <c r="AB13" s="1569">
        <f t="shared" si="4"/>
        <v>1.0101010101010102</v>
      </c>
      <c r="AC13" s="1569">
        <f t="shared" si="5"/>
        <v>1.0101010101010102</v>
      </c>
    </row>
    <row r="14" spans="1:30" s="1218" customFormat="1" ht="20.25" hidden="1">
      <c r="A14" s="2876"/>
      <c r="B14" s="2885" t="s">
        <v>2764</v>
      </c>
      <c r="C14" s="2872"/>
      <c r="D14" s="536">
        <v>100</v>
      </c>
      <c r="E14" s="1372"/>
      <c r="F14" s="255">
        <f>SUMIF(84:84,E14,85:85)-SUMIF(84:84,C14,85:85)+100</f>
        <v>100</v>
      </c>
      <c r="G14" s="528"/>
      <c r="H14" s="255">
        <f>SUMIF(84:84,G14,85:85)-SUMIF(84:84,C14,85:85)+100</f>
        <v>100</v>
      </c>
      <c r="I14" s="527"/>
      <c r="J14" s="255">
        <f>SUMIF(84:84,I14,85:85)-SUMIF(84:84,C14,85:85)+100</f>
        <v>100</v>
      </c>
      <c r="K14" s="529"/>
      <c r="L14" s="2132"/>
      <c r="M14" s="2129"/>
      <c r="N14" s="2129"/>
      <c r="O14" s="2134"/>
      <c r="P14" s="3287"/>
      <c r="Q14" s="1149" t="str">
        <f t="shared" si="6"/>
        <v>配建</v>
      </c>
      <c r="R14" s="1566" t="s">
        <v>8</v>
      </c>
      <c r="S14" s="1567">
        <f t="shared" si="0"/>
        <v>100</v>
      </c>
      <c r="T14" s="1566" t="s">
        <v>8</v>
      </c>
      <c r="U14" s="1567">
        <f t="shared" si="1"/>
        <v>100</v>
      </c>
      <c r="V14" s="1566" t="s">
        <v>8</v>
      </c>
      <c r="W14" s="1567">
        <f t="shared" si="2"/>
        <v>100</v>
      </c>
      <c r="X14" s="1568"/>
      <c r="Y14" s="3244"/>
      <c r="Z14" s="1148" t="str">
        <f t="shared" si="7"/>
        <v>配建</v>
      </c>
      <c r="AA14" s="1569">
        <f>D14/F14</f>
        <v>1</v>
      </c>
      <c r="AB14" s="1569">
        <f>D14/H14</f>
        <v>1</v>
      </c>
      <c r="AC14" s="1569">
        <f>D14/J14</f>
        <v>1</v>
      </c>
    </row>
    <row r="15" spans="1:30" ht="20.25" hidden="1">
      <c r="A15" s="2880"/>
      <c r="B15" s="2886">
        <v>111</v>
      </c>
      <c r="C15" s="910"/>
      <c r="D15" s="538">
        <v>100</v>
      </c>
      <c r="E15" s="539"/>
      <c r="F15" s="255">
        <f>SUMIF(86:86,E15,87:87)-SUMIF(86:86,C15,87:87)+100</f>
        <v>100</v>
      </c>
      <c r="G15" s="540"/>
      <c r="H15" s="538">
        <f>SUMIF(86:86,G15,87:87)-SUMIF(86:86,C15,87:87)+100</f>
        <v>100</v>
      </c>
      <c r="I15" s="540"/>
      <c r="J15" s="538">
        <f>SUMIF(86:86,I15,87:87)-SUMIF(86:86,C15,87:87)+100</f>
        <v>100</v>
      </c>
      <c r="K15" s="529"/>
      <c r="L15" s="2139"/>
      <c r="M15" s="2129"/>
      <c r="N15" s="2129"/>
      <c r="O15" s="2138"/>
      <c r="P15" s="3287"/>
      <c r="Q15" s="1149">
        <f t="shared" si="6"/>
        <v>111</v>
      </c>
      <c r="R15" s="1566" t="s">
        <v>8</v>
      </c>
      <c r="S15" s="1567">
        <f t="shared" si="0"/>
        <v>100</v>
      </c>
      <c r="T15" s="1566" t="s">
        <v>8</v>
      </c>
      <c r="U15" s="1567">
        <f t="shared" si="1"/>
        <v>100</v>
      </c>
      <c r="V15" s="1566" t="s">
        <v>8</v>
      </c>
      <c r="W15" s="1567">
        <f t="shared" si="2"/>
        <v>100</v>
      </c>
      <c r="X15" s="1568"/>
      <c r="Y15" s="3244"/>
      <c r="Z15" s="1148">
        <f t="shared" si="7"/>
        <v>111</v>
      </c>
      <c r="AA15" s="1569">
        <f>D15/F15</f>
        <v>1</v>
      </c>
      <c r="AB15" s="1569">
        <f>D15/H15</f>
        <v>1</v>
      </c>
      <c r="AC15" s="1569">
        <f>D15/J15</f>
        <v>1</v>
      </c>
    </row>
    <row r="16" spans="1:30" ht="21" hidden="1" thickBot="1">
      <c r="A16" s="2881"/>
      <c r="B16" s="2887">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287"/>
      <c r="Q16" s="1149">
        <f t="shared" si="6"/>
        <v>111</v>
      </c>
      <c r="R16" s="1566" t="s">
        <v>8</v>
      </c>
      <c r="S16" s="1567">
        <f t="shared" si="0"/>
        <v>100</v>
      </c>
      <c r="T16" s="1566" t="s">
        <v>8</v>
      </c>
      <c r="U16" s="1567">
        <f t="shared" si="1"/>
        <v>100</v>
      </c>
      <c r="V16" s="1566" t="s">
        <v>8</v>
      </c>
      <c r="W16" s="1567">
        <f t="shared" si="2"/>
        <v>100</v>
      </c>
      <c r="X16" s="1568"/>
      <c r="Y16" s="3244"/>
      <c r="Z16" s="1148">
        <f t="shared" si="7"/>
        <v>111</v>
      </c>
      <c r="AA16" s="1569">
        <f>D16/F16</f>
        <v>1</v>
      </c>
      <c r="AB16" s="1569">
        <f>D16/H16</f>
        <v>1</v>
      </c>
      <c r="AC16" s="1569">
        <f>D16/J16</f>
        <v>1</v>
      </c>
    </row>
    <row r="17" spans="1:29" ht="99.75">
      <c r="A17" s="2873" t="s">
        <v>2759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97</v>
      </c>
      <c r="G17" s="548"/>
      <c r="H17" s="547">
        <f>SUMIF(90:90,G18,91:91)-SUMIF(90:90,C18,91:91)+100</f>
        <v>97</v>
      </c>
      <c r="I17" s="550"/>
      <c r="J17" s="547">
        <f>SUMIF(90:90,I18,91:91)-SUMIF(90:90,C18,91:91)+100</f>
        <v>97</v>
      </c>
      <c r="K17" s="533">
        <v>3</v>
      </c>
      <c r="L17" s="2139"/>
      <c r="M17" s="2129"/>
      <c r="N17" s="2129"/>
      <c r="O17" s="2138"/>
      <c r="P17" s="3289" t="s">
        <v>541</v>
      </c>
      <c r="Q17" s="1570" t="str">
        <f t="shared" si="6"/>
        <v>居住社区成熟度</v>
      </c>
      <c r="R17" s="1571" t="s">
        <v>8</v>
      </c>
      <c r="S17" s="1572">
        <f t="shared" si="0"/>
        <v>97</v>
      </c>
      <c r="T17" s="1571" t="s">
        <v>8</v>
      </c>
      <c r="U17" s="1572">
        <f t="shared" si="1"/>
        <v>97</v>
      </c>
      <c r="V17" s="1571" t="s">
        <v>8</v>
      </c>
      <c r="W17" s="1572">
        <f t="shared" si="2"/>
        <v>97</v>
      </c>
      <c r="X17" s="1565"/>
      <c r="Y17" s="3289" t="s">
        <v>541</v>
      </c>
      <c r="Z17" s="1573" t="str">
        <f t="shared" si="7"/>
        <v>居住社区成熟度</v>
      </c>
      <c r="AA17" s="1574">
        <f t="shared" si="3"/>
        <v>1.0309278350515463</v>
      </c>
      <c r="AB17" s="1574">
        <f t="shared" si="4"/>
        <v>1.0309278350515463</v>
      </c>
      <c r="AC17" s="1574">
        <f t="shared" si="5"/>
        <v>1.0309278350515463</v>
      </c>
    </row>
    <row r="18" spans="1:29" ht="20.25">
      <c r="A18" s="530"/>
      <c r="B18" s="551"/>
      <c r="C18" s="552" t="s">
        <v>3040</v>
      </c>
      <c r="D18" s="555"/>
      <c r="E18" s="556" t="s">
        <v>3041</v>
      </c>
      <c r="F18" s="553"/>
      <c r="G18" s="554" t="s">
        <v>3041</v>
      </c>
      <c r="H18" s="557"/>
      <c r="I18" s="556" t="s">
        <v>3041</v>
      </c>
      <c r="J18" s="553"/>
      <c r="K18" s="529"/>
      <c r="L18" s="2139"/>
      <c r="M18" s="2129"/>
      <c r="N18" s="2129"/>
      <c r="O18" s="2138"/>
      <c r="P18" s="3290"/>
      <c r="Q18" s="1570"/>
      <c r="R18" s="1571"/>
      <c r="S18" s="1572"/>
      <c r="T18" s="1571"/>
      <c r="U18" s="1572"/>
      <c r="V18" s="1571"/>
      <c r="W18" s="1572"/>
      <c r="X18" s="1565"/>
      <c r="Y18" s="3290"/>
      <c r="Z18" s="1573"/>
      <c r="AA18" s="1574">
        <v>1</v>
      </c>
      <c r="AB18" s="1574">
        <v>1</v>
      </c>
      <c r="AC18" s="1574">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96</v>
      </c>
      <c r="G19" s="560"/>
      <c r="H19" s="563">
        <f>SUMIF(92:92,G20,93:93)-SUMIF(92:92,C20,93:93)+100</f>
        <v>96</v>
      </c>
      <c r="I19" s="562"/>
      <c r="J19" s="563">
        <f>SUMIF(92:92,I20,93:93)-SUMIF(92:92,C20,93:93)+100</f>
        <v>96</v>
      </c>
      <c r="K19" s="533">
        <v>2</v>
      </c>
      <c r="L19" s="2139"/>
      <c r="M19" s="2129"/>
      <c r="N19" s="2129"/>
      <c r="O19" s="2138"/>
      <c r="P19" s="3290"/>
      <c r="Q19" s="1570" t="str">
        <f>B19</f>
        <v>商业繁华度</v>
      </c>
      <c r="R19" s="1571" t="s">
        <v>8</v>
      </c>
      <c r="S19" s="1572">
        <f>F19</f>
        <v>96</v>
      </c>
      <c r="T19" s="1571" t="s">
        <v>8</v>
      </c>
      <c r="U19" s="1572">
        <f>H19</f>
        <v>96</v>
      </c>
      <c r="V19" s="1571" t="s">
        <v>8</v>
      </c>
      <c r="W19" s="1572">
        <f>J19</f>
        <v>96</v>
      </c>
      <c r="X19" s="1565"/>
      <c r="Y19" s="3290"/>
      <c r="Z19" s="1573" t="str">
        <f>Q19</f>
        <v>商业繁华度</v>
      </c>
      <c r="AA19" s="1574">
        <f t="shared" si="3"/>
        <v>1.0416666666666667</v>
      </c>
      <c r="AB19" s="1574">
        <f t="shared" si="4"/>
        <v>1.0416666666666667</v>
      </c>
      <c r="AC19" s="1574">
        <f t="shared" si="5"/>
        <v>1.0416666666666667</v>
      </c>
    </row>
    <row r="20" spans="1:29" ht="20.25">
      <c r="A20" s="530"/>
      <c r="B20" s="564"/>
      <c r="C20" s="565" t="s">
        <v>3040</v>
      </c>
      <c r="D20" s="561"/>
      <c r="E20" s="567" t="s">
        <v>3042</v>
      </c>
      <c r="F20" s="557"/>
      <c r="G20" s="566" t="s">
        <v>3042</v>
      </c>
      <c r="H20" s="553"/>
      <c r="I20" s="567" t="s">
        <v>3042</v>
      </c>
      <c r="J20" s="553"/>
      <c r="K20" s="529"/>
      <c r="L20" s="2139"/>
      <c r="M20" s="2129"/>
      <c r="N20" s="2129"/>
      <c r="O20" s="2138"/>
      <c r="P20" s="3290"/>
      <c r="Q20" s="1570"/>
      <c r="R20" s="1571"/>
      <c r="S20" s="1572"/>
      <c r="T20" s="1571"/>
      <c r="U20" s="1572"/>
      <c r="V20" s="1571"/>
      <c r="W20" s="1572"/>
      <c r="X20" s="1565"/>
      <c r="Y20" s="3290"/>
      <c r="Z20" s="1573"/>
      <c r="AA20" s="1574">
        <v>1</v>
      </c>
      <c r="AB20" s="1574">
        <v>1</v>
      </c>
      <c r="AC20" s="1574">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96</v>
      </c>
      <c r="G21" s="568"/>
      <c r="H21" s="557">
        <f>SUMIF(94:94,G22,95:95)-SUMIF(94:94,C22,95:95)+100</f>
        <v>96</v>
      </c>
      <c r="I21" s="570"/>
      <c r="J21" s="557">
        <f>SUMIF(94:94,I22,95:95)-SUMIF(94:94,C22,95:95)+100</f>
        <v>96</v>
      </c>
      <c r="K21" s="533">
        <v>2</v>
      </c>
      <c r="L21" s="2139"/>
      <c r="M21" s="2129"/>
      <c r="N21" s="2129"/>
      <c r="O21" s="2138"/>
      <c r="P21" s="3290"/>
      <c r="Q21" s="1570" t="str">
        <f>B21</f>
        <v>办公集聚程度</v>
      </c>
      <c r="R21" s="1571" t="s">
        <v>8</v>
      </c>
      <c r="S21" s="1572">
        <f>F21</f>
        <v>96</v>
      </c>
      <c r="T21" s="1571" t="s">
        <v>8</v>
      </c>
      <c r="U21" s="1572">
        <f>H21</f>
        <v>96</v>
      </c>
      <c r="V21" s="1571" t="s">
        <v>8</v>
      </c>
      <c r="W21" s="1572">
        <f>J21</f>
        <v>96</v>
      </c>
      <c r="X21" s="1565"/>
      <c r="Y21" s="3290"/>
      <c r="Z21" s="1573" t="str">
        <f>Q21</f>
        <v>办公集聚程度</v>
      </c>
      <c r="AA21" s="1574">
        <f t="shared" si="3"/>
        <v>1.0416666666666667</v>
      </c>
      <c r="AB21" s="1574">
        <f t="shared" si="4"/>
        <v>1.0416666666666667</v>
      </c>
      <c r="AC21" s="1574">
        <f t="shared" si="5"/>
        <v>1.0416666666666667</v>
      </c>
    </row>
    <row r="22" spans="1:29" ht="20.25">
      <c r="A22" s="530"/>
      <c r="B22" s="564"/>
      <c r="C22" s="552" t="s">
        <v>3040</v>
      </c>
      <c r="D22" s="555"/>
      <c r="E22" s="556" t="s">
        <v>3042</v>
      </c>
      <c r="F22" s="553"/>
      <c r="G22" s="554" t="s">
        <v>3042</v>
      </c>
      <c r="H22" s="553"/>
      <c r="I22" s="556" t="s">
        <v>3042</v>
      </c>
      <c r="J22" s="553"/>
      <c r="K22" s="529"/>
      <c r="L22" s="2139"/>
      <c r="M22" s="2129"/>
      <c r="N22" s="2129"/>
      <c r="O22" s="2138"/>
      <c r="P22" s="3290"/>
      <c r="Q22" s="1570"/>
      <c r="R22" s="1571"/>
      <c r="S22" s="1572"/>
      <c r="T22" s="1571"/>
      <c r="U22" s="1572"/>
      <c r="V22" s="1571"/>
      <c r="W22" s="1572"/>
      <c r="X22" s="1565"/>
      <c r="Y22" s="3290"/>
      <c r="Z22" s="1573"/>
      <c r="AA22" s="1574">
        <v>1</v>
      </c>
      <c r="AB22" s="1574">
        <v>1</v>
      </c>
      <c r="AC22" s="1574">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98</v>
      </c>
      <c r="G23" s="560"/>
      <c r="H23" s="557">
        <f>SUMIF(96:96,G24,97:97)-SUMIF(96:96,C24,97:97)+100</f>
        <v>98</v>
      </c>
      <c r="I23" s="562"/>
      <c r="J23" s="557">
        <f>SUMIF(96:96,I24,97:97)-SUMIF(96:96,C24,97:97)+100</f>
        <v>98</v>
      </c>
      <c r="K23" s="533">
        <v>2</v>
      </c>
      <c r="L23" s="2139"/>
      <c r="M23" s="2129"/>
      <c r="N23" s="2129"/>
      <c r="O23" s="2138"/>
      <c r="P23" s="3290"/>
      <c r="Q23" s="1570" t="str">
        <f>B23</f>
        <v>交通便捷度</v>
      </c>
      <c r="R23" s="1571" t="s">
        <v>8</v>
      </c>
      <c r="S23" s="1572">
        <f>F23</f>
        <v>98</v>
      </c>
      <c r="T23" s="1571" t="s">
        <v>8</v>
      </c>
      <c r="U23" s="1572">
        <f>H23</f>
        <v>98</v>
      </c>
      <c r="V23" s="1571" t="s">
        <v>8</v>
      </c>
      <c r="W23" s="1572">
        <f>J23</f>
        <v>98</v>
      </c>
      <c r="X23" s="1565"/>
      <c r="Y23" s="3290"/>
      <c r="Z23" s="1573" t="str">
        <f>Q23</f>
        <v>交通便捷度</v>
      </c>
      <c r="AA23" s="1574">
        <f t="shared" si="3"/>
        <v>1.0204081632653061</v>
      </c>
      <c r="AB23" s="1574">
        <f t="shared" si="4"/>
        <v>1.0204081632653061</v>
      </c>
      <c r="AC23" s="1574">
        <f t="shared" si="5"/>
        <v>1.0204081632653061</v>
      </c>
    </row>
    <row r="24" spans="1:29" ht="20.25">
      <c r="A24" s="530"/>
      <c r="B24" s="576"/>
      <c r="C24" s="552" t="s">
        <v>3040</v>
      </c>
      <c r="D24" s="555"/>
      <c r="E24" s="556" t="s">
        <v>3041</v>
      </c>
      <c r="F24" s="553"/>
      <c r="G24" s="554" t="s">
        <v>3041</v>
      </c>
      <c r="H24" s="553"/>
      <c r="I24" s="556" t="s">
        <v>3041</v>
      </c>
      <c r="J24" s="553"/>
      <c r="K24" s="529"/>
      <c r="L24" s="2139"/>
      <c r="M24" s="2129"/>
      <c r="N24" s="2129"/>
      <c r="O24" s="2138"/>
      <c r="P24" s="3290"/>
      <c r="Q24" s="1570"/>
      <c r="R24" s="1571"/>
      <c r="S24" s="1572"/>
      <c r="T24" s="1571"/>
      <c r="U24" s="1572"/>
      <c r="V24" s="1571"/>
      <c r="W24" s="1572"/>
      <c r="X24" s="1565"/>
      <c r="Y24" s="3290"/>
      <c r="Z24" s="1573"/>
      <c r="AA24" s="1574">
        <v>1</v>
      </c>
      <c r="AB24" s="1574">
        <v>1</v>
      </c>
      <c r="AC24" s="1574">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290"/>
      <c r="Q25" s="1570" t="str">
        <f t="shared" ref="Q25:Q39" si="8">B25</f>
        <v>区域土地利用方向</v>
      </c>
      <c r="R25" s="1571" t="s">
        <v>8</v>
      </c>
      <c r="S25" s="1572">
        <f>F25</f>
        <v>100</v>
      </c>
      <c r="T25" s="1571" t="s">
        <v>8</v>
      </c>
      <c r="U25" s="1572">
        <f>H25</f>
        <v>100</v>
      </c>
      <c r="V25" s="1571" t="s">
        <v>8</v>
      </c>
      <c r="W25" s="1572">
        <f>J25</f>
        <v>100</v>
      </c>
      <c r="X25" s="1565"/>
      <c r="Y25" s="3290"/>
      <c r="Z25" s="1573" t="str">
        <f>Q25</f>
        <v>区域土地利用方向</v>
      </c>
      <c r="AA25" s="1574">
        <f t="shared" si="3"/>
        <v>1</v>
      </c>
      <c r="AB25" s="1574">
        <f t="shared" si="4"/>
        <v>1</v>
      </c>
      <c r="AC25" s="1574">
        <f t="shared" si="5"/>
        <v>1</v>
      </c>
    </row>
    <row r="26" spans="1:29" ht="20.25">
      <c r="A26" s="513"/>
      <c r="B26" s="1005"/>
      <c r="C26" s="552" t="s">
        <v>3041</v>
      </c>
      <c r="D26" s="555"/>
      <c r="E26" s="556" t="s">
        <v>3041</v>
      </c>
      <c r="F26" s="553"/>
      <c r="G26" s="554" t="s">
        <v>3041</v>
      </c>
      <c r="H26" s="553"/>
      <c r="I26" s="556" t="s">
        <v>3041</v>
      </c>
      <c r="J26" s="553"/>
      <c r="K26" s="529"/>
      <c r="L26" s="2139"/>
      <c r="M26" s="2129"/>
      <c r="N26" s="2129"/>
      <c r="O26" s="2138"/>
      <c r="P26" s="3290"/>
      <c r="Q26" s="1570"/>
      <c r="R26" s="1571"/>
      <c r="S26" s="1572"/>
      <c r="T26" s="1571"/>
      <c r="U26" s="1572"/>
      <c r="V26" s="1571"/>
      <c r="W26" s="1572"/>
      <c r="X26" s="1565"/>
      <c r="Y26" s="3290"/>
      <c r="Z26" s="1573"/>
      <c r="AA26" s="1574"/>
      <c r="AB26" s="1574"/>
      <c r="AC26" s="1574"/>
    </row>
    <row r="27" spans="1:29" ht="57">
      <c r="A27" s="513"/>
      <c r="B27" s="576" t="s">
        <v>546</v>
      </c>
      <c r="C27" s="559" t="str">
        <f>估价对象房地状况!C20</f>
        <v>区域自然环境：；人文环境；综合评价环境状况一般</v>
      </c>
      <c r="D27" s="561">
        <v>100</v>
      </c>
      <c r="E27" s="562"/>
      <c r="F27" s="557">
        <f>SUMIF(100:100,E28,101:101)-SUMIF(100:100,C28,101:101)+100</f>
        <v>97</v>
      </c>
      <c r="G27" s="560"/>
      <c r="H27" s="557">
        <f>SUMIF(100:100,G28,101:101)-SUMIF(100:100,C28,101:101)+100</f>
        <v>97</v>
      </c>
      <c r="I27" s="562"/>
      <c r="J27" s="557">
        <f>SUMIF(100:100,I28,101:101)-SUMIF(100:100,C28,101:101)+100</f>
        <v>97</v>
      </c>
      <c r="K27" s="533">
        <v>3</v>
      </c>
      <c r="L27" s="2139"/>
      <c r="M27" s="2129"/>
      <c r="N27" s="2129"/>
      <c r="O27" s="2138"/>
      <c r="P27" s="3290"/>
      <c r="Q27" s="1570" t="str">
        <f t="shared" si="8"/>
        <v>自然及人文环境状况</v>
      </c>
      <c r="R27" s="1571" t="s">
        <v>8</v>
      </c>
      <c r="S27" s="1572">
        <f>F27</f>
        <v>97</v>
      </c>
      <c r="T27" s="1571" t="s">
        <v>8</v>
      </c>
      <c r="U27" s="1572">
        <f>H27</f>
        <v>97</v>
      </c>
      <c r="V27" s="1571" t="s">
        <v>8</v>
      </c>
      <c r="W27" s="1572">
        <f>J27</f>
        <v>97</v>
      </c>
      <c r="X27" s="1565"/>
      <c r="Y27" s="3290"/>
      <c r="Z27" s="1573" t="str">
        <f>Q27</f>
        <v>自然及人文环境状况</v>
      </c>
      <c r="AA27" s="1574">
        <f t="shared" si="3"/>
        <v>1.0309278350515463</v>
      </c>
      <c r="AB27" s="1574">
        <f t="shared" si="4"/>
        <v>1.0309278350515463</v>
      </c>
      <c r="AC27" s="1574">
        <f t="shared" si="5"/>
        <v>1.0309278350515463</v>
      </c>
    </row>
    <row r="28" spans="1:29" ht="20.25">
      <c r="A28" s="513"/>
      <c r="B28" s="564"/>
      <c r="C28" s="552" t="s">
        <v>3040</v>
      </c>
      <c r="D28" s="555"/>
      <c r="E28" s="574" t="s">
        <v>3041</v>
      </c>
      <c r="F28" s="553"/>
      <c r="G28" s="552" t="s">
        <v>3041</v>
      </c>
      <c r="H28" s="553"/>
      <c r="I28" s="574" t="s">
        <v>3041</v>
      </c>
      <c r="J28" s="553"/>
      <c r="K28" s="529"/>
      <c r="L28" s="2139"/>
      <c r="M28" s="2129"/>
      <c r="N28" s="2129"/>
      <c r="O28" s="2138"/>
      <c r="P28" s="3290"/>
      <c r="Q28" s="1570"/>
      <c r="R28" s="1571"/>
      <c r="S28" s="1572"/>
      <c r="T28" s="1571"/>
      <c r="U28" s="1572"/>
      <c r="V28" s="1571"/>
      <c r="W28" s="1572"/>
      <c r="X28" s="1565"/>
      <c r="Y28" s="3290"/>
      <c r="Z28" s="1573"/>
      <c r="AA28" s="1574">
        <v>1</v>
      </c>
      <c r="AB28" s="1574">
        <v>1</v>
      </c>
      <c r="AC28" s="1574">
        <v>1</v>
      </c>
    </row>
    <row r="29" spans="1:29" s="1218" customFormat="1" ht="42.75">
      <c r="A29" s="575"/>
      <c r="B29" s="2609" t="s">
        <v>2551</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32"/>
      <c r="M29" s="2129"/>
      <c r="N29" s="2129"/>
      <c r="O29" s="2134"/>
      <c r="P29" s="3290"/>
      <c r="Q29" s="1149" t="str">
        <f t="shared" si="8"/>
        <v>公共配套设施</v>
      </c>
      <c r="R29" s="1566" t="s">
        <v>8</v>
      </c>
      <c r="S29" s="1567">
        <f>F29</f>
        <v>98</v>
      </c>
      <c r="T29" s="1566" t="s">
        <v>8</v>
      </c>
      <c r="U29" s="1567">
        <f>H29</f>
        <v>98</v>
      </c>
      <c r="V29" s="1566" t="s">
        <v>8</v>
      </c>
      <c r="W29" s="1567">
        <f>J29</f>
        <v>98</v>
      </c>
      <c r="X29" s="1568"/>
      <c r="Y29" s="3290"/>
      <c r="Z29" s="1148" t="str">
        <f>Q29</f>
        <v>公共配套设施</v>
      </c>
      <c r="AA29" s="1574">
        <f>D29/F29</f>
        <v>1.0204081632653061</v>
      </c>
      <c r="AB29" s="1574">
        <f>D29/H29</f>
        <v>1.0204081632653061</v>
      </c>
      <c r="AC29" s="1574">
        <f>D29/J29</f>
        <v>1.0204081632653061</v>
      </c>
    </row>
    <row r="30" spans="1:29" s="1218" customFormat="1" ht="20.25">
      <c r="A30" s="575"/>
      <c r="B30" s="564"/>
      <c r="C30" s="577" t="s">
        <v>3040</v>
      </c>
      <c r="D30" s="555"/>
      <c r="E30" s="574" t="s">
        <v>3041</v>
      </c>
      <c r="F30" s="553"/>
      <c r="G30" s="552" t="s">
        <v>3041</v>
      </c>
      <c r="H30" s="553"/>
      <c r="I30" s="574" t="s">
        <v>3041</v>
      </c>
      <c r="J30" s="553"/>
      <c r="K30" s="529"/>
      <c r="L30" s="2132"/>
      <c r="M30" s="2129"/>
      <c r="N30" s="2129"/>
      <c r="O30" s="2134"/>
      <c r="P30" s="3290"/>
      <c r="Q30" s="1149"/>
      <c r="R30" s="1566"/>
      <c r="S30" s="1567"/>
      <c r="T30" s="1566"/>
      <c r="U30" s="1567"/>
      <c r="V30" s="1566"/>
      <c r="W30" s="1567"/>
      <c r="X30" s="1568"/>
      <c r="Y30" s="3290"/>
      <c r="Z30" s="1148"/>
      <c r="AA30" s="1574">
        <v>1</v>
      </c>
      <c r="AB30" s="1574">
        <v>1</v>
      </c>
      <c r="AC30" s="1574">
        <v>1</v>
      </c>
    </row>
    <row r="31" spans="1:29" s="1218" customFormat="1" ht="28.5">
      <c r="A31" s="575"/>
      <c r="B31" s="2609" t="s">
        <v>2552</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290"/>
      <c r="Q31" s="2596" t="str">
        <f t="shared" ref="Q31" si="9">B31</f>
        <v>基础设施水平</v>
      </c>
      <c r="R31" s="1566" t="s">
        <v>8</v>
      </c>
      <c r="S31" s="1567">
        <f>F31</f>
        <v>100</v>
      </c>
      <c r="T31" s="1566" t="s">
        <v>8</v>
      </c>
      <c r="U31" s="1567">
        <f>H31</f>
        <v>100</v>
      </c>
      <c r="V31" s="1566" t="s">
        <v>8</v>
      </c>
      <c r="W31" s="1567">
        <f>J31</f>
        <v>100</v>
      </c>
      <c r="X31" s="1568"/>
      <c r="Y31" s="3290"/>
      <c r="Z31" s="2593" t="str">
        <f>Q31</f>
        <v>基础设施水平</v>
      </c>
      <c r="AA31" s="1574">
        <f>D31/F31</f>
        <v>1</v>
      </c>
      <c r="AB31" s="1574">
        <f>D31/H31</f>
        <v>1</v>
      </c>
      <c r="AC31" s="1574">
        <f>D31/J31</f>
        <v>1</v>
      </c>
    </row>
    <row r="32" spans="1:29" s="1218" customFormat="1" ht="20.25">
      <c r="A32" s="575"/>
      <c r="B32" s="564"/>
      <c r="C32" s="577" t="s">
        <v>3043</v>
      </c>
      <c r="D32" s="555"/>
      <c r="E32" s="2610" t="s">
        <v>3043</v>
      </c>
      <c r="F32" s="553"/>
      <c r="G32" s="577" t="s">
        <v>3043</v>
      </c>
      <c r="H32" s="553"/>
      <c r="I32" s="577" t="s">
        <v>3043</v>
      </c>
      <c r="J32" s="553"/>
      <c r="K32" s="529"/>
      <c r="L32" s="2132"/>
      <c r="M32" s="2129"/>
      <c r="N32" s="2129"/>
      <c r="O32" s="2134"/>
      <c r="P32" s="3290"/>
      <c r="Q32" s="2596"/>
      <c r="R32" s="1566"/>
      <c r="S32" s="1567"/>
      <c r="T32" s="1566"/>
      <c r="U32" s="1567"/>
      <c r="V32" s="1566"/>
      <c r="W32" s="1567"/>
      <c r="X32" s="1568"/>
      <c r="Y32" s="3290"/>
      <c r="Z32" s="2593"/>
      <c r="AA32" s="1574">
        <v>1</v>
      </c>
      <c r="AB32" s="1574">
        <v>1</v>
      </c>
      <c r="AC32" s="1574">
        <v>1</v>
      </c>
    </row>
    <row r="33" spans="1:29" ht="20.25" hidden="1">
      <c r="A33" s="530"/>
      <c r="B33" s="564" t="s">
        <v>548</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290"/>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290"/>
      <c r="Z33" s="1573" t="str">
        <f t="shared" ref="Z33:Z47" si="13">Q33</f>
        <v>临街状况</v>
      </c>
      <c r="AA33" s="1574">
        <f t="shared" si="3"/>
        <v>1</v>
      </c>
      <c r="AB33" s="1574">
        <f t="shared" si="4"/>
        <v>1</v>
      </c>
      <c r="AC33" s="1574">
        <f t="shared" si="5"/>
        <v>1</v>
      </c>
    </row>
    <row r="34" spans="1:29" ht="27">
      <c r="A34" s="530"/>
      <c r="B34" s="576" t="s">
        <v>549</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1</v>
      </c>
      <c r="L34" s="2139"/>
      <c r="M34" s="2129"/>
      <c r="N34" s="2129"/>
      <c r="O34" s="2138"/>
      <c r="P34" s="3290"/>
      <c r="Q34" s="1570" t="str">
        <f t="shared" si="8"/>
        <v>毗邻道路的类型与等级</v>
      </c>
      <c r="R34" s="1571" t="s">
        <v>8</v>
      </c>
      <c r="S34" s="1572">
        <f t="shared" si="10"/>
        <v>98</v>
      </c>
      <c r="T34" s="1571" t="s">
        <v>8</v>
      </c>
      <c r="U34" s="1572">
        <f t="shared" si="11"/>
        <v>98</v>
      </c>
      <c r="V34" s="1571" t="s">
        <v>8</v>
      </c>
      <c r="W34" s="1572">
        <f t="shared" si="12"/>
        <v>98</v>
      </c>
      <c r="X34" s="1565"/>
      <c r="Y34" s="3290"/>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3049</v>
      </c>
      <c r="D35" s="555"/>
      <c r="E35" s="574" t="s">
        <v>3050</v>
      </c>
      <c r="F35" s="553"/>
      <c r="G35" s="552" t="s">
        <v>3050</v>
      </c>
      <c r="H35" s="553"/>
      <c r="I35" s="574" t="s">
        <v>3050</v>
      </c>
      <c r="J35" s="553"/>
      <c r="K35" s="579"/>
      <c r="L35" s="2139"/>
      <c r="M35" s="2129"/>
      <c r="N35" s="2129"/>
      <c r="O35" s="2138"/>
      <c r="P35" s="3290"/>
      <c r="Q35" s="1570"/>
      <c r="R35" s="1571"/>
      <c r="S35" s="1572"/>
      <c r="T35" s="1571"/>
      <c r="U35" s="1572"/>
      <c r="V35" s="1571"/>
      <c r="W35" s="1572"/>
      <c r="X35" s="1565"/>
      <c r="Y35" s="3290"/>
      <c r="Z35" s="1573"/>
      <c r="AA35" s="1574">
        <v>1</v>
      </c>
      <c r="AB35" s="1574">
        <v>1</v>
      </c>
      <c r="AC35" s="1574">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290"/>
      <c r="Q36" s="1570" t="str">
        <f t="shared" si="8"/>
        <v>土地级别</v>
      </c>
      <c r="R36" s="1571" t="s">
        <v>8</v>
      </c>
      <c r="S36" s="1572">
        <f t="shared" si="10"/>
        <v>100</v>
      </c>
      <c r="T36" s="1571" t="s">
        <v>8</v>
      </c>
      <c r="U36" s="1572">
        <f t="shared" si="11"/>
        <v>100</v>
      </c>
      <c r="V36" s="1571" t="s">
        <v>8</v>
      </c>
      <c r="W36" s="1572">
        <f t="shared" si="12"/>
        <v>100</v>
      </c>
      <c r="X36" s="1565"/>
      <c r="Y36" s="3290"/>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290"/>
      <c r="Q37" s="1570">
        <f t="shared" si="8"/>
        <v>111</v>
      </c>
      <c r="R37" s="1571" t="s">
        <v>8</v>
      </c>
      <c r="S37" s="1572">
        <f t="shared" si="10"/>
        <v>100</v>
      </c>
      <c r="T37" s="1571" t="s">
        <v>8</v>
      </c>
      <c r="U37" s="1572">
        <f t="shared" si="11"/>
        <v>100</v>
      </c>
      <c r="V37" s="1571" t="s">
        <v>8</v>
      </c>
      <c r="W37" s="1572">
        <f t="shared" si="12"/>
        <v>100</v>
      </c>
      <c r="X37" s="1565"/>
      <c r="Y37" s="3290"/>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291" t="s">
        <v>551</v>
      </c>
      <c r="Q38" s="1570">
        <f t="shared" si="8"/>
        <v>111</v>
      </c>
      <c r="R38" s="1571" t="s">
        <v>8</v>
      </c>
      <c r="S38" s="1572">
        <f t="shared" si="10"/>
        <v>100</v>
      </c>
      <c r="T38" s="1571" t="s">
        <v>8</v>
      </c>
      <c r="U38" s="1572">
        <f t="shared" si="11"/>
        <v>100</v>
      </c>
      <c r="V38" s="1571" t="s">
        <v>8</v>
      </c>
      <c r="W38" s="1572">
        <f t="shared" si="12"/>
        <v>100</v>
      </c>
      <c r="X38" s="1565"/>
      <c r="Y38" s="3292" t="s">
        <v>551</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292"/>
      <c r="Q39" s="1570">
        <f t="shared" si="8"/>
        <v>111</v>
      </c>
      <c r="R39" s="1575" t="s">
        <v>8</v>
      </c>
      <c r="S39" s="1576">
        <f t="shared" si="10"/>
        <v>100</v>
      </c>
      <c r="T39" s="1575" t="s">
        <v>8</v>
      </c>
      <c r="U39" s="1576">
        <f t="shared" si="11"/>
        <v>100</v>
      </c>
      <c r="V39" s="1575" t="s">
        <v>8</v>
      </c>
      <c r="W39" s="1576">
        <f t="shared" si="12"/>
        <v>100</v>
      </c>
      <c r="X39" s="1577"/>
      <c r="Y39" s="3292"/>
      <c r="Z39" s="1578">
        <f t="shared" si="13"/>
        <v>111</v>
      </c>
      <c r="AA39" s="1574">
        <f t="shared" si="3"/>
        <v>1</v>
      </c>
      <c r="AB39" s="1574">
        <f t="shared" si="4"/>
        <v>1</v>
      </c>
      <c r="AC39" s="1574">
        <f t="shared" si="5"/>
        <v>1</v>
      </c>
    </row>
    <row r="40" spans="1:29" ht="20.25">
      <c r="A40" s="2870" t="s">
        <v>2760</v>
      </c>
      <c r="B40" s="593" t="s">
        <v>553</v>
      </c>
      <c r="C40" s="594">
        <f>145055.12+26441.81</f>
        <v>171496.93</v>
      </c>
      <c r="D40" s="595">
        <v>100</v>
      </c>
      <c r="E40" s="594">
        <v>37837</v>
      </c>
      <c r="F40" s="595">
        <f>LOOKUP(E40,119:119,120:120)-LOOKUP(C40,119:119,120:120)+100</f>
        <v>97</v>
      </c>
      <c r="G40" s="594">
        <v>26037</v>
      </c>
      <c r="H40" s="595">
        <f>LOOKUP(G40,119:119,120:120)-LOOKUP(C40,119:119,120:120)+100</f>
        <v>97</v>
      </c>
      <c r="I40" s="596">
        <v>36576</v>
      </c>
      <c r="J40" s="595">
        <f>LOOKUP(I40,119:119,120:120)-LOOKUP(C40,119:119,120:120)+100</f>
        <v>97</v>
      </c>
      <c r="K40" s="579"/>
      <c r="L40" s="2139"/>
      <c r="M40" s="2129"/>
      <c r="N40" s="2129"/>
      <c r="O40" s="2138"/>
      <c r="P40" s="3292"/>
      <c r="Q40" s="1570" t="str">
        <f>B40</f>
        <v>宗地面积</v>
      </c>
      <c r="R40" s="1571" t="s">
        <v>8</v>
      </c>
      <c r="S40" s="1572">
        <f t="shared" si="10"/>
        <v>97</v>
      </c>
      <c r="T40" s="1571" t="s">
        <v>8</v>
      </c>
      <c r="U40" s="1572">
        <f t="shared" si="11"/>
        <v>97</v>
      </c>
      <c r="V40" s="1571" t="s">
        <v>8</v>
      </c>
      <c r="W40" s="1572">
        <f t="shared" si="12"/>
        <v>97</v>
      </c>
      <c r="X40" s="1565"/>
      <c r="Y40" s="3292"/>
      <c r="Z40" s="1573" t="str">
        <f t="shared" si="13"/>
        <v>宗地面积</v>
      </c>
      <c r="AA40" s="1574">
        <f t="shared" si="3"/>
        <v>1.0309278350515463</v>
      </c>
      <c r="AB40" s="1574">
        <f t="shared" si="4"/>
        <v>1.0309278350515463</v>
      </c>
      <c r="AC40" s="1574">
        <f t="shared" si="5"/>
        <v>1.0309278350515463</v>
      </c>
    </row>
    <row r="41" spans="1:29" ht="20.25">
      <c r="A41" s="592"/>
      <c r="B41" s="525" t="s">
        <v>554</v>
      </c>
      <c r="C41" s="597" t="s">
        <v>3067</v>
      </c>
      <c r="D41" s="538">
        <v>100</v>
      </c>
      <c r="E41" s="597" t="s">
        <v>3067</v>
      </c>
      <c r="F41" s="538">
        <f>SUMIF(121:121,E41,122:122)-SUMIF(121:121,C41,122:122)+100</f>
        <v>100</v>
      </c>
      <c r="G41" s="597" t="s">
        <v>3067</v>
      </c>
      <c r="H41" s="538">
        <f>SUMIF(121:121,G41,122:122)-SUMIF(121:121,C41,122:122)+100</f>
        <v>100</v>
      </c>
      <c r="I41" s="597" t="s">
        <v>3067</v>
      </c>
      <c r="J41" s="538">
        <f>SUMIF(121:121,I41,122:122)-SUMIF(121:121,C41,122:122)+100</f>
        <v>100</v>
      </c>
      <c r="K41" s="582">
        <v>2</v>
      </c>
      <c r="L41" s="2139"/>
      <c r="M41" s="2129"/>
      <c r="N41" s="2129"/>
      <c r="O41" s="2138"/>
      <c r="P41" s="3292"/>
      <c r="Q41" s="1570" t="str">
        <f t="shared" ref="Q41:Q47" si="14">B41</f>
        <v>宗地形状</v>
      </c>
      <c r="R41" s="1571" t="s">
        <v>8</v>
      </c>
      <c r="S41" s="1572">
        <f t="shared" si="10"/>
        <v>100</v>
      </c>
      <c r="T41" s="1571" t="s">
        <v>8</v>
      </c>
      <c r="U41" s="1572">
        <f t="shared" si="11"/>
        <v>100</v>
      </c>
      <c r="V41" s="1571" t="s">
        <v>8</v>
      </c>
      <c r="W41" s="1572">
        <f t="shared" si="12"/>
        <v>100</v>
      </c>
      <c r="X41" s="1565"/>
      <c r="Y41" s="3292"/>
      <c r="Z41" s="1573" t="str">
        <f t="shared" si="13"/>
        <v>宗地形状</v>
      </c>
      <c r="AA41" s="1574">
        <f t="shared" si="3"/>
        <v>1</v>
      </c>
      <c r="AB41" s="1574">
        <f t="shared" si="4"/>
        <v>1</v>
      </c>
      <c r="AC41" s="1574">
        <f t="shared" si="5"/>
        <v>1</v>
      </c>
    </row>
    <row r="42" spans="1:29" ht="20.25">
      <c r="A42" s="592"/>
      <c r="B42" s="525" t="s">
        <v>555</v>
      </c>
      <c r="C42" s="597" t="s">
        <v>3068</v>
      </c>
      <c r="D42" s="538">
        <v>100</v>
      </c>
      <c r="E42" s="597" t="s">
        <v>3068</v>
      </c>
      <c r="F42" s="538">
        <f>SUMIF(123:123,E42,124:124)-SUMIF(123:123,C42,124:124)+100</f>
        <v>100</v>
      </c>
      <c r="G42" s="597" t="s">
        <v>3068</v>
      </c>
      <c r="H42" s="538">
        <f>SUMIF(123:123,G42,124:124)-SUMIF(123:123,C42,124:124)+100</f>
        <v>100</v>
      </c>
      <c r="I42" s="597" t="s">
        <v>3068</v>
      </c>
      <c r="J42" s="538">
        <f>SUMIF(123:123,I42,124:124)-SUMIF(123:123,C42,124:124)+100</f>
        <v>100</v>
      </c>
      <c r="K42" s="582">
        <v>2</v>
      </c>
      <c r="L42" s="2139"/>
      <c r="M42" s="2129"/>
      <c r="N42" s="2129"/>
      <c r="O42" s="2138"/>
      <c r="P42" s="3292"/>
      <c r="Q42" s="1570" t="str">
        <f t="shared" si="14"/>
        <v>临街宽度及深度</v>
      </c>
      <c r="R42" s="1571" t="s">
        <v>8</v>
      </c>
      <c r="S42" s="1572">
        <f t="shared" si="10"/>
        <v>100</v>
      </c>
      <c r="T42" s="1571" t="s">
        <v>8</v>
      </c>
      <c r="U42" s="1572">
        <f t="shared" si="11"/>
        <v>100</v>
      </c>
      <c r="V42" s="1571" t="s">
        <v>8</v>
      </c>
      <c r="W42" s="1572">
        <f t="shared" si="12"/>
        <v>100</v>
      </c>
      <c r="X42" s="1565"/>
      <c r="Y42" s="3292"/>
      <c r="Z42" s="1573" t="str">
        <f t="shared" si="13"/>
        <v>临街宽度及深度</v>
      </c>
      <c r="AA42" s="1574">
        <f t="shared" si="3"/>
        <v>1</v>
      </c>
      <c r="AB42" s="1574">
        <f t="shared" si="4"/>
        <v>1</v>
      </c>
      <c r="AC42" s="1574">
        <f t="shared" si="5"/>
        <v>1</v>
      </c>
    </row>
    <row r="43" spans="1:29" s="1218" customFormat="1" ht="20.25">
      <c r="A43" s="598"/>
      <c r="B43" s="1892" t="s">
        <v>2425</v>
      </c>
      <c r="C43" s="599" t="s">
        <v>3043</v>
      </c>
      <c r="D43" s="255">
        <v>100</v>
      </c>
      <c r="E43" s="599" t="s">
        <v>3069</v>
      </c>
      <c r="F43" s="538">
        <f>SUMIF(125:125,E43,126:126)-SUMIF(125:125,C43,126:126)+100</f>
        <v>101</v>
      </c>
      <c r="G43" s="599" t="s">
        <v>3069</v>
      </c>
      <c r="H43" s="538">
        <f>SUMIF(125:125,G43,126:126)-SUMIF(125:125,C43,126:126)+100</f>
        <v>101</v>
      </c>
      <c r="I43" s="599" t="s">
        <v>3069</v>
      </c>
      <c r="J43" s="538">
        <f>SUMIF(125:125,I43,126:126)-SUMIF(125:125,C43,126:126)+100</f>
        <v>101</v>
      </c>
      <c r="K43" s="582">
        <v>1</v>
      </c>
      <c r="L43" s="2132"/>
      <c r="M43" s="2129"/>
      <c r="N43" s="2129"/>
      <c r="O43" s="2134"/>
      <c r="P43" s="3292"/>
      <c r="Q43" s="1570" t="str">
        <f t="shared" si="14"/>
        <v>宗地开发程度</v>
      </c>
      <c r="R43" s="1566" t="s">
        <v>8</v>
      </c>
      <c r="S43" s="1567">
        <f t="shared" si="10"/>
        <v>101</v>
      </c>
      <c r="T43" s="1566" t="s">
        <v>8</v>
      </c>
      <c r="U43" s="1567">
        <f t="shared" si="11"/>
        <v>101</v>
      </c>
      <c r="V43" s="1566" t="s">
        <v>8</v>
      </c>
      <c r="W43" s="1567">
        <f t="shared" si="12"/>
        <v>101</v>
      </c>
      <c r="X43" s="1568"/>
      <c r="Y43" s="3292"/>
      <c r="Z43" s="1148" t="str">
        <f t="shared" si="13"/>
        <v>宗地开发程度</v>
      </c>
      <c r="AA43" s="1569">
        <f t="shared" si="3"/>
        <v>0.99009900990099009</v>
      </c>
      <c r="AB43" s="1569">
        <f t="shared" si="4"/>
        <v>0.99009900990099009</v>
      </c>
      <c r="AC43" s="1569">
        <f t="shared" si="5"/>
        <v>0.99009900990099009</v>
      </c>
    </row>
    <row r="44" spans="1:29" ht="21" thickBot="1">
      <c r="A44" s="592"/>
      <c r="B44" s="525" t="s">
        <v>556</v>
      </c>
      <c r="C44" s="597" t="s">
        <v>3041</v>
      </c>
      <c r="D44" s="538">
        <v>100</v>
      </c>
      <c r="E44" s="597" t="s">
        <v>3041</v>
      </c>
      <c r="F44" s="538">
        <f>SUMIF(127:127,E44,128:128)-SUMIF(127:127,C44,128:128)+100</f>
        <v>100</v>
      </c>
      <c r="G44" s="597" t="s">
        <v>3041</v>
      </c>
      <c r="H44" s="538">
        <f>SUMIF(127:127,G44,128:128)-SUMIF(127:127,C44,128:128)+100</f>
        <v>100</v>
      </c>
      <c r="I44" s="597" t="s">
        <v>3041</v>
      </c>
      <c r="J44" s="538">
        <f>SUMIF(127:127,I44,128:128)-SUMIF(127:127,C44,128:128)+100</f>
        <v>100</v>
      </c>
      <c r="K44" s="582"/>
      <c r="L44" s="2139"/>
      <c r="M44" s="2129"/>
      <c r="N44" s="2129"/>
      <c r="O44" s="2138"/>
      <c r="P44" s="3292" t="s">
        <v>551</v>
      </c>
      <c r="Q44" s="1570" t="str">
        <f t="shared" si="14"/>
        <v>工程地质条件</v>
      </c>
      <c r="R44" s="1571" t="s">
        <v>8</v>
      </c>
      <c r="S44" s="1572">
        <f t="shared" si="10"/>
        <v>100</v>
      </c>
      <c r="T44" s="1571" t="s">
        <v>8</v>
      </c>
      <c r="U44" s="1572">
        <f t="shared" si="11"/>
        <v>100</v>
      </c>
      <c r="V44" s="1571" t="s">
        <v>8</v>
      </c>
      <c r="W44" s="1572">
        <f t="shared" si="12"/>
        <v>100</v>
      </c>
      <c r="X44" s="1565"/>
      <c r="Y44" s="3292" t="s">
        <v>551</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292"/>
      <c r="Q45" s="1570">
        <f t="shared" si="14"/>
        <v>111</v>
      </c>
      <c r="R45" s="1571" t="s">
        <v>8</v>
      </c>
      <c r="S45" s="1572">
        <f t="shared" si="10"/>
        <v>100</v>
      </c>
      <c r="T45" s="1571" t="s">
        <v>8</v>
      </c>
      <c r="U45" s="1572">
        <f t="shared" si="11"/>
        <v>100</v>
      </c>
      <c r="V45" s="1571" t="s">
        <v>8</v>
      </c>
      <c r="W45" s="1572">
        <f t="shared" si="12"/>
        <v>100</v>
      </c>
      <c r="X45" s="1565"/>
      <c r="Y45" s="3292"/>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292"/>
      <c r="Q46" s="1570">
        <f t="shared" si="14"/>
        <v>111</v>
      </c>
      <c r="R46" s="1571" t="s">
        <v>8</v>
      </c>
      <c r="S46" s="1572">
        <f t="shared" si="10"/>
        <v>100</v>
      </c>
      <c r="T46" s="1571" t="s">
        <v>8</v>
      </c>
      <c r="U46" s="1572">
        <f t="shared" si="11"/>
        <v>100</v>
      </c>
      <c r="V46" s="1571" t="s">
        <v>8</v>
      </c>
      <c r="W46" s="1572">
        <f t="shared" si="12"/>
        <v>100</v>
      </c>
      <c r="X46" s="1565"/>
      <c r="Y46" s="3292"/>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292"/>
      <c r="Q47" s="1570">
        <f t="shared" si="14"/>
        <v>111</v>
      </c>
      <c r="R47" s="1575" t="s">
        <v>8</v>
      </c>
      <c r="S47" s="1576">
        <f t="shared" si="10"/>
        <v>100</v>
      </c>
      <c r="T47" s="1575" t="s">
        <v>8</v>
      </c>
      <c r="U47" s="1576">
        <f t="shared" si="11"/>
        <v>100</v>
      </c>
      <c r="V47" s="1575" t="s">
        <v>8</v>
      </c>
      <c r="W47" s="1576">
        <f t="shared" si="12"/>
        <v>100</v>
      </c>
      <c r="X47" s="1577"/>
      <c r="Y47" s="3292"/>
      <c r="Z47" s="1578">
        <f t="shared" si="13"/>
        <v>111</v>
      </c>
      <c r="AA47" s="1574">
        <f t="shared" si="3"/>
        <v>1</v>
      </c>
      <c r="AB47" s="1574">
        <f t="shared" si="4"/>
        <v>1</v>
      </c>
      <c r="AC47" s="1574">
        <f t="shared" si="5"/>
        <v>1</v>
      </c>
    </row>
    <row r="48" spans="1:29" ht="20.25">
      <c r="A48" s="605" t="s">
        <v>557</v>
      </c>
      <c r="B48" s="606" t="s">
        <v>3051</v>
      </c>
      <c r="C48" s="607" t="s">
        <v>1</v>
      </c>
      <c r="D48" s="608"/>
      <c r="E48" s="609">
        <v>4108</v>
      </c>
      <c r="F48" s="610"/>
      <c r="G48" s="611">
        <v>4104</v>
      </c>
      <c r="H48" s="612"/>
      <c r="I48" s="609">
        <v>4037</v>
      </c>
      <c r="J48" s="612"/>
      <c r="K48" s="1338"/>
      <c r="L48" s="2141"/>
      <c r="M48" s="2129"/>
      <c r="N48" s="2129"/>
      <c r="O48" s="2142"/>
      <c r="P48" s="3287" t="str">
        <f>A48</f>
        <v>成交单价</v>
      </c>
      <c r="Q48" s="3287"/>
      <c r="R48" s="3301">
        <f>E48</f>
        <v>4108</v>
      </c>
      <c r="S48" s="3301"/>
      <c r="T48" s="3301">
        <f>G48</f>
        <v>4104</v>
      </c>
      <c r="U48" s="3301"/>
      <c r="V48" s="3301">
        <f>I48</f>
        <v>4037</v>
      </c>
      <c r="W48" s="3301"/>
      <c r="X48" s="1557"/>
      <c r="Y48" s="1579"/>
      <c r="Z48" s="1557"/>
      <c r="AA48" s="1557"/>
      <c r="AB48" s="1557"/>
      <c r="AC48" s="1557"/>
    </row>
    <row r="49" spans="1:29" ht="21" thickBot="1">
      <c r="A49" s="613" t="s">
        <v>2698</v>
      </c>
      <c r="B49" s="614"/>
      <c r="C49" s="615">
        <f>R50</f>
        <v>5210</v>
      </c>
      <c r="D49" s="616"/>
      <c r="E49" s="615">
        <f>R49</f>
        <v>5242</v>
      </c>
      <c r="F49" s="617"/>
      <c r="G49" s="618">
        <f>T49</f>
        <v>5237</v>
      </c>
      <c r="H49" s="616"/>
      <c r="I49" s="615">
        <f>V49</f>
        <v>5151</v>
      </c>
      <c r="J49" s="616"/>
      <c r="K49" s="1339"/>
      <c r="L49" s="2141"/>
      <c r="M49" s="2129"/>
      <c r="N49" s="2129"/>
      <c r="O49" s="2142"/>
      <c r="P49" s="3287" t="str">
        <f>A49</f>
        <v>比较价格（元/平方米）</v>
      </c>
      <c r="Q49" s="3287"/>
      <c r="R49" s="3311">
        <f>ROUND(PRODUCT(R48,AA9:AA47),0)</f>
        <v>5242</v>
      </c>
      <c r="S49" s="3311"/>
      <c r="T49" s="3311">
        <f>ROUND(PRODUCT(T48,AB9:AB47),0)</f>
        <v>5237</v>
      </c>
      <c r="U49" s="3311"/>
      <c r="V49" s="3311">
        <f>ROUND(PRODUCT(V48,AC9:AC47),0)</f>
        <v>5151</v>
      </c>
      <c r="W49" s="3311"/>
      <c r="X49" s="1557"/>
      <c r="Y49" s="1557"/>
      <c r="Z49" s="1557"/>
      <c r="AA49" s="1557"/>
      <c r="AB49" s="1557"/>
      <c r="AC49" s="1557"/>
    </row>
    <row r="50" spans="1:29" ht="21" thickBot="1">
      <c r="A50" s="619" t="s">
        <v>2939</v>
      </c>
      <c r="B50" s="620"/>
      <c r="C50" s="621">
        <f>R50</f>
        <v>5210</v>
      </c>
      <c r="D50" s="621"/>
      <c r="E50" s="621"/>
      <c r="F50" s="621"/>
      <c r="G50" s="621"/>
      <c r="H50" s="621"/>
      <c r="I50" s="621"/>
      <c r="J50" s="621"/>
      <c r="K50" s="1340"/>
      <c r="L50" s="2141"/>
      <c r="M50" s="2129"/>
      <c r="N50" s="2129"/>
      <c r="O50" s="2142"/>
      <c r="P50" s="3308" t="str">
        <f>A50</f>
        <v>估价对象XX用房的比较价格（楼面单价，元/平方米）</v>
      </c>
      <c r="Q50" s="3309"/>
      <c r="R50" s="3310">
        <f>ROUND(AVERAGE(R49:V49),0)</f>
        <v>5210</v>
      </c>
      <c r="S50" s="3310"/>
      <c r="T50" s="3310"/>
      <c r="U50" s="3310"/>
      <c r="V50" s="3310"/>
      <c r="W50" s="3310"/>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f>IF(E48&lt;E49,E49/E48-1,E48/E49-1)</f>
        <v>0.2760467380720546</v>
      </c>
      <c r="F53" s="625" t="str">
        <f>IF(OR(E53&gt;=0.3,E53&lt;=-0.3),"超过30%","")</f>
        <v/>
      </c>
      <c r="G53" s="624">
        <f>IF(G48&lt;G49,G49/G48-1,G48/G49-1)</f>
        <v>0.27607212475633536</v>
      </c>
      <c r="H53" s="625" t="str">
        <f>IF(OR(G53&gt;=0.3,G53&lt;=-0.3),"超过30%","")</f>
        <v/>
      </c>
      <c r="I53" s="624">
        <f>IF(I48&lt;I49,I49/I48-1,I48/I49-1)</f>
        <v>0.2759474857567501</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f>IF(E49&lt;G49,G49/E49-1,E49/G49-1)</f>
        <v>9.5474508306292449E-4</v>
      </c>
      <c r="F54" s="625" t="str">
        <f>IF(OR(E54&gt;=0.2,E54&lt;=-0.2),"超过20%","")</f>
        <v/>
      </c>
      <c r="G54" s="624">
        <f>IF(G49&lt;I49,I49/G49-1,G49/I49-1)</f>
        <v>1.6695787225781356E-2</v>
      </c>
      <c r="H54" s="625" t="str">
        <f>IF(OR(G54&gt;=0.2,G54&lt;=-0.2),"超过20%","")</f>
        <v/>
      </c>
      <c r="I54" s="624">
        <f>IF(I49&lt;E49,E49/I49-1,I49/E49-1)</f>
        <v>1.7666472529605848E-2</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f>IF(E48&lt;G48,G48/E48-1,E48/G48-1)</f>
        <v>9.746588693957392E-4</v>
      </c>
      <c r="F55" s="625" t="str">
        <f>IF(OR(E55&gt;=0.3,E55&lt;=-0.3),"超过30%","")</f>
        <v/>
      </c>
      <c r="G55" s="624">
        <f>IF(G48&lt;I48,I48/G48-1,G48/I48-1)</f>
        <v>1.6596482536537005E-2</v>
      </c>
      <c r="H55" s="625" t="str">
        <f>IF(OR(G55&gt;=0.3,G55&lt;=-0.3),"超过30%","")</f>
        <v/>
      </c>
      <c r="I55" s="624">
        <f>IF(I48&lt;E48,E48/I48-1,I48/E48-1)</f>
        <v>1.7587317314837758E-2</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561</v>
      </c>
      <c r="B57" s="628" t="s">
        <v>562</v>
      </c>
      <c r="C57" s="1558" t="s">
        <v>1726</v>
      </c>
      <c r="D57" s="2224" t="s">
        <v>2294</v>
      </c>
      <c r="E57" s="629" t="s">
        <v>563</v>
      </c>
      <c r="F57" s="630" t="s">
        <v>564</v>
      </c>
      <c r="G57" s="3271" t="s">
        <v>2282</v>
      </c>
      <c r="H57" s="3272"/>
      <c r="I57" s="1553" t="s">
        <v>1724</v>
      </c>
      <c r="J57" s="1553" t="str">
        <f>项目基本情况!F41</f>
        <v>河北省霸州市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565</v>
      </c>
      <c r="B58" s="632">
        <f>C50</f>
        <v>5210</v>
      </c>
      <c r="C58" s="633">
        <v>1</v>
      </c>
      <c r="D58" s="2225">
        <v>1</v>
      </c>
      <c r="E58" s="633">
        <f>'数据-汇总表'!E8+'数据-汇总表'!E9</f>
        <v>331579.03999999992</v>
      </c>
      <c r="F58" s="634">
        <f t="shared" ref="F58:F67" si="15">ROUND(B58*E58/10000,0)</f>
        <v>172753</v>
      </c>
      <c r="G58" s="3273"/>
      <c r="H58" s="3274"/>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f>ROUND($C$50*C59*D59,0)</f>
        <v>0</v>
      </c>
      <c r="C59" s="378">
        <f t="shared" ref="C59:C67" si="16">IF($C$57="北京市系数",I59,J59)</f>
        <v>0</v>
      </c>
      <c r="D59" s="2226">
        <v>0.25</v>
      </c>
      <c r="E59" s="637">
        <v>0</v>
      </c>
      <c r="F59" s="634">
        <f t="shared" si="15"/>
        <v>0</v>
      </c>
      <c r="G59" s="3275" t="s">
        <v>2283</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f t="shared" ref="B60:B67" si="17">ROUND($C$50*C60*D60,0)</f>
        <v>0</v>
      </c>
      <c r="C60" s="378">
        <f t="shared" si="16"/>
        <v>0</v>
      </c>
      <c r="D60" s="2226">
        <v>0.25</v>
      </c>
      <c r="E60" s="637">
        <v>0</v>
      </c>
      <c r="F60" s="634">
        <f t="shared" si="15"/>
        <v>0</v>
      </c>
      <c r="G60" s="3275"/>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f t="shared" si="17"/>
        <v>0</v>
      </c>
      <c r="C61" s="378">
        <f t="shared" si="16"/>
        <v>0</v>
      </c>
      <c r="D61" s="2226">
        <v>0.25</v>
      </c>
      <c r="E61" s="637">
        <v>0</v>
      </c>
      <c r="F61" s="634">
        <f t="shared" si="15"/>
        <v>0</v>
      </c>
      <c r="G61" s="3275"/>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569</v>
      </c>
      <c r="B62" s="636">
        <f t="shared" si="17"/>
        <v>0</v>
      </c>
      <c r="C62" s="378">
        <f t="shared" si="16"/>
        <v>0</v>
      </c>
      <c r="D62" s="2226">
        <v>0.25</v>
      </c>
      <c r="E62" s="637">
        <v>0</v>
      </c>
      <c r="F62" s="634">
        <f t="shared" si="15"/>
        <v>0</v>
      </c>
      <c r="G62" s="3275"/>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2328</v>
      </c>
      <c r="B63" s="636">
        <f t="shared" si="17"/>
        <v>0</v>
      </c>
      <c r="C63" s="378">
        <f t="shared" si="16"/>
        <v>0</v>
      </c>
      <c r="D63" s="2226">
        <v>0.25</v>
      </c>
      <c r="E63" s="639">
        <f>'数据-汇总表'!E11</f>
        <v>0</v>
      </c>
      <c r="F63" s="634">
        <f t="shared" si="15"/>
        <v>0</v>
      </c>
      <c r="G63" s="1942" t="s">
        <v>2284</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570</v>
      </c>
      <c r="B64" s="636">
        <f t="shared" si="17"/>
        <v>0</v>
      </c>
      <c r="C64" s="378">
        <f t="shared" si="16"/>
        <v>0</v>
      </c>
      <c r="D64" s="2226">
        <v>0.25</v>
      </c>
      <c r="E64" s="639">
        <f>'数据-汇总表'!E12</f>
        <v>0</v>
      </c>
      <c r="F64" s="634">
        <f t="shared" si="15"/>
        <v>0</v>
      </c>
      <c r="G64" s="1943" t="s">
        <v>1679</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571</v>
      </c>
      <c r="B65" s="636">
        <f t="shared" si="17"/>
        <v>0</v>
      </c>
      <c r="C65" s="378">
        <f t="shared" si="16"/>
        <v>0</v>
      </c>
      <c r="D65" s="2226">
        <v>0.25</v>
      </c>
      <c r="E65" s="639">
        <f>'数据-汇总表'!E13</f>
        <v>152374.15</v>
      </c>
      <c r="F65" s="634">
        <f t="shared" si="15"/>
        <v>0</v>
      </c>
      <c r="G65" s="1943" t="s">
        <v>924</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572</v>
      </c>
      <c r="B66" s="636">
        <f t="shared" si="17"/>
        <v>0</v>
      </c>
      <c r="C66" s="378">
        <f t="shared" si="16"/>
        <v>0</v>
      </c>
      <c r="D66" s="2226">
        <v>0.25</v>
      </c>
      <c r="E66" s="639">
        <f>'数据-汇总表'!E14</f>
        <v>0</v>
      </c>
      <c r="F66" s="634">
        <f t="shared" si="15"/>
        <v>0</v>
      </c>
      <c r="G66" s="1942" t="s">
        <v>2283</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573</v>
      </c>
      <c r="B67" s="636">
        <f t="shared" si="17"/>
        <v>0</v>
      </c>
      <c r="C67" s="378">
        <f t="shared" si="16"/>
        <v>0</v>
      </c>
      <c r="D67" s="2226">
        <v>0.25</v>
      </c>
      <c r="E67" s="639">
        <f>'数据-汇总表'!E15</f>
        <v>0</v>
      </c>
      <c r="F67" s="634">
        <f t="shared" si="15"/>
        <v>0</v>
      </c>
      <c r="G67" s="1944" t="s">
        <v>2284</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574</v>
      </c>
      <c r="B68" s="641" t="s">
        <v>17</v>
      </c>
      <c r="C68" s="641" t="s">
        <v>18</v>
      </c>
      <c r="D68" s="641" t="s">
        <v>2295</v>
      </c>
      <c r="E68" s="641">
        <f>IF(B48="楼面地价",SUM(E58:E67),'数据-汇总表'!D3)</f>
        <v>171496.93</v>
      </c>
      <c r="F68" s="642">
        <f>IF(B48="楼面地价",SUM(F58:F67),ROUND(C50*E68/10000,0))</f>
        <v>89350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42"/>
      <c r="P70" s="2142"/>
      <c r="Q70" s="2142"/>
      <c r="R70" s="2142"/>
      <c r="S70" s="2142"/>
      <c r="T70" s="2142"/>
      <c r="U70" s="2142"/>
      <c r="V70" s="2142"/>
      <c r="W70" s="2142"/>
      <c r="X70" s="2142"/>
      <c r="Y70" s="2142"/>
      <c r="Z70" s="2142"/>
      <c r="AA70" s="2142"/>
      <c r="AB70" s="2142"/>
      <c r="AC70" s="2142"/>
    </row>
    <row r="71" spans="1:29" ht="21.75" thickBot="1">
      <c r="A71" s="1582" t="s">
        <v>575</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6" t="s">
        <v>2535</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6"/>
      <c r="P72" s="2157"/>
      <c r="Q72" s="2158"/>
      <c r="R72" s="2158"/>
      <c r="S72" s="2158"/>
      <c r="T72" s="2158"/>
      <c r="U72" s="2158"/>
      <c r="V72" s="2158"/>
      <c r="W72" s="2158"/>
      <c r="X72" s="2158"/>
      <c r="Y72" s="2158"/>
      <c r="Z72" s="2158"/>
      <c r="AA72" s="2158"/>
      <c r="AB72" s="2158"/>
      <c r="AC72" s="2158"/>
    </row>
    <row r="73" spans="1:29" s="1218" customFormat="1" ht="27" customHeight="1">
      <c r="A73" s="2826" t="s">
        <v>2652</v>
      </c>
      <c r="B73" s="477" t="str">
        <f>"北京市平均增长率"&amp;TEXT(SUMIF(基准地价!N21:N25,A73,基准地价!P21:P25),"0.00%")</f>
        <v>北京市平均增长率2.49%</v>
      </c>
      <c r="C73" s="892">
        <v>100</v>
      </c>
      <c r="D73" s="728">
        <v>99</v>
      </c>
      <c r="E73" s="728">
        <v>98</v>
      </c>
      <c r="F73" s="728">
        <v>97</v>
      </c>
      <c r="G73" s="728">
        <v>96</v>
      </c>
      <c r="H73" s="728">
        <v>95</v>
      </c>
      <c r="I73" s="728"/>
      <c r="J73" s="728"/>
      <c r="K73" s="728"/>
      <c r="L73" s="728"/>
      <c r="M73" s="2812"/>
      <c r="N73" s="2813"/>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6" t="s">
        <v>2651</v>
      </c>
      <c r="B74" s="2825"/>
      <c r="C74" s="2810"/>
      <c r="D74" s="2811"/>
      <c r="E74" s="2811"/>
      <c r="F74" s="2811"/>
      <c r="G74" s="2811"/>
      <c r="H74" s="2811"/>
      <c r="I74" s="2811"/>
      <c r="J74" s="2811"/>
      <c r="K74" s="2811"/>
      <c r="L74" s="2811"/>
      <c r="M74" s="2811"/>
      <c r="N74" s="2811"/>
      <c r="O74" s="2159"/>
      <c r="P74" s="2155"/>
      <c r="Q74" s="2155"/>
      <c r="R74" s="1990"/>
      <c r="S74" s="1990"/>
      <c r="T74" s="1990"/>
      <c r="U74" s="1990"/>
      <c r="V74" s="1990"/>
      <c r="W74" s="1990"/>
      <c r="X74" s="1990"/>
      <c r="Y74" s="1990"/>
      <c r="Z74" s="1990"/>
      <c r="AA74" s="1990"/>
      <c r="AB74" s="1990"/>
      <c r="AC74" s="1990"/>
    </row>
    <row r="75" spans="1:29" s="1218" customFormat="1" ht="15">
      <c r="A75" s="657" t="s">
        <v>532</v>
      </c>
      <c r="B75" s="646"/>
      <c r="C75" s="658" t="s">
        <v>577</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40.5">
      <c r="A77" s="662" t="s">
        <v>578</v>
      </c>
      <c r="B77" s="663" t="s">
        <v>535</v>
      </c>
      <c r="C77" s="3408" t="s">
        <v>3032</v>
      </c>
      <c r="D77" s="596" t="s">
        <v>3033</v>
      </c>
      <c r="E77" s="3409" t="s">
        <v>3034</v>
      </c>
      <c r="F77" s="3409" t="s">
        <v>3035</v>
      </c>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v>100</v>
      </c>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538</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2</v>
      </c>
      <c r="E82" s="539">
        <v>4</v>
      </c>
      <c r="F82" s="539">
        <v>6</v>
      </c>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101</v>
      </c>
      <c r="E83" s="677">
        <f t="shared" ref="E83:M83" si="21">IF($B$48="单位面积地价",D83+$K13,D83-$K13)</f>
        <v>102</v>
      </c>
      <c r="F83" s="677">
        <f t="shared" si="21"/>
        <v>103</v>
      </c>
      <c r="G83" s="677">
        <f t="shared" si="21"/>
        <v>104</v>
      </c>
      <c r="H83" s="677">
        <f t="shared" si="21"/>
        <v>105</v>
      </c>
      <c r="I83" s="677">
        <f t="shared" si="21"/>
        <v>106</v>
      </c>
      <c r="J83" s="677">
        <f t="shared" si="21"/>
        <v>107</v>
      </c>
      <c r="K83" s="677">
        <f t="shared" si="21"/>
        <v>108</v>
      </c>
      <c r="L83" s="677">
        <f t="shared" si="21"/>
        <v>109</v>
      </c>
      <c r="M83" s="677">
        <f t="shared" si="21"/>
        <v>110</v>
      </c>
      <c r="N83" s="2163"/>
      <c r="O83" s="2163"/>
      <c r="P83" s="2162"/>
      <c r="Q83" s="2155"/>
      <c r="R83" s="2142"/>
      <c r="S83" s="2142"/>
      <c r="T83" s="2142"/>
      <c r="U83" s="2142"/>
      <c r="V83" s="2142"/>
      <c r="W83" s="2142"/>
      <c r="X83" s="2142"/>
      <c r="Y83" s="2142"/>
      <c r="Z83" s="2142"/>
      <c r="AA83" s="2142"/>
      <c r="AB83" s="2142"/>
      <c r="AC83" s="2142"/>
    </row>
    <row r="84" spans="1:29" s="1337" customFormat="1" ht="15.75" hidden="1"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hidden="1"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hidden="1"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hidden="1"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hidden="1"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hidden="1"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585</v>
      </c>
      <c r="C92" s="706" t="s">
        <v>580</v>
      </c>
      <c r="D92" s="706" t="s">
        <v>581</v>
      </c>
      <c r="E92" s="706" t="s">
        <v>582</v>
      </c>
      <c r="F92" s="706" t="s">
        <v>583</v>
      </c>
      <c r="G92" s="706" t="s">
        <v>584</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586</v>
      </c>
      <c r="C94" s="706" t="s">
        <v>580</v>
      </c>
      <c r="D94" s="706" t="s">
        <v>581</v>
      </c>
      <c r="E94" s="706" t="s">
        <v>582</v>
      </c>
      <c r="F94" s="706" t="s">
        <v>583</v>
      </c>
      <c r="G94" s="706" t="s">
        <v>584</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98</v>
      </c>
      <c r="E95" s="677">
        <f>D95-$K21</f>
        <v>96</v>
      </c>
      <c r="F95" s="677">
        <f>E95-$K21</f>
        <v>94</v>
      </c>
      <c r="G95" s="677">
        <f>F95-$K21</f>
        <v>92</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587</v>
      </c>
      <c r="C96" s="706" t="s">
        <v>580</v>
      </c>
      <c r="D96" s="706" t="s">
        <v>581</v>
      </c>
      <c r="E96" s="706" t="s">
        <v>582</v>
      </c>
      <c r="F96" s="706" t="s">
        <v>583</v>
      </c>
      <c r="G96" s="706" t="s">
        <v>584</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2551</v>
      </c>
      <c r="C102" s="701" t="s">
        <v>580</v>
      </c>
      <c r="D102" s="701" t="s">
        <v>581</v>
      </c>
      <c r="E102" s="701" t="s">
        <v>582</v>
      </c>
      <c r="F102" s="701" t="s">
        <v>583</v>
      </c>
      <c r="G102" s="701" t="s">
        <v>584</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5" t="s">
        <v>2553</v>
      </c>
      <c r="C104" s="2616" t="s">
        <v>2554</v>
      </c>
      <c r="D104" s="2616" t="s">
        <v>2555</v>
      </c>
      <c r="E104" s="2616" t="s">
        <v>2556</v>
      </c>
      <c r="F104" s="2616" t="s">
        <v>2557</v>
      </c>
      <c r="G104" s="2616" t="s">
        <v>2558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08"/>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549</v>
      </c>
      <c r="C108" s="686" t="s">
        <v>3044</v>
      </c>
      <c r="D108" s="686" t="s">
        <v>3045</v>
      </c>
      <c r="E108" s="686" t="s">
        <v>3046</v>
      </c>
      <c r="F108" s="686" t="s">
        <v>3047</v>
      </c>
      <c r="G108" s="686" t="s">
        <v>3048</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550</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552</v>
      </c>
      <c r="B118" s="663" t="s">
        <v>594</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049" t="str">
        <f t="shared" si="25"/>
        <v>(含)-</v>
      </c>
      <c r="K118" s="3049" t="str">
        <f t="shared" si="25"/>
        <v>(含)-</v>
      </c>
      <c r="L118" s="3050" t="str">
        <f t="shared" si="25"/>
        <v>(含)-</v>
      </c>
      <c r="M118" s="305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595</v>
      </c>
      <c r="C121" s="716" t="s">
        <v>3052</v>
      </c>
      <c r="D121" s="716" t="s">
        <v>3053</v>
      </c>
      <c r="E121" s="716" t="s">
        <v>3054</v>
      </c>
      <c r="F121" s="716" t="s">
        <v>3055</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596</v>
      </c>
      <c r="C123" s="686" t="s">
        <v>3056</v>
      </c>
      <c r="D123" s="686" t="s">
        <v>3057</v>
      </c>
      <c r="E123" s="686" t="s">
        <v>3058</v>
      </c>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3" t="s">
        <v>3059</v>
      </c>
      <c r="D125" s="1373" t="s">
        <v>3060</v>
      </c>
      <c r="E125" s="1373" t="s">
        <v>3061</v>
      </c>
      <c r="F125" s="1373" t="s">
        <v>3062</v>
      </c>
      <c r="G125" s="1373" t="s">
        <v>3063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597</v>
      </c>
      <c r="C127" s="686" t="s">
        <v>75</v>
      </c>
      <c r="D127" s="686" t="s">
        <v>84</v>
      </c>
      <c r="E127" s="716" t="s">
        <v>3064</v>
      </c>
      <c r="F127" s="716" t="s">
        <v>3065</v>
      </c>
      <c r="G127" s="716" t="s">
        <v>3066</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6" workbookViewId="0">
      <selection activeCell="C8" sqref="C8:G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28"/>
      <c r="C1" s="2101"/>
      <c r="D1" s="2101"/>
      <c r="E1" s="2101"/>
      <c r="F1" s="2101"/>
      <c r="G1" s="2101"/>
      <c r="H1" s="2101"/>
      <c r="I1" s="2101"/>
      <c r="J1" s="2101"/>
      <c r="K1" s="422">
        <f>MATCH(B1,'数据-取费表'!A6:A16,0)+5</f>
        <v>11</v>
      </c>
    </row>
    <row r="2" spans="1:31" s="2038" customFormat="1" ht="18" customHeight="1">
      <c r="A2" s="2098" t="s">
        <v>467</v>
      </c>
      <c r="B2" s="2102">
        <f ca="1">C36</f>
        <v>224742</v>
      </c>
      <c r="C2" s="2101"/>
      <c r="D2" s="2101"/>
      <c r="E2" s="2101"/>
      <c r="F2" s="2101"/>
      <c r="G2" s="2101"/>
      <c r="H2" s="2101"/>
      <c r="I2" s="2101"/>
      <c r="J2" s="2101"/>
      <c r="K2" s="2101"/>
    </row>
    <row r="3" spans="1:31" s="2038" customFormat="1" ht="18" customHeight="1">
      <c r="A3" s="2103" t="s">
        <v>1686</v>
      </c>
      <c r="B3" s="2104">
        <f ca="1">ROUND(B2*10000/IF(B1="",'数据-汇总表'!E3,INDIRECT("'数据-取费表'!K"&amp;$K$1)),0)</f>
        <v>4181</v>
      </c>
      <c r="C3" s="2101"/>
      <c r="D3" s="2101"/>
      <c r="E3" s="2101"/>
      <c r="F3" s="2101"/>
      <c r="G3" s="2101"/>
      <c r="H3" s="2101"/>
      <c r="I3" s="2101"/>
      <c r="J3" s="2101"/>
      <c r="K3" s="2101"/>
    </row>
    <row r="4" spans="1:31" s="2038" customFormat="1" ht="18" customHeight="1">
      <c r="A4" s="426" t="s">
        <v>468</v>
      </c>
      <c r="B4" s="427">
        <f ca="1">ROUND(B2*10000/IF(B1="",'数据-汇总表'!D3,INDIRECT("'数据-取费表'!R"&amp;$K$1)),0)</f>
        <v>13105</v>
      </c>
      <c r="C4" s="428"/>
      <c r="D4" s="422"/>
      <c r="E4" s="422"/>
      <c r="F4" s="422"/>
      <c r="G4" s="422"/>
      <c r="H4" s="422"/>
      <c r="I4" s="422"/>
      <c r="J4" s="422"/>
      <c r="K4" s="422"/>
    </row>
    <row r="5" spans="1:31" s="2038" customFormat="1" ht="18" customHeight="1" thickBot="1">
      <c r="A5" s="429"/>
      <c r="B5" s="430">
        <f ca="1">ROUND(B2/(IF(B1="",'数据-汇总表'!D3,INDIRECT("'数据-取费表'!R"&amp;$K$1))/666.67),0)</f>
        <v>874</v>
      </c>
      <c r="C5" s="431" t="s">
        <v>469</v>
      </c>
      <c r="D5" s="422"/>
      <c r="E5" s="422"/>
      <c r="F5" s="422"/>
      <c r="G5" s="422"/>
      <c r="H5" s="422"/>
      <c r="I5" s="422"/>
      <c r="J5" s="422"/>
      <c r="K5" s="422"/>
    </row>
    <row r="6" spans="1:31" s="2108" customFormat="1" ht="16.5" customHeight="1">
      <c r="A6" s="3433" t="s">
        <v>1844</v>
      </c>
      <c r="B6" s="3434"/>
      <c r="C6" s="3435">
        <f ca="1">SUM(C10:K10)</f>
        <v>467118</v>
      </c>
      <c r="D6" s="3434"/>
      <c r="E6" s="3434"/>
      <c r="F6" s="3434"/>
      <c r="G6" s="3434"/>
      <c r="H6" s="3434"/>
      <c r="I6" s="3434"/>
      <c r="J6" s="3434"/>
      <c r="K6" s="3436"/>
    </row>
    <row r="7" spans="1:31" s="2110" customFormat="1" ht="15">
      <c r="A7" s="3437" t="s">
        <v>470</v>
      </c>
      <c r="B7" s="3438" t="s">
        <v>471</v>
      </c>
      <c r="C7" s="436" t="s">
        <v>924</v>
      </c>
      <c r="D7" s="436" t="s">
        <v>3020</v>
      </c>
      <c r="E7" s="436" t="s">
        <v>1679</v>
      </c>
      <c r="F7" s="436" t="s">
        <v>3022</v>
      </c>
      <c r="G7" s="436" t="s">
        <v>35</v>
      </c>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375" t="s">
        <v>1847</v>
      </c>
      <c r="B8" s="3439" t="s">
        <v>472</v>
      </c>
      <c r="C8" s="3440">
        <f>'不动产比较法-住宅'!B3</f>
        <v>12707.8</v>
      </c>
      <c r="D8" s="3440">
        <f ca="1">不动产收益法!B3</f>
        <v>12871</v>
      </c>
      <c r="E8" s="3440">
        <f ca="1">'不动产收益法 (2)'!B3</f>
        <v>10310</v>
      </c>
      <c r="F8" s="3440">
        <f ca="1">'不动产收益法 (3)'!B3</f>
        <v>6106</v>
      </c>
      <c r="G8" s="3440">
        <f>'不动产比较法-车位'!B3</f>
        <v>2883</v>
      </c>
      <c r="H8" s="3440"/>
      <c r="I8" s="3440"/>
      <c r="J8" s="3440"/>
      <c r="K8" s="3441"/>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375" t="s">
        <v>1848</v>
      </c>
      <c r="B9" s="3439" t="s">
        <v>473</v>
      </c>
      <c r="C9" s="3442">
        <f>SUMIF('数据-汇总表'!$C19:$C33,'剩余法-待开发'!C7,'数据-汇总表'!$E19:$E33)</f>
        <v>239075.36</v>
      </c>
      <c r="D9" s="3442">
        <f>SUMIF('数据-汇总表'!$C19:$C33,'剩余法-待开发'!D7,'数据-汇总表'!$E19:$E33)</f>
        <v>72588.709999999992</v>
      </c>
      <c r="E9" s="3442">
        <f>SUMIF('数据-汇总表'!$C19:$C33,'剩余法-待开发'!E7,'数据-汇总表'!$E19:$E33)</f>
        <v>19914.97</v>
      </c>
      <c r="F9" s="3442">
        <f>SUMIF('数据-汇总表'!$C19:$C33,'剩余法-待开发'!F7,'数据-汇总表'!$E19:$E33)</f>
        <v>8883.42</v>
      </c>
      <c r="G9" s="3442">
        <f>SUMIF('数据-汇总表'!$C19:$C33,'剩余法-待开发'!G7,'数据-汇总表'!$E19:$E33)</f>
        <v>152374.15</v>
      </c>
      <c r="H9" s="3442">
        <f>SUMIF('数据-汇总表'!$C19:$C33,'剩余法-待开发'!H7,'数据-汇总表'!$E19:$E33)</f>
        <v>0</v>
      </c>
      <c r="I9" s="3442">
        <f>SUMIF('数据-汇总表'!$C19:$C33,'剩余法-待开发'!I7,'数据-汇总表'!$E19:$E33)</f>
        <v>0</v>
      </c>
      <c r="J9" s="3442">
        <f>SUMIF('数据-汇总表'!$C19:$C33,'剩余法-待开发'!J7,'数据-汇总表'!$E19:$E33)</f>
        <v>0</v>
      </c>
      <c r="K9" s="3443">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1633" t="s">
        <v>1849</v>
      </c>
      <c r="B10" s="3444" t="s">
        <v>474</v>
      </c>
      <c r="C10" s="3445">
        <f>'不动产比较法-住宅'!B2</f>
        <v>303812</v>
      </c>
      <c r="D10" s="3445">
        <f ca="1">不动产收益法!B2</f>
        <v>93428</v>
      </c>
      <c r="E10" s="3445">
        <f ca="1">'不动产收益法 (2)'!B2</f>
        <v>20532</v>
      </c>
      <c r="F10" s="3446">
        <f ca="1">'不动产收益法 (3)'!B2</f>
        <v>5424</v>
      </c>
      <c r="G10" s="3446">
        <f>'不动产比较法-车位'!B2</f>
        <v>43922</v>
      </c>
      <c r="H10" s="3446"/>
      <c r="I10" s="3446"/>
      <c r="J10" s="3446"/>
      <c r="K10" s="3447"/>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3448" t="s">
        <v>1845</v>
      </c>
      <c r="B11" s="3434"/>
      <c r="C11" s="3434"/>
      <c r="D11" s="3434"/>
      <c r="E11" s="3434"/>
      <c r="F11" s="3434"/>
      <c r="G11" s="3434"/>
      <c r="H11" s="3434"/>
      <c r="I11" s="3434"/>
      <c r="J11" s="3434"/>
      <c r="K11" s="3436"/>
    </row>
    <row r="12" spans="1:31" s="2082" customFormat="1" ht="13.5" customHeight="1">
      <c r="A12" s="3449" t="s">
        <v>470</v>
      </c>
      <c r="B12" s="3450" t="s">
        <v>471</v>
      </c>
      <c r="C12" s="3451" t="s">
        <v>475</v>
      </c>
      <c r="D12" s="3452" t="s">
        <v>476</v>
      </c>
      <c r="E12" s="3452" t="s">
        <v>477</v>
      </c>
      <c r="F12" s="3452" t="s">
        <v>478</v>
      </c>
      <c r="G12" s="3450"/>
      <c r="H12" s="3453"/>
      <c r="I12" s="3453"/>
      <c r="J12" s="3453"/>
      <c r="K12" s="3454"/>
    </row>
    <row r="13" spans="1:31" s="2113" customFormat="1" ht="13.5" customHeight="1">
      <c r="A13" s="3455" t="s">
        <v>1850</v>
      </c>
      <c r="B13" s="3456" t="s">
        <v>479</v>
      </c>
      <c r="C13" s="3457">
        <f ca="1">IF(B1="",'数据-取费表'!P16,INDIRECT("'数据-取费表'!p"&amp;$K$1)+INDIRECT("'数据-取费表'!t"&amp;$K$1))</f>
        <v>94160</v>
      </c>
      <c r="D13" s="3458"/>
      <c r="E13" s="810"/>
      <c r="F13" s="3459"/>
      <c r="G13" s="3450"/>
      <c r="H13" s="3453"/>
      <c r="I13" s="3453"/>
      <c r="J13" s="3453"/>
      <c r="K13" s="3454"/>
    </row>
    <row r="14" spans="1:31" s="2113" customFormat="1" ht="13.5" customHeight="1">
      <c r="A14" s="3455" t="s">
        <v>1851</v>
      </c>
      <c r="B14" s="3456" t="s">
        <v>480</v>
      </c>
      <c r="C14" s="17">
        <f ca="1">ROUND(C13*F14,0)</f>
        <v>2825</v>
      </c>
      <c r="D14" s="3458"/>
      <c r="E14" s="810"/>
      <c r="F14" s="3460">
        <f>'数据-取费表'!B33</f>
        <v>0.03</v>
      </c>
      <c r="G14" s="3450" t="s">
        <v>481</v>
      </c>
      <c r="H14" s="3453"/>
      <c r="I14" s="3453"/>
      <c r="J14" s="3453"/>
      <c r="K14" s="3454"/>
    </row>
    <row r="15" spans="1:31" s="2113" customFormat="1" ht="13.5" customHeight="1">
      <c r="A15" s="3455" t="s">
        <v>1852</v>
      </c>
      <c r="B15" s="3456" t="s">
        <v>482</v>
      </c>
      <c r="C15" s="17">
        <f ca="1">ROUND(IF(B1="",SUMIF('数据-取费表'!C:C,"住宅",'数据-取费表'!P:P)*F15,IF(INDIRECT("'数据-取费表'!c"&amp;$K$1)="住宅",INDIRECT("'数据-取费表'!P"&amp;$K$1)*F15,0)),0)</f>
        <v>1291</v>
      </c>
      <c r="D15" s="3458"/>
      <c r="E15" s="810"/>
      <c r="F15" s="3460">
        <f>'数据-取费表'!B34</f>
        <v>0.03</v>
      </c>
      <c r="G15" s="3450" t="s">
        <v>483</v>
      </c>
      <c r="H15" s="3453"/>
      <c r="I15" s="3453"/>
      <c r="J15" s="3453"/>
      <c r="K15" s="3454"/>
    </row>
    <row r="16" spans="1:31" s="2114" customFormat="1" ht="13.5" customHeight="1">
      <c r="A16" s="3455" t="s">
        <v>1853</v>
      </c>
      <c r="B16" s="3456" t="s">
        <v>484</v>
      </c>
      <c r="C16" s="17">
        <f ca="1">ROUND(D16*E16/10000,0)</f>
        <v>10750</v>
      </c>
      <c r="D16" s="3458">
        <f ca="1">IF(B1="",'数据-汇总表'!E3,INDIRECT("'数据-取费表'!K"&amp;$K$1)+INDIRECT("'数据-取费表'!S"&amp;$K$1))</f>
        <v>537479.47</v>
      </c>
      <c r="E16" s="17">
        <f>'数据-取费表'!B35</f>
        <v>200</v>
      </c>
      <c r="F16" s="3460"/>
      <c r="G16" s="3450"/>
      <c r="H16" s="3453"/>
      <c r="I16" s="3453"/>
      <c r="J16" s="3453"/>
      <c r="K16" s="3454"/>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3455" t="s">
        <v>1854</v>
      </c>
      <c r="B17" s="3456" t="s">
        <v>485</v>
      </c>
      <c r="C17" s="3461">
        <f ca="1">ROUND(C13*F17,0)</f>
        <v>1412</v>
      </c>
      <c r="D17" s="3462"/>
      <c r="E17" s="3461"/>
      <c r="F17" s="3463">
        <f>'数据-取费表'!B36</f>
        <v>1.4999999999999999E-2</v>
      </c>
      <c r="G17" s="3439" t="s">
        <v>486</v>
      </c>
      <c r="H17" s="262"/>
      <c r="I17" s="262"/>
      <c r="J17" s="262"/>
      <c r="K17" s="3464"/>
    </row>
    <row r="18" spans="1:14" s="2113" customFormat="1" ht="13.5" customHeight="1">
      <c r="A18" s="3465" t="s">
        <v>1855</v>
      </c>
      <c r="B18" s="3466" t="s">
        <v>487</v>
      </c>
      <c r="C18" s="3467">
        <f ca="1">SUM(C13:C17)</f>
        <v>110438</v>
      </c>
      <c r="D18" s="3468"/>
      <c r="E18" s="3469"/>
      <c r="F18" s="3469"/>
      <c r="G18" s="3470" t="s">
        <v>2431</v>
      </c>
      <c r="H18" s="3471"/>
      <c r="I18" s="3471"/>
      <c r="J18" s="3471"/>
      <c r="K18" s="3472"/>
    </row>
    <row r="19" spans="1:14" s="2113" customFormat="1" ht="13.5" customHeight="1">
      <c r="A19" s="3465" t="s">
        <v>1856</v>
      </c>
      <c r="B19" s="3466" t="s">
        <v>488</v>
      </c>
      <c r="C19" s="3452">
        <f ca="1">ROUND(D19*E19/10000,0)</f>
        <v>0</v>
      </c>
      <c r="D19" s="3473">
        <f ca="1">D16</f>
        <v>537479.47</v>
      </c>
      <c r="E19" s="3452">
        <f>'数据-取费表'!B32</f>
        <v>0</v>
      </c>
      <c r="F19" s="3469"/>
      <c r="G19" s="3450" t="s">
        <v>489</v>
      </c>
      <c r="H19" s="3453"/>
      <c r="I19" s="3471"/>
      <c r="J19" s="3471"/>
      <c r="K19" s="3472"/>
    </row>
    <row r="20" spans="1:14" s="2113" customFormat="1" ht="13.5" customHeight="1">
      <c r="A20" s="3465" t="s">
        <v>1857</v>
      </c>
      <c r="B20" s="3466" t="s">
        <v>490</v>
      </c>
      <c r="C20" s="3452">
        <f ca="1">C21+C22-IF(B1="",'数据-取费表'!B29,IF(G20="已全部缴纳",C21+C22,H20))</f>
        <v>1439</v>
      </c>
      <c r="D20" s="3473"/>
      <c r="E20" s="3452"/>
      <c r="F20" s="3474"/>
      <c r="G20" s="3475"/>
      <c r="H20" s="3476"/>
      <c r="I20" s="3477" t="s">
        <v>2656</v>
      </c>
      <c r="J20" s="3471"/>
      <c r="K20" s="3472"/>
    </row>
    <row r="21" spans="1:14" s="2113" customFormat="1" ht="13.5" customHeight="1">
      <c r="A21" s="3455" t="s">
        <v>1858</v>
      </c>
      <c r="B21" s="3456" t="s">
        <v>491</v>
      </c>
      <c r="C21" s="17">
        <f ca="1">ROUND(D21*E21/10000,0)</f>
        <v>794</v>
      </c>
      <c r="D21" s="3458">
        <f ca="1">IF(B1="",'数据-汇总表'!E5,IF(INDIRECT("'数据-取费表'!c"&amp;$K$1)="住宅",INDIRECT("'数据-取费表'!k"&amp;$K$1),0))</f>
        <v>239075.36</v>
      </c>
      <c r="E21" s="17">
        <f>'数据-取费表'!B27</f>
        <v>33.200000000000003</v>
      </c>
      <c r="F21" s="3460"/>
      <c r="G21" s="3098"/>
      <c r="H21" s="3097"/>
      <c r="I21" s="3097"/>
      <c r="J21" s="3097"/>
      <c r="K21" s="3101"/>
    </row>
    <row r="22" spans="1:14" s="2113" customFormat="1" ht="13.5" customHeight="1">
      <c r="A22" s="3455" t="s">
        <v>1859</v>
      </c>
      <c r="B22" s="3456" t="s">
        <v>492</v>
      </c>
      <c r="C22" s="17">
        <f ca="1">ROUND(D22*E22/10000,0)</f>
        <v>645</v>
      </c>
      <c r="D22" s="3458">
        <f ca="1">IF(B1="",'数据-汇总表'!E6,IF(INDIRECT("'数据-取费表'!c"&amp;$K$1)="住宅",INDIRECT("'数据-取费表'!s"&amp;$K$1),INDIRECT("'数据-取费表'!k"&amp;$K$1)+INDIRECT("'数据-取费表'!s"&amp;$K$1)))</f>
        <v>298404.11</v>
      </c>
      <c r="E22" s="17">
        <f>'数据-取费表'!B28</f>
        <v>21.6</v>
      </c>
      <c r="F22" s="3460"/>
      <c r="G22" s="3098"/>
      <c r="H22" s="3097"/>
      <c r="I22" s="3097"/>
      <c r="J22" s="3097"/>
      <c r="K22" s="3101"/>
    </row>
    <row r="23" spans="1:14" s="2113" customFormat="1" ht="13.5" customHeight="1">
      <c r="A23" s="3465" t="s">
        <v>1860</v>
      </c>
      <c r="B23" s="3478" t="s">
        <v>2839</v>
      </c>
      <c r="C23" s="3467">
        <f ca="1">ROUND((C18+C19+C20)*F23,0)</f>
        <v>1119</v>
      </c>
      <c r="D23" s="3469"/>
      <c r="E23" s="3469"/>
      <c r="F23" s="3479">
        <f>'数据-取费表'!B37</f>
        <v>0.01</v>
      </c>
      <c r="G23" s="3450" t="s">
        <v>2432</v>
      </c>
      <c r="H23" s="3453"/>
      <c r="I23" s="3453"/>
      <c r="J23" s="3453"/>
      <c r="K23" s="3454"/>
      <c r="L23" s="2115"/>
      <c r="M23" s="2115"/>
      <c r="N23" s="2115"/>
    </row>
    <row r="24" spans="1:14" s="2113" customFormat="1" ht="13.5" customHeight="1">
      <c r="A24" s="3465" t="s">
        <v>1861</v>
      </c>
      <c r="B24" s="3478" t="s">
        <v>2842</v>
      </c>
      <c r="C24" s="3467">
        <f ca="1">ROUND(C6*F24,0)</f>
        <v>9342</v>
      </c>
      <c r="D24" s="3462"/>
      <c r="E24" s="3480"/>
      <c r="F24" s="3479">
        <f>'数据-取费表'!B38</f>
        <v>0.02</v>
      </c>
      <c r="G24" s="3481" t="s">
        <v>499</v>
      </c>
      <c r="H24" s="262"/>
      <c r="I24" s="262"/>
      <c r="J24" s="262"/>
      <c r="K24" s="3464"/>
      <c r="L24" s="2115"/>
      <c r="M24" s="2115"/>
      <c r="N24" s="2115"/>
    </row>
    <row r="25" spans="1:14" s="2116" customFormat="1" ht="13.5" customHeight="1">
      <c r="A25" s="3465" t="s">
        <v>1862</v>
      </c>
      <c r="B25" s="3478" t="s">
        <v>2840</v>
      </c>
      <c r="C25" s="3482">
        <f>ROUND(F25/(1+'数据-取费表'!C42),4)</f>
        <v>2.8899999999999999E-2</v>
      </c>
      <c r="D25" s="3483" t="s">
        <v>2834</v>
      </c>
      <c r="E25" s="3484"/>
      <c r="F25" s="3479">
        <f>'数据-取费表'!B48+'数据-取费表'!B49</f>
        <v>3.0499999999999999E-2</v>
      </c>
      <c r="G25" s="3485" t="s">
        <v>2290</v>
      </c>
      <c r="H25" s="3453"/>
      <c r="I25" s="3453"/>
      <c r="J25" s="3453"/>
      <c r="K25" s="3454"/>
    </row>
    <row r="26" spans="1:14" s="2115" customFormat="1" ht="13.5" customHeight="1">
      <c r="A26" s="3465" t="s">
        <v>1863</v>
      </c>
      <c r="B26" s="3486" t="s">
        <v>2841</v>
      </c>
      <c r="C26" s="3487">
        <f ca="1">C28</f>
        <v>8819</v>
      </c>
      <c r="D26" s="3482">
        <f ca="1">C27</f>
        <v>0.1537</v>
      </c>
      <c r="E26" s="3484" t="s">
        <v>495</v>
      </c>
      <c r="F26" s="3488">
        <f ca="1">'数据-取费表'!B40</f>
        <v>4.7500000000000001E-2</v>
      </c>
      <c r="G26" s="3489" t="str">
        <f>IF('数据-取费表'!B22&lt;=1,"单利计息。","复利计息。")&amp;"后续开发成本、管理费用及销售费用产生的利息。"</f>
        <v>复利计息。后续开发成本、管理费用及销售费用产生的利息。</v>
      </c>
      <c r="H26" s="3471"/>
      <c r="I26" s="3471"/>
      <c r="J26" s="3471"/>
      <c r="K26" s="3472"/>
    </row>
    <row r="27" spans="1:14" s="2117" customFormat="1" ht="13.5" customHeight="1">
      <c r="A27" s="375" t="s">
        <v>1858</v>
      </c>
      <c r="B27" s="3490" t="s">
        <v>496</v>
      </c>
      <c r="C27" s="3491">
        <f ca="1">ROUND(IF('数据-取费表'!B22&lt;=1,(1+C25)*F26*'数据-取费表'!B24,(1+C25)*(POWER((1+F26),'数据-取费表'!B24)-1)),4)</f>
        <v>0.1537</v>
      </c>
      <c r="D27" s="3492"/>
      <c r="E27" s="3480"/>
      <c r="F27" s="3493"/>
      <c r="G27" s="3489" t="str">
        <f>IF('数据-取费表'!B22&lt;=1,"（1+取得税费率/(1+5%)）×年利率×建设期","（1+取得税费率）/(1+5%)×((1+年利率)^建设期-1)")</f>
        <v>（1+取得税费率）/(1+5%)×((1+年利率)^建设期-1)</v>
      </c>
      <c r="H27" s="262"/>
      <c r="I27" s="262"/>
      <c r="J27" s="262"/>
      <c r="K27" s="3464"/>
    </row>
    <row r="28" spans="1:14" s="2117" customFormat="1" ht="13.5" customHeight="1">
      <c r="A28" s="375" t="s">
        <v>1859</v>
      </c>
      <c r="B28" s="3490" t="s">
        <v>2843</v>
      </c>
      <c r="C28" s="3494">
        <f ca="1">ROUND(IF('数据-取费表'!B22&lt;=1,(C18+C19+C20+C23+C24)*F26*'数据-取费表'!B24/2,(C18+C19+C20+C23+C24)*(POWER((1+F26),'数据-取费表'!B24/2)-1)),0)</f>
        <v>8819</v>
      </c>
      <c r="D28" s="3492"/>
      <c r="E28" s="3480"/>
      <c r="F28" s="3493"/>
      <c r="G28" s="3489" t="str">
        <f>IF('数据-取费表'!B22&lt;=1,"（1）-（4）项×年利率×建设期÷2","（1）-（4）项×((1+年利率)^(建设期÷2)-1)")</f>
        <v>（1）-（4）项×((1+年利率)^(建设期÷2)-1)</v>
      </c>
      <c r="H28" s="262"/>
      <c r="I28" s="262"/>
      <c r="J28" s="262"/>
      <c r="K28" s="3464"/>
    </row>
    <row r="29" spans="1:14" s="2117" customFormat="1" ht="13.5" customHeight="1">
      <c r="A29" s="1632" t="s">
        <v>1864</v>
      </c>
      <c r="B29" s="3466" t="s">
        <v>497</v>
      </c>
      <c r="C29" s="3467">
        <f ca="1">ROUND(C6*F29/(1+'数据-取费表'!C42),0)</f>
        <v>27744</v>
      </c>
      <c r="D29" s="3469"/>
      <c r="E29" s="3469"/>
      <c r="F29" s="3495">
        <f>'数据-取费表'!B41</f>
        <v>6.2719999999999998E-2</v>
      </c>
      <c r="G29" s="3481" t="s">
        <v>498</v>
      </c>
      <c r="H29" s="3453"/>
      <c r="I29" s="3453"/>
      <c r="J29" s="3453"/>
      <c r="K29" s="3454"/>
    </row>
    <row r="30" spans="1:14" s="2118" customFormat="1" ht="13.5" customHeight="1">
      <c r="A30" s="1632" t="s">
        <v>1865</v>
      </c>
      <c r="B30" s="3496" t="s">
        <v>500</v>
      </c>
      <c r="C30" s="3487">
        <f ca="1">C31</f>
        <v>158901</v>
      </c>
      <c r="D30" s="3497">
        <f ca="1">C32</f>
        <v>0.18260000000000001</v>
      </c>
      <c r="E30" s="3484" t="s">
        <v>495</v>
      </c>
      <c r="F30" s="3488"/>
      <c r="G30" s="3450" t="s">
        <v>501</v>
      </c>
      <c r="H30" s="3453"/>
      <c r="I30" s="3453"/>
      <c r="J30" s="3453"/>
      <c r="K30" s="3454"/>
    </row>
    <row r="31" spans="1:14" s="2117" customFormat="1" ht="13.5" customHeight="1">
      <c r="A31" s="375" t="s">
        <v>1858</v>
      </c>
      <c r="B31" s="3490"/>
      <c r="C31" s="3457">
        <f ca="1">C18+C19+C20+C23+C24+C26+C29</f>
        <v>158901</v>
      </c>
      <c r="D31" s="3492"/>
      <c r="E31" s="3480"/>
      <c r="F31" s="3493"/>
      <c r="G31" s="3439"/>
      <c r="H31" s="262"/>
      <c r="I31" s="262"/>
      <c r="J31" s="262"/>
      <c r="K31" s="3464"/>
    </row>
    <row r="32" spans="1:14" s="2117" customFormat="1" ht="13.5" customHeight="1">
      <c r="A32" s="375" t="s">
        <v>1859</v>
      </c>
      <c r="B32" s="3490"/>
      <c r="C32" s="17">
        <f ca="1">ROUND(C25+D26,4)</f>
        <v>0.18260000000000001</v>
      </c>
      <c r="D32" s="3492"/>
      <c r="E32" s="3480"/>
      <c r="F32" s="3493"/>
      <c r="G32" s="3439"/>
      <c r="H32" s="262"/>
      <c r="I32" s="262"/>
      <c r="J32" s="262"/>
      <c r="K32" s="3464"/>
    </row>
    <row r="33" spans="1:11" s="2119" customFormat="1" ht="13.5" customHeight="1">
      <c r="A33" s="2994" t="s">
        <v>2838</v>
      </c>
      <c r="B33" s="2993" t="s">
        <v>2836</v>
      </c>
      <c r="C33" s="476">
        <f ca="1">C35</f>
        <v>14681</v>
      </c>
      <c r="D33" s="3482">
        <f ca="1">C34</f>
        <v>0.1235</v>
      </c>
      <c r="E33" s="3484" t="s">
        <v>495</v>
      </c>
      <c r="F33" s="477">
        <f ca="1">IF(B1="",'数据-取费表'!Q16,INDIRECT("'数据-取费表'!q"&amp;$K$1))</f>
        <v>0.12</v>
      </c>
      <c r="G33" s="3470"/>
      <c r="H33" s="3471"/>
      <c r="I33" s="3471"/>
      <c r="J33" s="3471"/>
      <c r="K33" s="3472"/>
    </row>
    <row r="34" spans="1:11" s="2120" customFormat="1" ht="13.5" customHeight="1">
      <c r="A34" s="375" t="s">
        <v>1858</v>
      </c>
      <c r="B34" s="3498" t="s">
        <v>502</v>
      </c>
      <c r="C34" s="3492">
        <f ca="1">ROUND((1+C25)*F33,4)</f>
        <v>0.1235</v>
      </c>
      <c r="D34" s="3492"/>
      <c r="E34" s="3480"/>
      <c r="F34" s="478"/>
      <c r="G34" s="3439" t="s">
        <v>2291</v>
      </c>
      <c r="H34" s="262"/>
      <c r="I34" s="262"/>
      <c r="J34" s="262"/>
      <c r="K34" s="3464"/>
    </row>
    <row r="35" spans="1:11" s="2120" customFormat="1" ht="13.5" customHeight="1" thickBot="1">
      <c r="A35" s="1633" t="s">
        <v>1859</v>
      </c>
      <c r="B35" s="3499" t="s">
        <v>2844</v>
      </c>
      <c r="C35" s="1626">
        <f ca="1">ROUND((C18+C19+C20+C23+C24)*F33,0)</f>
        <v>14681</v>
      </c>
      <c r="D35" s="3500"/>
      <c r="E35" s="3501"/>
      <c r="F35" s="1627"/>
      <c r="G35" s="3444"/>
      <c r="H35" s="3502"/>
      <c r="I35" s="3502"/>
      <c r="J35" s="3502"/>
      <c r="K35" s="3503"/>
    </row>
    <row r="36" spans="1:11" s="2082" customFormat="1" ht="13.5" customHeight="1" thickBot="1">
      <c r="A36" s="3504" t="s">
        <v>1846</v>
      </c>
      <c r="B36" s="3505"/>
      <c r="C36" s="3506">
        <f ca="1">ROUND((C6-C30-C33)/(1+D30+D33),0)</f>
        <v>224742</v>
      </c>
      <c r="D36" s="3505"/>
      <c r="E36" s="3505"/>
      <c r="F36" s="3505"/>
      <c r="G36" s="3507" t="s">
        <v>2845</v>
      </c>
      <c r="H36" s="3505"/>
      <c r="I36" s="3505"/>
      <c r="J36" s="3505"/>
      <c r="K36" s="350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106" t="str">
        <f>项目基本情况!B1</f>
        <v>河北省霸州市河北省廊坊市霸州市益津中路西侧国蕴城一区项目出让国有建设用地使用权市场价格预评估</v>
      </c>
      <c r="C37" s="3106"/>
      <c r="D37" s="3106"/>
      <c r="E37" s="3106"/>
      <c r="F37" s="3106"/>
      <c r="G37" s="3106"/>
      <c r="H37" s="3106"/>
      <c r="I37" s="3106"/>
    </row>
    <row r="38" spans="1:9">
      <c r="A38" s="1653"/>
      <c r="B38" s="1653"/>
    </row>
    <row r="39" spans="1:9">
      <c r="A39" s="1651" t="s">
        <v>1903</v>
      </c>
      <c r="B39" s="1651" t="s">
        <v>2047</v>
      </c>
    </row>
    <row r="40" spans="1:9">
      <c r="A40" s="1651"/>
      <c r="B40" s="1651" t="str">
        <f>项目基本情况!B5</f>
        <v>廊坊和泓房地产开发有限公司</v>
      </c>
    </row>
    <row r="41" spans="1:9">
      <c r="A41" s="1651"/>
      <c r="B41" s="1651"/>
    </row>
    <row r="42" spans="1:9">
      <c r="A42" s="1651" t="s">
        <v>1903</v>
      </c>
      <c r="B42" s="1651" t="s">
        <v>2048</v>
      </c>
    </row>
    <row r="43" spans="1:9">
      <c r="A43" s="1651"/>
      <c r="B43" s="1651" t="s">
        <v>1905</v>
      </c>
    </row>
    <row r="44" spans="1:9">
      <c r="A44" s="1651"/>
      <c r="B44" s="1651"/>
    </row>
    <row r="45" spans="1:9">
      <c r="A45" s="1651" t="s">
        <v>1903</v>
      </c>
      <c r="B45" s="1651" t="s">
        <v>2046</v>
      </c>
    </row>
    <row r="46" spans="1:9" s="1651" customFormat="1" ht="12.75">
      <c r="B46" s="1651" t="str">
        <f>项目基本情况!K4</f>
        <v>王鹏、郑燚</v>
      </c>
    </row>
    <row r="47" spans="1:9">
      <c r="A47" s="1651"/>
      <c r="B47" s="1651"/>
    </row>
    <row r="48" spans="1:9">
      <c r="A48" s="1651" t="s">
        <v>1903</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466</v>
      </c>
      <c r="B1" s="2828"/>
      <c r="C1" s="2101"/>
      <c r="D1" s="2101"/>
      <c r="E1" s="2101"/>
      <c r="F1" s="2101"/>
      <c r="G1" s="2101"/>
      <c r="H1" s="2101"/>
      <c r="I1" s="2101"/>
      <c r="J1" s="2101"/>
      <c r="K1" s="422">
        <f>MATCH(B1,'数据-取费表'!A6:A16,0)+5</f>
        <v>11</v>
      </c>
    </row>
    <row r="2" spans="1:41" s="2038" customFormat="1" ht="18" customHeight="1">
      <c r="A2" s="423" t="s">
        <v>467</v>
      </c>
      <c r="B2" s="424">
        <f ca="1">C32</f>
        <v>0</v>
      </c>
      <c r="C2" s="2101"/>
      <c r="D2" s="2101"/>
      <c r="E2" s="2101"/>
      <c r="F2" s="2101"/>
      <c r="G2" s="2101"/>
      <c r="H2" s="2101"/>
      <c r="I2" s="2101"/>
      <c r="J2" s="2101"/>
      <c r="K2" s="2101"/>
    </row>
    <row r="3" spans="1:41" s="2038" customFormat="1" ht="18" customHeight="1">
      <c r="A3" s="1377" t="s">
        <v>1686</v>
      </c>
      <c r="B3" s="425">
        <f ca="1">ROUND(B2*10000/IF(B1="",'数据-汇总表'!E3,INDIRECT("'数据-取费表'!K"&amp;$K$1)),0)</f>
        <v>0</v>
      </c>
      <c r="C3" s="2101"/>
      <c r="D3" s="2101"/>
      <c r="E3" s="2101"/>
      <c r="F3" s="2101"/>
      <c r="G3" s="2101"/>
      <c r="H3" s="2101"/>
      <c r="I3" s="2101"/>
      <c r="J3" s="2101"/>
      <c r="K3" s="2101"/>
    </row>
    <row r="4" spans="1:41" s="2038" customFormat="1" ht="18" customHeight="1">
      <c r="A4" s="426" t="s">
        <v>468</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469</v>
      </c>
      <c r="D5" s="2101"/>
      <c r="E5" s="2101"/>
      <c r="F5" s="2101"/>
      <c r="G5" s="2101"/>
      <c r="H5" s="2101"/>
      <c r="I5" s="2101"/>
      <c r="J5" s="2101"/>
      <c r="K5" s="2101"/>
    </row>
    <row r="6" spans="1:41" s="2108" customFormat="1" ht="16.5" customHeight="1">
      <c r="A6" s="432" t="s">
        <v>2657</v>
      </c>
      <c r="B6" s="433"/>
      <c r="C6" s="1621">
        <f>SUM(C10:K10)</f>
        <v>0</v>
      </c>
      <c r="D6" s="2106"/>
      <c r="E6" s="2106"/>
      <c r="F6" s="2106"/>
      <c r="G6" s="2106"/>
      <c r="H6" s="2106"/>
      <c r="I6" s="2106"/>
      <c r="J6" s="2106"/>
      <c r="K6" s="2107"/>
    </row>
    <row r="7" spans="1:41" s="2110" customFormat="1" ht="15">
      <c r="A7" s="434" t="s">
        <v>470</v>
      </c>
      <c r="B7" s="435" t="s">
        <v>471</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1847</v>
      </c>
      <c r="B8" s="438" t="s">
        <v>472</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1849</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1866</v>
      </c>
      <c r="B11" s="1619"/>
      <c r="C11" s="1619"/>
      <c r="D11" s="1619"/>
      <c r="E11" s="1619"/>
      <c r="F11" s="1619"/>
      <c r="G11" s="1619"/>
      <c r="H11" s="1619"/>
      <c r="I11" s="1619"/>
      <c r="J11" s="1619"/>
      <c r="K11" s="1620"/>
    </row>
    <row r="12" spans="1:41" s="2082" customFormat="1" ht="13.5" customHeight="1">
      <c r="A12" s="434" t="s">
        <v>470</v>
      </c>
      <c r="B12" s="444" t="s">
        <v>471</v>
      </c>
      <c r="C12" s="445" t="s">
        <v>475</v>
      </c>
      <c r="D12" s="446" t="s">
        <v>476</v>
      </c>
      <c r="E12" s="446" t="s">
        <v>477</v>
      </c>
      <c r="F12" s="446" t="s">
        <v>478</v>
      </c>
      <c r="G12" s="444"/>
      <c r="H12" s="447"/>
      <c r="I12" s="447"/>
      <c r="J12" s="447"/>
      <c r="K12" s="448"/>
    </row>
    <row r="13" spans="1:41" s="2113" customFormat="1" ht="13.5" customHeight="1">
      <c r="A13" s="1630" t="s">
        <v>1850</v>
      </c>
      <c r="B13" s="449" t="s">
        <v>479</v>
      </c>
      <c r="C13" s="450">
        <f ca="1">IF(B1="",'数据-取费表'!M16,INDIRECT("'数据-取费表'!M"&amp;$K$1)+INDIRECT("'数据-取费表'!t"&amp;$K$1))</f>
        <v>94160</v>
      </c>
      <c r="D13" s="451"/>
      <c r="E13" s="365"/>
      <c r="F13" s="452"/>
      <c r="G13" s="444"/>
      <c r="H13" s="447"/>
      <c r="I13" s="447"/>
      <c r="J13" s="447"/>
      <c r="K13" s="448"/>
    </row>
    <row r="14" spans="1:41" s="2113" customFormat="1" ht="13.5" customHeight="1">
      <c r="A14" s="1630" t="s">
        <v>1851</v>
      </c>
      <c r="B14" s="449" t="s">
        <v>480</v>
      </c>
      <c r="C14" s="53">
        <f ca="1">ROUND(C13*F14,0)</f>
        <v>2825</v>
      </c>
      <c r="D14" s="451"/>
      <c r="E14" s="365"/>
      <c r="F14" s="453">
        <f>'数据-取费表'!B33</f>
        <v>0.03</v>
      </c>
      <c r="G14" s="444" t="s">
        <v>503</v>
      </c>
      <c r="H14" s="447"/>
      <c r="I14" s="447"/>
      <c r="J14" s="447"/>
      <c r="K14" s="448"/>
    </row>
    <row r="15" spans="1:41" s="2113" customFormat="1" ht="13.5" customHeight="1">
      <c r="A15" s="1630" t="s">
        <v>1852</v>
      </c>
      <c r="B15" s="449" t="s">
        <v>482</v>
      </c>
      <c r="C15" s="53">
        <f ca="1">ROUND(IF(B1="",SUMIF('数据-取费表'!C:C,"住宅",'数据-取费表'!M:M)*F15,IF(INDIRECT("'数据-取费表'!c"&amp;$K$1)="住宅",INDIRECT("'数据-取费表'!M"&amp;$K$1)*F15,0)),0)</f>
        <v>1291</v>
      </c>
      <c r="D15" s="451"/>
      <c r="E15" s="365"/>
      <c r="F15" s="453">
        <f>'数据-取费表'!B34</f>
        <v>0.03</v>
      </c>
      <c r="G15" s="444" t="s">
        <v>503</v>
      </c>
      <c r="H15" s="447"/>
      <c r="I15" s="447"/>
      <c r="J15" s="447"/>
      <c r="K15" s="448"/>
    </row>
    <row r="16" spans="1:41" s="2114" customFormat="1" ht="13.5" customHeight="1">
      <c r="A16" s="1630" t="s">
        <v>1853</v>
      </c>
      <c r="B16" s="449" t="s">
        <v>484</v>
      </c>
      <c r="C16" s="53">
        <f ca="1">ROUND(D16*E16/10000,0)</f>
        <v>10750</v>
      </c>
      <c r="D16" s="451">
        <f ca="1">IF(B1="",'数据-汇总表'!E3,INDIRECT("'数据-取费表'!K"&amp;$K$1)+INDIRECT("'数据-取费表'!S"&amp;$K$1))</f>
        <v>537479.47</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1854</v>
      </c>
      <c r="B17" s="449" t="s">
        <v>485</v>
      </c>
      <c r="C17" s="454">
        <f ca="1">ROUND(C13*F17,0)</f>
        <v>1412</v>
      </c>
      <c r="D17" s="455"/>
      <c r="E17" s="454"/>
      <c r="F17" s="456">
        <f>'数据-取费表'!B36</f>
        <v>1.4999999999999999E-2</v>
      </c>
      <c r="G17" s="444" t="s">
        <v>503</v>
      </c>
      <c r="H17" s="457"/>
      <c r="I17" s="457"/>
      <c r="J17" s="457"/>
      <c r="K17" s="458"/>
    </row>
    <row r="18" spans="1:14" s="2116" customFormat="1" ht="13.5" customHeight="1">
      <c r="A18" s="1631" t="s">
        <v>1855</v>
      </c>
      <c r="B18" s="459" t="s">
        <v>487</v>
      </c>
      <c r="C18" s="460">
        <f ca="1">SUM(C13:C17)</f>
        <v>110438</v>
      </c>
      <c r="D18" s="461"/>
      <c r="E18" s="462"/>
      <c r="F18" s="462"/>
      <c r="G18" s="1325" t="s">
        <v>2433</v>
      </c>
      <c r="H18" s="447"/>
      <c r="I18" s="447"/>
      <c r="J18" s="447"/>
      <c r="K18" s="448"/>
    </row>
    <row r="19" spans="1:14" s="2116" customFormat="1" ht="13.5" customHeight="1">
      <c r="A19" s="1631" t="s">
        <v>1856</v>
      </c>
      <c r="B19" s="459" t="s">
        <v>493</v>
      </c>
      <c r="C19" s="460">
        <f ca="1">ROUND(C18*F19,0)</f>
        <v>1104</v>
      </c>
      <c r="D19" s="462"/>
      <c r="E19" s="462"/>
      <c r="F19" s="466">
        <f>'数据-取费表'!B37</f>
        <v>0.01</v>
      </c>
      <c r="G19" s="444" t="s">
        <v>504</v>
      </c>
      <c r="H19" s="447"/>
      <c r="I19" s="447"/>
      <c r="J19" s="447"/>
      <c r="K19" s="448"/>
      <c r="L19" s="2118"/>
      <c r="M19" s="2118"/>
      <c r="N19" s="2118"/>
    </row>
    <row r="20" spans="1:14" s="2116" customFormat="1" ht="13.5" customHeight="1">
      <c r="A20" s="1631" t="s">
        <v>1857</v>
      </c>
      <c r="B20" s="459" t="s">
        <v>505</v>
      </c>
      <c r="C20" s="2991">
        <f>F20</f>
        <v>0.02</v>
      </c>
      <c r="D20" s="468" t="s">
        <v>506</v>
      </c>
      <c r="E20" s="468"/>
      <c r="F20" s="484">
        <f>'数据-取费表'!B38</f>
        <v>0.02</v>
      </c>
      <c r="G20" s="1325" t="s">
        <v>507</v>
      </c>
      <c r="H20" s="447"/>
      <c r="I20" s="447"/>
      <c r="J20" s="447"/>
      <c r="K20" s="448"/>
      <c r="L20" s="2118"/>
      <c r="M20" s="2118"/>
      <c r="N20" s="2118"/>
    </row>
    <row r="21" spans="1:14" s="2118" customFormat="1" ht="13.5" customHeight="1">
      <c r="A21" s="1631" t="s">
        <v>1860</v>
      </c>
      <c r="B21" s="461" t="s">
        <v>494</v>
      </c>
      <c r="C21" s="469">
        <f ca="1">C22</f>
        <v>8041</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5" t="s">
        <v>2455</v>
      </c>
    </row>
    <row r="22" spans="1:14" s="2117" customFormat="1" ht="13.5" customHeight="1">
      <c r="A22" s="1630" t="s">
        <v>1850</v>
      </c>
      <c r="B22" s="1326" t="s">
        <v>2436</v>
      </c>
      <c r="C22" s="485">
        <f ca="1">ROUND(IF('数据-取费表'!B22&lt;=1,(C18+C19)*F21*'数据-取费表'!B20/2,(C18+C19)*(POWER((1+F21),'数据-取费表'!B20/2)-1)),0)</f>
        <v>8041</v>
      </c>
      <c r="D22" s="471"/>
      <c r="E22" s="472"/>
      <c r="F22" s="473"/>
      <c r="G22" s="2585" t="str">
        <f>IF('数据-取费表'!B22&lt;=1,"((1)+(2))×年利率×建设期÷2","((1)+(2))×((1+年利率)^(建设期÷2)-1)")</f>
        <v>((1)+(2))×((1+年利率)^(建设期÷2)-1)</v>
      </c>
      <c r="H22" s="457"/>
      <c r="I22" s="457"/>
      <c r="J22" s="457"/>
      <c r="K22" s="458"/>
    </row>
    <row r="23" spans="1:14" s="2117" customFormat="1" ht="13.5" customHeight="1">
      <c r="A23" s="1630" t="s">
        <v>1851</v>
      </c>
      <c r="B23" s="1326" t="s">
        <v>509</v>
      </c>
      <c r="C23" s="486">
        <f ca="1">ROUND(IF('数据-取费表'!B22&lt;=1,F20*F21*'数据-取费表'!B20/2,F20*(POWER((1+F21),'数据-取费表'!B20/2)-1)),4)</f>
        <v>1.4E-3</v>
      </c>
      <c r="D23" s="471"/>
      <c r="E23" s="472"/>
      <c r="F23" s="473"/>
      <c r="G23" s="2585" t="str">
        <f>IF('数据-取费表'!B22&lt;=1,"销售费用率×年利率×建设期÷2","销售费用率×((1+年利率)^(建设期÷2)-1)")</f>
        <v>销售费用率×((1+年利率)^(建设期÷2)-1)</v>
      </c>
      <c r="H23" s="457"/>
      <c r="I23" s="457"/>
      <c r="J23" s="457"/>
      <c r="K23" s="458"/>
    </row>
    <row r="24" spans="1:14" s="2117" customFormat="1" ht="13.5" customHeight="1">
      <c r="A24" s="1631" t="s">
        <v>1861</v>
      </c>
      <c r="B24" s="2993" t="s">
        <v>2837</v>
      </c>
      <c r="C24" s="476">
        <f ca="1">C25</f>
        <v>13385</v>
      </c>
      <c r="D24" s="487">
        <f ca="1">C26</f>
        <v>2.3999999999999998E-3</v>
      </c>
      <c r="E24" s="468" t="s">
        <v>508</v>
      </c>
      <c r="F24" s="477">
        <f ca="1">IF(B1="",'数据-取费表'!Q16,INDIRECT("'数据-取费表'!q"&amp;$K$1))</f>
        <v>0.12</v>
      </c>
      <c r="G24" s="444"/>
      <c r="H24" s="447"/>
      <c r="I24" s="447"/>
      <c r="J24" s="447"/>
      <c r="K24" s="448"/>
    </row>
    <row r="25" spans="1:14" s="2117" customFormat="1" ht="13.5" customHeight="1">
      <c r="A25" s="1630" t="s">
        <v>1850</v>
      </c>
      <c r="B25" s="1326" t="s">
        <v>2437</v>
      </c>
      <c r="C25" s="488">
        <f ca="1">ROUND((C18+C19)*F24,0)</f>
        <v>13385</v>
      </c>
      <c r="D25" s="471"/>
      <c r="E25" s="472"/>
      <c r="F25" s="478"/>
      <c r="G25" s="1324" t="s">
        <v>2434</v>
      </c>
      <c r="H25" s="457"/>
      <c r="I25" s="457"/>
      <c r="J25" s="457"/>
      <c r="K25" s="458"/>
    </row>
    <row r="26" spans="1:14" s="2117" customFormat="1" ht="13.5" customHeight="1">
      <c r="A26" s="1630" t="s">
        <v>1851</v>
      </c>
      <c r="B26" s="1326" t="s">
        <v>510</v>
      </c>
      <c r="C26" s="489">
        <f ca="1">ROUND(F20*F24,4)</f>
        <v>2.3999999999999998E-3</v>
      </c>
      <c r="D26" s="471"/>
      <c r="E26" s="479"/>
      <c r="F26" s="478"/>
      <c r="G26" s="1324" t="s">
        <v>511</v>
      </c>
      <c r="H26" s="457"/>
      <c r="I26" s="457"/>
      <c r="J26" s="457"/>
      <c r="K26" s="458"/>
    </row>
    <row r="27" spans="1:14" s="2117" customFormat="1" ht="13.5" customHeight="1">
      <c r="A27" s="1634" t="s">
        <v>1869</v>
      </c>
      <c r="B27" s="459" t="s">
        <v>512</v>
      </c>
      <c r="C27" s="2992">
        <f>ROUND(F27/(1+'数据-取费表'!C42),4)</f>
        <v>5.9400000000000001E-2</v>
      </c>
      <c r="D27" s="462" t="s">
        <v>2835</v>
      </c>
      <c r="E27" s="462"/>
      <c r="F27" s="466">
        <f>'数据-取费表'!B41</f>
        <v>6.2719999999999998E-2</v>
      </c>
      <c r="G27" s="1957" t="s">
        <v>2292</v>
      </c>
      <c r="H27" s="447"/>
      <c r="I27" s="447"/>
      <c r="J27" s="447"/>
      <c r="K27" s="448"/>
    </row>
    <row r="28" spans="1:14" s="2118" customFormat="1" ht="13.5" customHeight="1">
      <c r="A28" s="1634" t="s">
        <v>1870</v>
      </c>
      <c r="B28" s="474" t="s">
        <v>513</v>
      </c>
      <c r="C28" s="469">
        <f ca="1">ROUND((C18+C19+C21+C24)/(1-C20-D21-D24-C27),0)</f>
        <v>145035</v>
      </c>
      <c r="D28" s="475"/>
      <c r="E28" s="468"/>
      <c r="F28" s="470"/>
      <c r="G28" s="1325" t="s">
        <v>2435</v>
      </c>
      <c r="H28" s="447"/>
      <c r="I28" s="447"/>
      <c r="J28" s="447"/>
      <c r="K28" s="448"/>
    </row>
    <row r="29" spans="1:14" s="2118" customFormat="1" ht="13.5" customHeight="1">
      <c r="A29" s="1634" t="s">
        <v>1871</v>
      </c>
      <c r="B29" s="474" t="s">
        <v>514</v>
      </c>
      <c r="C29" s="490">
        <f ca="1">IF(B1="",'数据-取费表'!N16,INDIRECT("'数据-取费表'!N"&amp;$K$1))</f>
        <v>0</v>
      </c>
      <c r="D29" s="491"/>
      <c r="E29" s="492"/>
      <c r="F29" s="493"/>
      <c r="G29" s="444"/>
      <c r="H29" s="447"/>
      <c r="I29" s="447"/>
      <c r="J29" s="447"/>
      <c r="K29" s="448"/>
    </row>
    <row r="30" spans="1:14" s="2118" customFormat="1" ht="13.5" customHeight="1">
      <c r="A30" s="443">
        <v>2</v>
      </c>
      <c r="B30" s="474" t="s">
        <v>515</v>
      </c>
      <c r="C30" s="495">
        <f ca="1">ROUND(C28*C29,0)</f>
        <v>0</v>
      </c>
      <c r="D30" s="491"/>
      <c r="E30" s="496"/>
      <c r="F30" s="497"/>
      <c r="G30" s="1327" t="s">
        <v>516</v>
      </c>
      <c r="H30" s="494"/>
      <c r="I30" s="494"/>
      <c r="J30" s="447"/>
      <c r="K30" s="448"/>
    </row>
    <row r="31" spans="1:14" s="2123" customFormat="1" ht="13.5" customHeight="1">
      <c r="A31" s="2503" t="s">
        <v>1867</v>
      </c>
      <c r="B31" s="1328"/>
      <c r="C31" s="498">
        <f>ROUND(C6*F31/(1+'数据-取费表'!C42),0)</f>
        <v>0</v>
      </c>
      <c r="D31" s="1329"/>
      <c r="E31" s="1329"/>
      <c r="F31" s="499">
        <f>'数据-取费表'!B41</f>
        <v>6.2719999999999998E-2</v>
      </c>
      <c r="G31" s="1330"/>
      <c r="H31" s="1330"/>
      <c r="I31" s="1330"/>
      <c r="J31" s="1331"/>
      <c r="K31" s="1332"/>
    </row>
    <row r="32" spans="1:14" s="2082"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4" t="s">
        <v>2456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8"/>
      <c r="AC3" s="428"/>
    </row>
    <row r="4" spans="1:29" s="1334" customFormat="1" ht="28.5" customHeight="1">
      <c r="A4" s="509" t="s">
        <v>521</v>
      </c>
      <c r="B4" s="427"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29" s="1334" customFormat="1" ht="28.5" customHeight="1" thickBot="1">
      <c r="A5" s="429"/>
      <c r="B5" s="430" t="e">
        <f>ROUND(B2/('数据-汇总表'!D3/666.67),0)</f>
        <v>#DIV/0!</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8"/>
    </row>
    <row r="6" spans="1:29" ht="15">
      <c r="A6" s="510" t="s">
        <v>522</v>
      </c>
      <c r="B6" s="511"/>
      <c r="C6" s="3293" t="s">
        <v>523</v>
      </c>
      <c r="D6" s="3294"/>
      <c r="E6" s="3317" t="s">
        <v>524</v>
      </c>
      <c r="F6" s="3318"/>
      <c r="G6" s="3293" t="s">
        <v>525</v>
      </c>
      <c r="H6" s="3294"/>
      <c r="I6" s="3293" t="s">
        <v>526</v>
      </c>
      <c r="J6" s="3294"/>
      <c r="K6" s="512" t="s">
        <v>527</v>
      </c>
      <c r="L6" s="2130"/>
      <c r="M6" s="2131"/>
      <c r="N6" s="2131"/>
      <c r="O6" s="2131"/>
      <c r="P6" s="3295" t="s">
        <v>528</v>
      </c>
      <c r="Q6" s="3296"/>
      <c r="R6" s="3281" t="s">
        <v>524</v>
      </c>
      <c r="S6" s="3282"/>
      <c r="T6" s="3281" t="s">
        <v>525</v>
      </c>
      <c r="U6" s="3282"/>
      <c r="V6" s="3301" t="s">
        <v>526</v>
      </c>
      <c r="W6" s="3301"/>
      <c r="X6" s="1565"/>
      <c r="Y6" s="3281" t="s">
        <v>528</v>
      </c>
      <c r="Z6" s="3282"/>
      <c r="AA6" s="3276" t="s">
        <v>524</v>
      </c>
      <c r="AB6" s="3277" t="s">
        <v>525</v>
      </c>
      <c r="AC6" s="3276" t="s">
        <v>526</v>
      </c>
    </row>
    <row r="7" spans="1:29" ht="15">
      <c r="A7" s="513"/>
      <c r="B7" s="514"/>
      <c r="C7" s="3304" t="s">
        <v>2933</v>
      </c>
      <c r="D7" s="3305"/>
      <c r="E7" s="3319" t="s">
        <v>2934</v>
      </c>
      <c r="F7" s="3320"/>
      <c r="G7" s="3304" t="s">
        <v>2935</v>
      </c>
      <c r="H7" s="3305"/>
      <c r="I7" s="3304" t="s">
        <v>2936</v>
      </c>
      <c r="J7" s="3305"/>
      <c r="K7" s="512"/>
      <c r="L7" s="2130"/>
      <c r="M7" s="2131"/>
      <c r="N7" s="2131"/>
      <c r="O7" s="2131"/>
      <c r="P7" s="3297"/>
      <c r="Q7" s="3298"/>
      <c r="R7" s="3283"/>
      <c r="S7" s="3284"/>
      <c r="T7" s="3283"/>
      <c r="U7" s="3284"/>
      <c r="V7" s="3301"/>
      <c r="W7" s="3301"/>
      <c r="X7" s="1565"/>
      <c r="Y7" s="3283"/>
      <c r="Z7" s="3284"/>
      <c r="AA7" s="3277"/>
      <c r="AB7" s="3277"/>
      <c r="AC7" s="3277"/>
    </row>
    <row r="8" spans="1:29" ht="15.75" thickBot="1">
      <c r="A8" s="515"/>
      <c r="B8" s="516"/>
      <c r="C8" s="3302" t="s">
        <v>2937</v>
      </c>
      <c r="D8" s="3303"/>
      <c r="E8" s="3321" t="s">
        <v>2937</v>
      </c>
      <c r="F8" s="3322"/>
      <c r="G8" s="3302" t="s">
        <v>2937</v>
      </c>
      <c r="H8" s="3303"/>
      <c r="I8" s="3302" t="s">
        <v>2937</v>
      </c>
      <c r="J8" s="3303"/>
      <c r="K8" s="512" t="s">
        <v>529</v>
      </c>
      <c r="L8" s="2130"/>
      <c r="M8" s="2131"/>
      <c r="N8" s="2131"/>
      <c r="O8" s="2131"/>
      <c r="P8" s="3299"/>
      <c r="Q8" s="3300"/>
      <c r="R8" s="3283"/>
      <c r="S8" s="3284"/>
      <c r="T8" s="3285"/>
      <c r="U8" s="3286"/>
      <c r="V8" s="3301"/>
      <c r="W8" s="3301"/>
      <c r="X8" s="1565"/>
      <c r="Y8" s="3285"/>
      <c r="Z8" s="3286"/>
      <c r="AA8" s="3278"/>
      <c r="AB8" s="3278"/>
      <c r="AC8" s="3278"/>
    </row>
    <row r="9" spans="1:29" s="1218" customFormat="1" ht="15.75" thickBot="1">
      <c r="A9" s="2875"/>
      <c r="B9" s="2882" t="s">
        <v>530</v>
      </c>
      <c r="C9" s="517">
        <f>'数据-取费表'!B2</f>
        <v>43054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279" t="s">
        <v>531</v>
      </c>
      <c r="Q9" s="3288"/>
      <c r="R9" s="1566" t="s">
        <v>8</v>
      </c>
      <c r="S9" s="1567">
        <f t="shared" ref="S9:S17" si="0">F9</f>
        <v>0</v>
      </c>
      <c r="T9" s="1566" t="s">
        <v>8</v>
      </c>
      <c r="U9" s="1567">
        <f t="shared" ref="U9:U17" si="1">H9</f>
        <v>0</v>
      </c>
      <c r="V9" s="1566" t="s">
        <v>8</v>
      </c>
      <c r="W9" s="1567">
        <f t="shared" ref="W9:W17" si="2">J9</f>
        <v>0</v>
      </c>
      <c r="X9" s="1568"/>
      <c r="Y9" s="3279" t="s">
        <v>531</v>
      </c>
      <c r="Z9" s="3280"/>
      <c r="AA9" s="1569" t="e">
        <f>D9/F9</f>
        <v>#DIV/0!</v>
      </c>
      <c r="AB9" s="1569" t="e">
        <f>D9/H9</f>
        <v>#DIV/0!</v>
      </c>
      <c r="AC9" s="1569" t="e">
        <f>D9/J9</f>
        <v>#DIV/0!</v>
      </c>
    </row>
    <row r="10" spans="1:29" s="1218"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279" t="s">
        <v>534</v>
      </c>
      <c r="Q10" s="3280"/>
      <c r="R10" s="1566" t="s">
        <v>8</v>
      </c>
      <c r="S10" s="1567">
        <f t="shared" si="0"/>
        <v>0</v>
      </c>
      <c r="T10" s="1566" t="s">
        <v>8</v>
      </c>
      <c r="U10" s="1567">
        <f t="shared" si="1"/>
        <v>0</v>
      </c>
      <c r="V10" s="1566" t="s">
        <v>8</v>
      </c>
      <c r="W10" s="1567">
        <f t="shared" si="2"/>
        <v>0</v>
      </c>
      <c r="X10" s="1568"/>
      <c r="Y10" s="3279" t="s">
        <v>534</v>
      </c>
      <c r="Z10" s="3280"/>
      <c r="AA10" s="1569" t="e">
        <f t="shared" ref="AA10:AA42" si="3">D10/F10</f>
        <v>#DIV/0!</v>
      </c>
      <c r="AB10" s="1569" t="e">
        <f t="shared" ref="AB10:AB42" si="4">D10/H10</f>
        <v>#DIV/0!</v>
      </c>
      <c r="AC10" s="1569" t="e">
        <f t="shared" ref="AC10:AC42" si="5">D10/J10</f>
        <v>#DIV/0!</v>
      </c>
    </row>
    <row r="11" spans="1:29" s="1218" customFormat="1" ht="15">
      <c r="A11" s="2877"/>
      <c r="B11" s="2884" t="s">
        <v>2761</v>
      </c>
      <c r="C11" s="524"/>
      <c r="D11" s="254">
        <v>100</v>
      </c>
      <c r="E11" s="524"/>
      <c r="F11" s="254">
        <f>SUMIF(72:72,E11,73:73)-SUMIF(72:72,C11,73:73)+100</f>
        <v>100</v>
      </c>
      <c r="G11" s="524"/>
      <c r="H11" s="254">
        <f>SUMIF(72:72,G11,73:73)-SUMIF(72:72,C11,73:73)+100</f>
        <v>100</v>
      </c>
      <c r="I11" s="524"/>
      <c r="J11" s="254">
        <f>SUMIF(72:72,I11,73:73)-SUMIF(72:72,C11,73:73)+100</f>
        <v>100</v>
      </c>
      <c r="K11" s="522"/>
      <c r="L11" s="2132"/>
      <c r="M11" s="2133"/>
      <c r="N11" s="2133"/>
      <c r="O11" s="2134"/>
      <c r="P11" s="3287" t="s">
        <v>536</v>
      </c>
      <c r="Q11" s="1149" t="str">
        <f t="shared" ref="Q11:Q17" si="6">B11</f>
        <v>用途</v>
      </c>
      <c r="R11" s="1566" t="s">
        <v>8</v>
      </c>
      <c r="S11" s="1567">
        <f t="shared" si="0"/>
        <v>100</v>
      </c>
      <c r="T11" s="1566" t="s">
        <v>8</v>
      </c>
      <c r="U11" s="1567">
        <f t="shared" si="1"/>
        <v>100</v>
      </c>
      <c r="V11" s="1566" t="s">
        <v>8</v>
      </c>
      <c r="W11" s="1567">
        <f t="shared" si="2"/>
        <v>100</v>
      </c>
      <c r="X11" s="1568"/>
      <c r="Y11" s="3244" t="s">
        <v>537</v>
      </c>
      <c r="Z11" s="1148" t="str">
        <f t="shared" ref="Z11:Z17" si="7">Q11</f>
        <v>用途</v>
      </c>
      <c r="AA11" s="1569">
        <f t="shared" si="3"/>
        <v>1</v>
      </c>
      <c r="AB11" s="1569">
        <f t="shared" si="4"/>
        <v>1</v>
      </c>
      <c r="AC11" s="1569">
        <f t="shared" si="5"/>
        <v>1</v>
      </c>
    </row>
    <row r="12" spans="1:29" s="1336" customFormat="1" ht="27">
      <c r="A12" s="2878"/>
      <c r="B12" s="2883" t="s">
        <v>2762</v>
      </c>
      <c r="C12" s="526"/>
      <c r="D12" s="255">
        <v>100</v>
      </c>
      <c r="E12" s="526"/>
      <c r="F12" s="255">
        <f>ROUND(100/'数据-取费表'!G16,0)</f>
        <v>100</v>
      </c>
      <c r="G12" s="526"/>
      <c r="H12" s="255">
        <f>ROUND(100/'数据-取费表'!G16,0)</f>
        <v>100</v>
      </c>
      <c r="I12" s="526"/>
      <c r="J12" s="255">
        <f>ROUND(100/'数据-取费表'!G16,0)</f>
        <v>100</v>
      </c>
      <c r="K12" s="529"/>
      <c r="L12" s="2135"/>
      <c r="M12" s="2175"/>
      <c r="N12" s="2175"/>
      <c r="O12" s="2136"/>
      <c r="P12" s="3287"/>
      <c r="Q12" s="1149" t="str">
        <f t="shared" si="6"/>
        <v>土地使用年限（年）</v>
      </c>
      <c r="R12" s="1566" t="s">
        <v>8</v>
      </c>
      <c r="S12" s="1567">
        <f t="shared" si="0"/>
        <v>100</v>
      </c>
      <c r="T12" s="1566" t="s">
        <v>8</v>
      </c>
      <c r="U12" s="1567">
        <f t="shared" si="1"/>
        <v>100</v>
      </c>
      <c r="V12" s="1566" t="s">
        <v>8</v>
      </c>
      <c r="W12" s="1567">
        <f t="shared" si="2"/>
        <v>100</v>
      </c>
      <c r="X12" s="1568"/>
      <c r="Y12" s="3244"/>
      <c r="Z12" s="1148" t="str">
        <f t="shared" si="7"/>
        <v>土地使用年限（年）</v>
      </c>
      <c r="AA12" s="1569">
        <f t="shared" si="3"/>
        <v>1</v>
      </c>
      <c r="AB12" s="1569">
        <f t="shared" si="4"/>
        <v>1</v>
      </c>
      <c r="AC12" s="1569">
        <f t="shared" si="5"/>
        <v>1</v>
      </c>
    </row>
    <row r="13" spans="1:29" ht="15">
      <c r="A13" s="2879"/>
      <c r="B13" s="2883" t="s">
        <v>2763</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7"/>
      <c r="M13" s="2131"/>
      <c r="N13" s="2131"/>
      <c r="O13" s="2138"/>
      <c r="P13" s="3287"/>
      <c r="Q13" s="1149" t="str">
        <f t="shared" si="6"/>
        <v>容积率</v>
      </c>
      <c r="R13" s="1566" t="s">
        <v>8</v>
      </c>
      <c r="S13" s="1567" t="e">
        <f t="shared" si="0"/>
        <v>#N/A</v>
      </c>
      <c r="T13" s="1566" t="s">
        <v>8</v>
      </c>
      <c r="U13" s="1567" t="e">
        <f t="shared" si="1"/>
        <v>#N/A</v>
      </c>
      <c r="V13" s="1566" t="s">
        <v>8</v>
      </c>
      <c r="W13" s="1567" t="e">
        <f t="shared" si="2"/>
        <v>#N/A</v>
      </c>
      <c r="X13" s="1568"/>
      <c r="Y13" s="3244"/>
      <c r="Z13" s="1148" t="str">
        <f t="shared" si="7"/>
        <v>容积率</v>
      </c>
      <c r="AA13" s="1569" t="e">
        <f t="shared" si="3"/>
        <v>#N/A</v>
      </c>
      <c r="AB13" s="1569" t="e">
        <f t="shared" si="4"/>
        <v>#N/A</v>
      </c>
      <c r="AC13" s="1569" t="e">
        <f t="shared" si="5"/>
        <v>#N/A</v>
      </c>
    </row>
    <row r="14" spans="1:29" s="1218"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32"/>
      <c r="M14" s="2133"/>
      <c r="N14" s="2133"/>
      <c r="O14" s="2134"/>
      <c r="P14" s="3287"/>
      <c r="Q14" s="1149">
        <f t="shared" si="6"/>
        <v>111</v>
      </c>
      <c r="R14" s="1566" t="s">
        <v>8</v>
      </c>
      <c r="S14" s="1567">
        <f t="shared" si="0"/>
        <v>100</v>
      </c>
      <c r="T14" s="1566" t="s">
        <v>8</v>
      </c>
      <c r="U14" s="1567">
        <f t="shared" si="1"/>
        <v>100</v>
      </c>
      <c r="V14" s="1566" t="s">
        <v>8</v>
      </c>
      <c r="W14" s="1567">
        <f t="shared" si="2"/>
        <v>100</v>
      </c>
      <c r="X14" s="1568"/>
      <c r="Y14" s="3244"/>
      <c r="Z14" s="1148">
        <f t="shared" si="7"/>
        <v>111</v>
      </c>
      <c r="AA14" s="1569">
        <f>D14/F14</f>
        <v>1</v>
      </c>
      <c r="AB14" s="1569">
        <f>D14/H14</f>
        <v>1</v>
      </c>
      <c r="AC14" s="1569">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9"/>
      <c r="M15" s="2131"/>
      <c r="N15" s="2131"/>
      <c r="O15" s="2138"/>
      <c r="P15" s="3287"/>
      <c r="Q15" s="1149">
        <f t="shared" si="6"/>
        <v>111</v>
      </c>
      <c r="R15" s="1566" t="s">
        <v>8</v>
      </c>
      <c r="S15" s="1567">
        <f t="shared" si="0"/>
        <v>100</v>
      </c>
      <c r="T15" s="1566" t="s">
        <v>8</v>
      </c>
      <c r="U15" s="1567">
        <f t="shared" si="1"/>
        <v>100</v>
      </c>
      <c r="V15" s="1566" t="s">
        <v>8</v>
      </c>
      <c r="W15" s="1567">
        <f t="shared" si="2"/>
        <v>100</v>
      </c>
      <c r="X15" s="1568"/>
      <c r="Y15" s="3244"/>
      <c r="Z15" s="1148">
        <f t="shared" si="7"/>
        <v>111</v>
      </c>
      <c r="AA15" s="1569">
        <f t="shared" si="3"/>
        <v>1</v>
      </c>
      <c r="AB15" s="1569">
        <f t="shared" si="4"/>
        <v>1</v>
      </c>
      <c r="AC15" s="1569">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287"/>
      <c r="Q16" s="1149">
        <f t="shared" si="6"/>
        <v>111</v>
      </c>
      <c r="R16" s="1566" t="s">
        <v>8</v>
      </c>
      <c r="S16" s="1567">
        <f t="shared" si="0"/>
        <v>100</v>
      </c>
      <c r="T16" s="1566" t="s">
        <v>8</v>
      </c>
      <c r="U16" s="1567">
        <f t="shared" si="1"/>
        <v>100</v>
      </c>
      <c r="V16" s="1566" t="s">
        <v>8</v>
      </c>
      <c r="W16" s="1567">
        <f t="shared" si="2"/>
        <v>100</v>
      </c>
      <c r="X16" s="1568"/>
      <c r="Y16" s="3244"/>
      <c r="Z16" s="1148">
        <f t="shared" si="7"/>
        <v>111</v>
      </c>
      <c r="AA16" s="1569">
        <f t="shared" si="3"/>
        <v>1</v>
      </c>
      <c r="AB16" s="1569">
        <f t="shared" si="4"/>
        <v>1</v>
      </c>
      <c r="AC16" s="1569">
        <f t="shared" si="5"/>
        <v>1</v>
      </c>
    </row>
    <row r="17" spans="1:29" ht="57">
      <c r="A17" s="2873" t="s">
        <v>2759</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289" t="s">
        <v>541</v>
      </c>
      <c r="Q17" s="1570" t="str">
        <f t="shared" si="6"/>
        <v>产业集聚程度</v>
      </c>
      <c r="R17" s="1571" t="s">
        <v>8</v>
      </c>
      <c r="S17" s="1572">
        <f t="shared" si="0"/>
        <v>100</v>
      </c>
      <c r="T17" s="1571" t="s">
        <v>8</v>
      </c>
      <c r="U17" s="1572">
        <f t="shared" si="1"/>
        <v>100</v>
      </c>
      <c r="V17" s="1571" t="s">
        <v>8</v>
      </c>
      <c r="W17" s="1572">
        <f t="shared" si="2"/>
        <v>100</v>
      </c>
      <c r="X17" s="1565"/>
      <c r="Y17" s="3289" t="s">
        <v>541</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290"/>
      <c r="Q18" s="1570"/>
      <c r="R18" s="1571"/>
      <c r="S18" s="1572"/>
      <c r="T18" s="1571"/>
      <c r="U18" s="1572"/>
      <c r="V18" s="1571"/>
      <c r="W18" s="1572"/>
      <c r="X18" s="1565"/>
      <c r="Y18" s="3290"/>
      <c r="Z18" s="1573"/>
      <c r="AA18" s="1574">
        <v>1</v>
      </c>
      <c r="AB18" s="1574">
        <v>1</v>
      </c>
      <c r="AC18" s="1574">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290"/>
      <c r="Q19" s="1570" t="str">
        <f>B19</f>
        <v>交通便捷度</v>
      </c>
      <c r="R19" s="1571" t="s">
        <v>8</v>
      </c>
      <c r="S19" s="1572">
        <f>F19</f>
        <v>100</v>
      </c>
      <c r="T19" s="1571" t="s">
        <v>8</v>
      </c>
      <c r="U19" s="1572">
        <f>H19</f>
        <v>100</v>
      </c>
      <c r="V19" s="1571" t="s">
        <v>8</v>
      </c>
      <c r="W19" s="1572">
        <f>J19</f>
        <v>100</v>
      </c>
      <c r="X19" s="1565"/>
      <c r="Y19" s="3290"/>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290"/>
      <c r="Q20" s="1570"/>
      <c r="R20" s="1571"/>
      <c r="S20" s="1572"/>
      <c r="T20" s="1571"/>
      <c r="U20" s="1572"/>
      <c r="V20" s="1571"/>
      <c r="W20" s="1572"/>
      <c r="X20" s="1565"/>
      <c r="Y20" s="3290"/>
      <c r="Z20" s="1573"/>
      <c r="AA20" s="1574">
        <v>1</v>
      </c>
      <c r="AB20" s="1574">
        <v>1</v>
      </c>
      <c r="AC20" s="1574">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290"/>
      <c r="Q21" s="1570" t="str">
        <f t="shared" ref="Q21:Q35" si="8">B21</f>
        <v>区域土地利用方向</v>
      </c>
      <c r="R21" s="1571" t="s">
        <v>8</v>
      </c>
      <c r="S21" s="1572">
        <f>F21</f>
        <v>100</v>
      </c>
      <c r="T21" s="1571" t="s">
        <v>8</v>
      </c>
      <c r="U21" s="1572">
        <f>H21</f>
        <v>100</v>
      </c>
      <c r="V21" s="1571" t="s">
        <v>8</v>
      </c>
      <c r="W21" s="1572">
        <f>J21</f>
        <v>100</v>
      </c>
      <c r="X21" s="1565"/>
      <c r="Y21" s="3290"/>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290"/>
      <c r="Q22" s="1570"/>
      <c r="R22" s="1571"/>
      <c r="S22" s="1572"/>
      <c r="T22" s="1571"/>
      <c r="U22" s="1572"/>
      <c r="V22" s="1571"/>
      <c r="W22" s="1572"/>
      <c r="X22" s="1565"/>
      <c r="Y22" s="3290"/>
      <c r="Z22" s="1573"/>
      <c r="AA22" s="1574"/>
      <c r="AB22" s="1574"/>
      <c r="AC22" s="1574"/>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290"/>
      <c r="Q23" s="1570" t="str">
        <f t="shared" si="8"/>
        <v>环境状况</v>
      </c>
      <c r="R23" s="1571" t="s">
        <v>8</v>
      </c>
      <c r="S23" s="1572">
        <f>F23</f>
        <v>100</v>
      </c>
      <c r="T23" s="1571" t="s">
        <v>8</v>
      </c>
      <c r="U23" s="1572">
        <f>H23</f>
        <v>100</v>
      </c>
      <c r="V23" s="1571" t="s">
        <v>8</v>
      </c>
      <c r="W23" s="1572">
        <f>J23</f>
        <v>100</v>
      </c>
      <c r="X23" s="1565"/>
      <c r="Y23" s="3290"/>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290"/>
      <c r="Q24" s="1570"/>
      <c r="R24" s="1571"/>
      <c r="S24" s="1572"/>
      <c r="T24" s="1571"/>
      <c r="U24" s="1572"/>
      <c r="V24" s="1571"/>
      <c r="W24" s="1572"/>
      <c r="X24" s="1565"/>
      <c r="Y24" s="3290"/>
      <c r="Z24" s="1573"/>
      <c r="AA24" s="1574">
        <v>1</v>
      </c>
      <c r="AB24" s="1574">
        <v>1</v>
      </c>
      <c r="AC24" s="1574">
        <v>1</v>
      </c>
    </row>
    <row r="25" spans="1:29" s="1218" customFormat="1" ht="42.75">
      <c r="A25" s="575"/>
      <c r="B25" s="2611" t="s">
        <v>2551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290"/>
      <c r="Q25" s="1149" t="str">
        <f t="shared" si="8"/>
        <v>公共配套设施</v>
      </c>
      <c r="R25" s="1566" t="s">
        <v>8</v>
      </c>
      <c r="S25" s="1567">
        <f>F25</f>
        <v>100</v>
      </c>
      <c r="T25" s="1566" t="s">
        <v>8</v>
      </c>
      <c r="U25" s="1567">
        <f>H25</f>
        <v>100</v>
      </c>
      <c r="V25" s="1566" t="s">
        <v>8</v>
      </c>
      <c r="W25" s="1567">
        <f>J25</f>
        <v>100</v>
      </c>
      <c r="X25" s="1568"/>
      <c r="Y25" s="3290"/>
      <c r="Z25" s="1148" t="str">
        <f>Q25</f>
        <v>公共配套设施</v>
      </c>
      <c r="AA25" s="1574">
        <f>D25/F25</f>
        <v>1</v>
      </c>
      <c r="AB25" s="1574">
        <f>D25/H25</f>
        <v>1</v>
      </c>
      <c r="AC25" s="1574">
        <f>D25/J25</f>
        <v>1</v>
      </c>
    </row>
    <row r="26" spans="1:29" s="1218" customFormat="1" ht="15">
      <c r="A26" s="575"/>
      <c r="B26" s="593"/>
      <c r="C26" s="2610"/>
      <c r="D26" s="553"/>
      <c r="E26" s="552"/>
      <c r="F26" s="553"/>
      <c r="G26" s="552"/>
      <c r="H26" s="553"/>
      <c r="I26" s="574"/>
      <c r="J26" s="553"/>
      <c r="K26" s="529"/>
      <c r="L26" s="2132"/>
      <c r="M26" s="2133"/>
      <c r="N26" s="2133"/>
      <c r="O26" s="2134"/>
      <c r="P26" s="3290"/>
      <c r="Q26" s="1149"/>
      <c r="R26" s="1566"/>
      <c r="S26" s="1567"/>
      <c r="T26" s="1566"/>
      <c r="U26" s="1567"/>
      <c r="V26" s="1566"/>
      <c r="W26" s="1567"/>
      <c r="X26" s="1568"/>
      <c r="Y26" s="3290"/>
      <c r="Z26" s="1148"/>
      <c r="AA26" s="1569">
        <v>1</v>
      </c>
      <c r="AB26" s="1569">
        <v>1</v>
      </c>
      <c r="AC26" s="1569">
        <v>1</v>
      </c>
    </row>
    <row r="27" spans="1:29" s="1218" customFormat="1" ht="28.5">
      <c r="A27" s="575"/>
      <c r="B27" s="2611" t="s">
        <v>2552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290"/>
      <c r="Q27" s="2596" t="str">
        <f t="shared" ref="Q27" si="9">B27</f>
        <v>基础设施水平</v>
      </c>
      <c r="R27" s="1566" t="s">
        <v>8</v>
      </c>
      <c r="S27" s="1567">
        <f>F27</f>
        <v>100</v>
      </c>
      <c r="T27" s="1566" t="s">
        <v>8</v>
      </c>
      <c r="U27" s="1567">
        <f>H27</f>
        <v>100</v>
      </c>
      <c r="V27" s="1566" t="s">
        <v>8</v>
      </c>
      <c r="W27" s="1567">
        <f>J27</f>
        <v>100</v>
      </c>
      <c r="X27" s="1568"/>
      <c r="Y27" s="3290"/>
      <c r="Z27" s="2593" t="str">
        <f>Q27</f>
        <v>基础设施水平</v>
      </c>
      <c r="AA27" s="1574">
        <f>D27/F27</f>
        <v>1</v>
      </c>
      <c r="AB27" s="1574">
        <f>D27/H27</f>
        <v>1</v>
      </c>
      <c r="AC27" s="1574">
        <f>D27/J27</f>
        <v>1</v>
      </c>
    </row>
    <row r="28" spans="1:29" s="1218" customFormat="1" ht="15">
      <c r="A28" s="575"/>
      <c r="B28" s="593"/>
      <c r="C28" s="2610"/>
      <c r="D28" s="553"/>
      <c r="E28" s="577"/>
      <c r="F28" s="553"/>
      <c r="G28" s="577"/>
      <c r="H28" s="553"/>
      <c r="I28" s="577"/>
      <c r="J28" s="553"/>
      <c r="K28" s="529"/>
      <c r="L28" s="2132"/>
      <c r="M28" s="2133"/>
      <c r="N28" s="2133"/>
      <c r="O28" s="2134"/>
      <c r="P28" s="3290"/>
      <c r="Q28" s="2596"/>
      <c r="R28" s="1566"/>
      <c r="S28" s="1567"/>
      <c r="T28" s="1566"/>
      <c r="U28" s="1567"/>
      <c r="V28" s="1566"/>
      <c r="W28" s="1567"/>
      <c r="X28" s="1568"/>
      <c r="Y28" s="3290"/>
      <c r="Z28" s="2593"/>
      <c r="AA28" s="1569">
        <v>1</v>
      </c>
      <c r="AB28" s="1569">
        <v>1</v>
      </c>
      <c r="AC28" s="1569">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29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290"/>
      <c r="Z29" s="1573" t="str">
        <f t="shared" ref="Z29:Z42" si="13">Q29</f>
        <v>临街状况</v>
      </c>
      <c r="AA29" s="1574">
        <f t="shared" si="3"/>
        <v>1</v>
      </c>
      <c r="AB29" s="1574">
        <f t="shared" si="4"/>
        <v>1</v>
      </c>
      <c r="AC29" s="1574">
        <f t="shared" si="5"/>
        <v>1</v>
      </c>
    </row>
    <row r="30" spans="1:29" ht="27">
      <c r="A30" s="530"/>
      <c r="B30" s="920"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290"/>
      <c r="Q30" s="1570" t="str">
        <f t="shared" si="8"/>
        <v>毗邻道路的类型与等级</v>
      </c>
      <c r="R30" s="1571" t="s">
        <v>8</v>
      </c>
      <c r="S30" s="1572">
        <f t="shared" si="10"/>
        <v>100</v>
      </c>
      <c r="T30" s="1571" t="s">
        <v>8</v>
      </c>
      <c r="U30" s="1572">
        <f t="shared" si="11"/>
        <v>100</v>
      </c>
      <c r="V30" s="1571" t="s">
        <v>8</v>
      </c>
      <c r="W30" s="1572">
        <f t="shared" si="12"/>
        <v>100</v>
      </c>
      <c r="X30" s="1565"/>
      <c r="Y30" s="3290"/>
      <c r="Z30" s="1573" t="str">
        <f t="shared" si="13"/>
        <v>毗邻道路的类型与等级</v>
      </c>
      <c r="AA30" s="1574">
        <f t="shared" si="3"/>
        <v>1</v>
      </c>
      <c r="AB30" s="1574">
        <f t="shared" si="4"/>
        <v>1</v>
      </c>
      <c r="AC30" s="1574">
        <f t="shared" si="5"/>
        <v>1</v>
      </c>
    </row>
    <row r="31" spans="1:29" ht="15">
      <c r="A31" s="530"/>
      <c r="B31" s="593"/>
      <c r="C31" s="574"/>
      <c r="D31" s="553"/>
      <c r="E31" s="552"/>
      <c r="F31" s="553"/>
      <c r="G31" s="552"/>
      <c r="H31" s="553"/>
      <c r="I31" s="574"/>
      <c r="J31" s="553"/>
      <c r="K31" s="579"/>
      <c r="L31" s="2139"/>
      <c r="M31" s="2131"/>
      <c r="N31" s="2131"/>
      <c r="O31" s="2138"/>
      <c r="P31" s="3290"/>
      <c r="Q31" s="1570"/>
      <c r="R31" s="1571"/>
      <c r="S31" s="1572"/>
      <c r="T31" s="1571"/>
      <c r="U31" s="1572"/>
      <c r="V31" s="1571"/>
      <c r="W31" s="1572"/>
      <c r="X31" s="1565"/>
      <c r="Y31" s="3290"/>
      <c r="Z31" s="1573"/>
      <c r="AA31" s="1574">
        <v>1</v>
      </c>
      <c r="AB31" s="1574">
        <v>1</v>
      </c>
      <c r="AC31" s="1574">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290"/>
      <c r="Q32" s="1570" t="str">
        <f t="shared" si="8"/>
        <v>土地级别</v>
      </c>
      <c r="R32" s="1571" t="s">
        <v>8</v>
      </c>
      <c r="S32" s="1572">
        <f t="shared" si="10"/>
        <v>100</v>
      </c>
      <c r="T32" s="1571" t="s">
        <v>8</v>
      </c>
      <c r="U32" s="1572">
        <f t="shared" si="11"/>
        <v>100</v>
      </c>
      <c r="V32" s="1571" t="s">
        <v>8</v>
      </c>
      <c r="W32" s="1572">
        <f t="shared" si="12"/>
        <v>100</v>
      </c>
      <c r="X32" s="1565"/>
      <c r="Y32" s="3290"/>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290"/>
      <c r="Q33" s="1570">
        <f t="shared" si="8"/>
        <v>111</v>
      </c>
      <c r="R33" s="1571" t="s">
        <v>8</v>
      </c>
      <c r="S33" s="1572">
        <f t="shared" si="10"/>
        <v>100</v>
      </c>
      <c r="T33" s="1571" t="s">
        <v>8</v>
      </c>
      <c r="U33" s="1572">
        <f t="shared" si="11"/>
        <v>100</v>
      </c>
      <c r="V33" s="1571" t="s">
        <v>8</v>
      </c>
      <c r="W33" s="1572">
        <f t="shared" si="12"/>
        <v>100</v>
      </c>
      <c r="X33" s="1565"/>
      <c r="Y33" s="3290"/>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291" t="s">
        <v>551</v>
      </c>
      <c r="Q34" s="1570">
        <f t="shared" si="8"/>
        <v>111</v>
      </c>
      <c r="R34" s="1571" t="s">
        <v>8</v>
      </c>
      <c r="S34" s="1572">
        <f t="shared" si="10"/>
        <v>100</v>
      </c>
      <c r="T34" s="1571" t="s">
        <v>8</v>
      </c>
      <c r="U34" s="1572">
        <f t="shared" si="11"/>
        <v>100</v>
      </c>
      <c r="V34" s="1571" t="s">
        <v>8</v>
      </c>
      <c r="W34" s="1572">
        <f t="shared" si="12"/>
        <v>100</v>
      </c>
      <c r="X34" s="1565"/>
      <c r="Y34" s="3292" t="s">
        <v>551</v>
      </c>
      <c r="Z34" s="1573">
        <f t="shared" si="13"/>
        <v>111</v>
      </c>
      <c r="AA34" s="1574">
        <f t="shared" si="3"/>
        <v>1</v>
      </c>
      <c r="AB34" s="1574">
        <f t="shared" si="4"/>
        <v>1</v>
      </c>
      <c r="AC34" s="1574">
        <f t="shared" si="5"/>
        <v>1</v>
      </c>
    </row>
    <row r="35" spans="1:29" s="1337" customFormat="1" ht="15.75" thickBot="1">
      <c r="A35" s="587"/>
      <c r="B35" s="2612">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292"/>
      <c r="Q35" s="1570">
        <f t="shared" si="8"/>
        <v>111</v>
      </c>
      <c r="R35" s="1575" t="s">
        <v>8</v>
      </c>
      <c r="S35" s="1576">
        <f t="shared" si="10"/>
        <v>100</v>
      </c>
      <c r="T35" s="1575" t="s">
        <v>8</v>
      </c>
      <c r="U35" s="1576">
        <f t="shared" si="11"/>
        <v>100</v>
      </c>
      <c r="V35" s="1575" t="s">
        <v>8</v>
      </c>
      <c r="W35" s="1576">
        <f t="shared" si="12"/>
        <v>100</v>
      </c>
      <c r="X35" s="1577"/>
      <c r="Y35" s="3292"/>
      <c r="Z35" s="1578">
        <f t="shared" si="13"/>
        <v>111</v>
      </c>
      <c r="AA35" s="1574">
        <f t="shared" si="3"/>
        <v>1</v>
      </c>
      <c r="AB35" s="1574">
        <f t="shared" si="4"/>
        <v>1</v>
      </c>
      <c r="AC35" s="1574">
        <f t="shared" si="5"/>
        <v>1</v>
      </c>
    </row>
    <row r="36" spans="1:29" ht="15">
      <c r="A36" s="2870" t="s">
        <v>2760</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292"/>
      <c r="Q36" s="1570" t="str">
        <f>B36</f>
        <v>宗地面积</v>
      </c>
      <c r="R36" s="1571" t="s">
        <v>8</v>
      </c>
      <c r="S36" s="1572" t="e">
        <f t="shared" si="10"/>
        <v>#N/A</v>
      </c>
      <c r="T36" s="1571" t="s">
        <v>8</v>
      </c>
      <c r="U36" s="1572" t="e">
        <f t="shared" si="11"/>
        <v>#N/A</v>
      </c>
      <c r="V36" s="1571" t="s">
        <v>8</v>
      </c>
      <c r="W36" s="1572" t="e">
        <f t="shared" si="12"/>
        <v>#N/A</v>
      </c>
      <c r="X36" s="1565"/>
      <c r="Y36" s="3292"/>
      <c r="Z36" s="1573" t="str">
        <f t="shared" si="13"/>
        <v>宗地面积</v>
      </c>
      <c r="AA36" s="1574" t="e">
        <f t="shared" si="3"/>
        <v>#N/A</v>
      </c>
      <c r="AB36" s="1574" t="e">
        <f t="shared" si="4"/>
        <v>#N/A</v>
      </c>
      <c r="AC36" s="1574"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292"/>
      <c r="Q37" s="1570" t="str">
        <f t="shared" ref="Q37:Q42" si="14">B37</f>
        <v>宗地形状</v>
      </c>
      <c r="R37" s="1571" t="s">
        <v>8</v>
      </c>
      <c r="S37" s="1572">
        <f t="shared" si="10"/>
        <v>100</v>
      </c>
      <c r="T37" s="1571" t="s">
        <v>8</v>
      </c>
      <c r="U37" s="1572">
        <f t="shared" si="11"/>
        <v>100</v>
      </c>
      <c r="V37" s="1571" t="s">
        <v>8</v>
      </c>
      <c r="W37" s="1572">
        <f t="shared" si="12"/>
        <v>100</v>
      </c>
      <c r="X37" s="1565"/>
      <c r="Y37" s="3292"/>
      <c r="Z37" s="1573" t="str">
        <f t="shared" si="13"/>
        <v>宗地形状</v>
      </c>
      <c r="AA37" s="1574">
        <f t="shared" si="3"/>
        <v>1</v>
      </c>
      <c r="AB37" s="1574">
        <f t="shared" si="4"/>
        <v>1</v>
      </c>
      <c r="AC37" s="1574">
        <f t="shared" si="5"/>
        <v>1</v>
      </c>
    </row>
    <row r="38" spans="1:29" s="1218" customFormat="1" ht="15">
      <c r="A38" s="598"/>
      <c r="B38" s="1892" t="s">
        <v>2425</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292"/>
      <c r="Q38" s="1570" t="str">
        <f t="shared" si="14"/>
        <v>宗地开发程度</v>
      </c>
      <c r="R38" s="1566" t="s">
        <v>8</v>
      </c>
      <c r="S38" s="1567">
        <f t="shared" si="10"/>
        <v>100</v>
      </c>
      <c r="T38" s="1566" t="s">
        <v>8</v>
      </c>
      <c r="U38" s="1567">
        <f t="shared" si="11"/>
        <v>100</v>
      </c>
      <c r="V38" s="1566" t="s">
        <v>8</v>
      </c>
      <c r="W38" s="1567">
        <f t="shared" si="12"/>
        <v>100</v>
      </c>
      <c r="X38" s="1568"/>
      <c r="Y38" s="3292"/>
      <c r="Z38" s="1148" t="str">
        <f t="shared" si="13"/>
        <v>宗地开发程度</v>
      </c>
      <c r="AA38" s="1569">
        <f t="shared" si="3"/>
        <v>1</v>
      </c>
      <c r="AB38" s="1569">
        <f t="shared" si="4"/>
        <v>1</v>
      </c>
      <c r="AC38" s="1569">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292" t="s">
        <v>602</v>
      </c>
      <c r="Q39" s="1570" t="str">
        <f t="shared" si="14"/>
        <v>工程地质条件</v>
      </c>
      <c r="R39" s="1571" t="s">
        <v>8</v>
      </c>
      <c r="S39" s="1572">
        <f t="shared" si="10"/>
        <v>100</v>
      </c>
      <c r="T39" s="1571" t="s">
        <v>8</v>
      </c>
      <c r="U39" s="1572">
        <f t="shared" si="11"/>
        <v>100</v>
      </c>
      <c r="V39" s="1571" t="s">
        <v>8</v>
      </c>
      <c r="W39" s="1572">
        <f t="shared" si="12"/>
        <v>100</v>
      </c>
      <c r="X39" s="1565"/>
      <c r="Y39" s="3292" t="s">
        <v>602</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292"/>
      <c r="Q40" s="1570">
        <f t="shared" si="14"/>
        <v>111</v>
      </c>
      <c r="R40" s="1571" t="s">
        <v>8</v>
      </c>
      <c r="S40" s="1572">
        <f t="shared" si="10"/>
        <v>100</v>
      </c>
      <c r="T40" s="1571" t="s">
        <v>8</v>
      </c>
      <c r="U40" s="1572">
        <f t="shared" si="11"/>
        <v>100</v>
      </c>
      <c r="V40" s="1571" t="s">
        <v>8</v>
      </c>
      <c r="W40" s="1572">
        <f t="shared" si="12"/>
        <v>100</v>
      </c>
      <c r="X40" s="1565"/>
      <c r="Y40" s="3292"/>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292"/>
      <c r="Q41" s="1570">
        <f t="shared" si="14"/>
        <v>111</v>
      </c>
      <c r="R41" s="1571" t="s">
        <v>8</v>
      </c>
      <c r="S41" s="1572">
        <f t="shared" si="10"/>
        <v>100</v>
      </c>
      <c r="T41" s="1571" t="s">
        <v>8</v>
      </c>
      <c r="U41" s="1572">
        <f t="shared" si="11"/>
        <v>100</v>
      </c>
      <c r="V41" s="1571" t="s">
        <v>8</v>
      </c>
      <c r="W41" s="1572">
        <f t="shared" si="12"/>
        <v>100</v>
      </c>
      <c r="X41" s="1565"/>
      <c r="Y41" s="3292"/>
      <c r="Z41" s="1573">
        <f t="shared" si="13"/>
        <v>111</v>
      </c>
      <c r="AA41" s="1574">
        <f t="shared" si="3"/>
        <v>1</v>
      </c>
      <c r="AB41" s="1574">
        <f t="shared" si="4"/>
        <v>1</v>
      </c>
      <c r="AC41" s="1574">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292"/>
      <c r="Q42" s="1570">
        <f t="shared" si="14"/>
        <v>111</v>
      </c>
      <c r="R42" s="1575" t="s">
        <v>8</v>
      </c>
      <c r="S42" s="1576">
        <f t="shared" si="10"/>
        <v>100</v>
      </c>
      <c r="T42" s="1575" t="s">
        <v>8</v>
      </c>
      <c r="U42" s="1576">
        <f t="shared" si="11"/>
        <v>100</v>
      </c>
      <c r="V42" s="1575" t="s">
        <v>8</v>
      </c>
      <c r="W42" s="1576">
        <f t="shared" si="12"/>
        <v>100</v>
      </c>
      <c r="X42" s="1577"/>
      <c r="Y42" s="3292"/>
      <c r="Z42" s="1578">
        <f t="shared" si="13"/>
        <v>111</v>
      </c>
      <c r="AA42" s="1574">
        <f t="shared" si="3"/>
        <v>1</v>
      </c>
      <c r="AB42" s="1574">
        <f t="shared" si="4"/>
        <v>1</v>
      </c>
      <c r="AC42" s="1574">
        <f t="shared" si="5"/>
        <v>1</v>
      </c>
    </row>
    <row r="43" spans="1:29" ht="15">
      <c r="A43" s="605" t="s">
        <v>557</v>
      </c>
      <c r="B43" s="606" t="s">
        <v>2938</v>
      </c>
      <c r="C43" s="607" t="s">
        <v>1</v>
      </c>
      <c r="D43" s="608"/>
      <c r="E43" s="609"/>
      <c r="F43" s="610"/>
      <c r="G43" s="611"/>
      <c r="H43" s="612"/>
      <c r="I43" s="609"/>
      <c r="J43" s="612"/>
      <c r="K43" s="1338"/>
      <c r="L43" s="2141"/>
      <c r="M43" s="2131"/>
      <c r="N43" s="2131"/>
      <c r="O43" s="2142"/>
      <c r="P43" s="3287" t="str">
        <f>A43</f>
        <v>成交单价</v>
      </c>
      <c r="Q43" s="3287"/>
      <c r="R43" s="3301">
        <f>E43</f>
        <v>0</v>
      </c>
      <c r="S43" s="3301"/>
      <c r="T43" s="3301">
        <f>G43</f>
        <v>0</v>
      </c>
      <c r="U43" s="3301"/>
      <c r="V43" s="3301">
        <f>I43</f>
        <v>0</v>
      </c>
      <c r="W43" s="3301"/>
      <c r="X43" s="1557"/>
      <c r="Y43" s="1579"/>
      <c r="Z43" s="1557"/>
      <c r="AA43" s="1557"/>
      <c r="AB43" s="1557"/>
      <c r="AC43" s="1557"/>
    </row>
    <row r="44" spans="1:29" ht="15.75" thickBot="1">
      <c r="A44" s="613" t="s">
        <v>2698</v>
      </c>
      <c r="B44" s="614"/>
      <c r="C44" s="615" t="e">
        <f>R45</f>
        <v>#DIV/0!</v>
      </c>
      <c r="D44" s="616"/>
      <c r="E44" s="615" t="e">
        <f>R44</f>
        <v>#DIV/0!</v>
      </c>
      <c r="F44" s="617"/>
      <c r="G44" s="618" t="e">
        <f>T44</f>
        <v>#DIV/0!</v>
      </c>
      <c r="H44" s="616"/>
      <c r="I44" s="615" t="e">
        <f>V44</f>
        <v>#DIV/0!</v>
      </c>
      <c r="J44" s="616"/>
      <c r="K44" s="1339"/>
      <c r="L44" s="2141"/>
      <c r="M44" s="2131"/>
      <c r="N44" s="2131"/>
      <c r="O44" s="2142"/>
      <c r="P44" s="3287" t="str">
        <f>A44</f>
        <v>比较价格（元/平方米）</v>
      </c>
      <c r="Q44" s="3287"/>
      <c r="R44" s="3311" t="e">
        <f>ROUND(PRODUCT(R43,AA9:AA42),0)</f>
        <v>#DIV/0!</v>
      </c>
      <c r="S44" s="3311"/>
      <c r="T44" s="3311" t="e">
        <f>ROUND(PRODUCT(T43,AB9:AB42),0)</f>
        <v>#DIV/0!</v>
      </c>
      <c r="U44" s="3311"/>
      <c r="V44" s="3311" t="e">
        <f>ROUND(PRODUCT(V43,AC9:AC42),0)</f>
        <v>#DIV/0!</v>
      </c>
      <c r="W44" s="3311"/>
      <c r="X44" s="1557"/>
      <c r="Y44" s="1557"/>
      <c r="Z44" s="1557"/>
      <c r="AA44" s="1557"/>
      <c r="AB44" s="1557"/>
      <c r="AC44" s="1557"/>
    </row>
    <row r="45" spans="1:29" ht="15.75" thickBot="1">
      <c r="A45" s="619" t="s">
        <v>2939</v>
      </c>
      <c r="B45" s="620"/>
      <c r="C45" s="621" t="e">
        <f>R45</f>
        <v>#DIV/0!</v>
      </c>
      <c r="D45" s="621"/>
      <c r="E45" s="621"/>
      <c r="F45" s="621"/>
      <c r="G45" s="621"/>
      <c r="H45" s="621"/>
      <c r="I45" s="621"/>
      <c r="J45" s="621"/>
      <c r="K45" s="1340"/>
      <c r="L45" s="2141"/>
      <c r="M45" s="2131"/>
      <c r="N45" s="2131"/>
      <c r="O45" s="2142"/>
      <c r="P45" s="3308" t="str">
        <f>A45</f>
        <v>估价对象XX用房的比较价格（楼面单价，元/平方米）</v>
      </c>
      <c r="Q45" s="3309"/>
      <c r="R45" s="3310" t="e">
        <f>ROUND(AVERAGE(R44:V44),0)</f>
        <v>#DIV/0!</v>
      </c>
      <c r="S45" s="3310"/>
      <c r="T45" s="3310"/>
      <c r="U45" s="3310"/>
      <c r="V45" s="3310"/>
      <c r="W45" s="3310"/>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561</v>
      </c>
      <c r="B52" s="628" t="s">
        <v>562</v>
      </c>
      <c r="C52" s="1558" t="s">
        <v>1726</v>
      </c>
      <c r="D52" s="2224" t="s">
        <v>2294</v>
      </c>
      <c r="E52" s="629" t="s">
        <v>563</v>
      </c>
      <c r="F52" s="1948" t="s">
        <v>564</v>
      </c>
      <c r="G52" s="3312" t="s">
        <v>2285</v>
      </c>
      <c r="H52" s="3313"/>
      <c r="I52" s="1949" t="s">
        <v>1949</v>
      </c>
      <c r="J52" s="1553" t="str">
        <f>项目基本情况!F41</f>
        <v>河北省霸州市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565</v>
      </c>
      <c r="B53" s="632" t="e">
        <f>C45</f>
        <v>#DIV/0!</v>
      </c>
      <c r="C53" s="633">
        <v>1</v>
      </c>
      <c r="D53" s="2225">
        <v>1</v>
      </c>
      <c r="E53" s="633">
        <f>'数据-汇总表'!E8+'数据-汇总表'!E9</f>
        <v>331579.03999999992</v>
      </c>
      <c r="F53" s="1947" t="e">
        <f t="shared" ref="F53:F62" si="15">ROUND(B53*E53/10000,0)</f>
        <v>#DIV/0!</v>
      </c>
      <c r="G53" s="3314"/>
      <c r="H53" s="3315"/>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566</v>
      </c>
      <c r="B54" s="636" t="e">
        <f>ROUND($C$45*C54*D54,0)</f>
        <v>#DIV/0!</v>
      </c>
      <c r="C54" s="378">
        <f t="shared" ref="C54:C62" si="16">IF($C$52="北京市系数",I54,J54)</f>
        <v>0</v>
      </c>
      <c r="D54" s="2226">
        <v>0.25</v>
      </c>
      <c r="E54" s="637"/>
      <c r="F54" s="1947" t="e">
        <f t="shared" si="15"/>
        <v>#DIV/0!</v>
      </c>
      <c r="G54" s="3316" t="s">
        <v>2286</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567</v>
      </c>
      <c r="B55" s="636" t="e">
        <f t="shared" ref="B55:B62" si="17">ROUND($C$45*C55*D55,0)</f>
        <v>#DIV/0!</v>
      </c>
      <c r="C55" s="378">
        <f t="shared" si="16"/>
        <v>0</v>
      </c>
      <c r="D55" s="2226">
        <v>0.25</v>
      </c>
      <c r="E55" s="637"/>
      <c r="F55" s="1947" t="e">
        <f t="shared" si="15"/>
        <v>#DIV/0!</v>
      </c>
      <c r="G55" s="3316"/>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568</v>
      </c>
      <c r="B56" s="636" t="e">
        <f t="shared" si="17"/>
        <v>#DIV/0!</v>
      </c>
      <c r="C56" s="378">
        <f t="shared" si="16"/>
        <v>0</v>
      </c>
      <c r="D56" s="2226">
        <v>0.25</v>
      </c>
      <c r="E56" s="637"/>
      <c r="F56" s="1947" t="e">
        <f t="shared" si="15"/>
        <v>#DIV/0!</v>
      </c>
      <c r="G56" s="3316"/>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569</v>
      </c>
      <c r="B57" s="636" t="e">
        <f t="shared" si="17"/>
        <v>#DIV/0!</v>
      </c>
      <c r="C57" s="378">
        <f t="shared" si="16"/>
        <v>0</v>
      </c>
      <c r="D57" s="2226">
        <v>0.25</v>
      </c>
      <c r="E57" s="637"/>
      <c r="F57" s="1947" t="e">
        <f t="shared" si="15"/>
        <v>#DIV/0!</v>
      </c>
      <c r="G57" s="3316"/>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2328</v>
      </c>
      <c r="B58" s="636" t="e">
        <f t="shared" si="17"/>
        <v>#DIV/0!</v>
      </c>
      <c r="C58" s="378">
        <f t="shared" si="16"/>
        <v>0</v>
      </c>
      <c r="D58" s="2226">
        <v>0.25</v>
      </c>
      <c r="E58" s="639">
        <f>'数据-汇总表'!E11</f>
        <v>0</v>
      </c>
      <c r="F58" s="1947" t="e">
        <f t="shared" si="15"/>
        <v>#DIV/0!</v>
      </c>
      <c r="G58" s="1953" t="s">
        <v>2287</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570</v>
      </c>
      <c r="B59" s="636" t="e">
        <f t="shared" si="17"/>
        <v>#DIV/0!</v>
      </c>
      <c r="C59" s="378">
        <f t="shared" si="16"/>
        <v>0</v>
      </c>
      <c r="D59" s="2226">
        <v>0.25</v>
      </c>
      <c r="E59" s="639">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571</v>
      </c>
      <c r="B60" s="636" t="e">
        <f t="shared" si="17"/>
        <v>#DIV/0!</v>
      </c>
      <c r="C60" s="378">
        <f t="shared" si="16"/>
        <v>0</v>
      </c>
      <c r="D60" s="2226">
        <v>0.25</v>
      </c>
      <c r="E60" s="639">
        <f>'数据-汇总表'!E13</f>
        <v>152374.15</v>
      </c>
      <c r="F60" s="1947" t="e">
        <f t="shared" si="15"/>
        <v>#DIV/0!</v>
      </c>
      <c r="G60" s="1943" t="s">
        <v>924</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572</v>
      </c>
      <c r="B61" s="636" t="e">
        <f t="shared" si="17"/>
        <v>#DIV/0!</v>
      </c>
      <c r="C61" s="378">
        <f t="shared" si="16"/>
        <v>0</v>
      </c>
      <c r="D61" s="2226">
        <v>0.25</v>
      </c>
      <c r="E61" s="639">
        <f>'数据-汇总表'!E14</f>
        <v>0</v>
      </c>
      <c r="F61" s="1947" t="e">
        <f t="shared" si="15"/>
        <v>#DIV/0!</v>
      </c>
      <c r="G61" s="1953" t="s">
        <v>2286</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573</v>
      </c>
      <c r="B62" s="636" t="e">
        <f t="shared" si="17"/>
        <v>#DIV/0!</v>
      </c>
      <c r="C62" s="378">
        <f t="shared" si="16"/>
        <v>0</v>
      </c>
      <c r="D62" s="2226">
        <v>0.25</v>
      </c>
      <c r="E62" s="639">
        <f>'数据-汇总表'!E15</f>
        <v>0</v>
      </c>
      <c r="F62" s="1947" t="e">
        <f t="shared" si="15"/>
        <v>#DIV/0!</v>
      </c>
      <c r="G62" s="1954" t="s">
        <v>2287</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574</v>
      </c>
      <c r="B63" s="641" t="s">
        <v>17</v>
      </c>
      <c r="C63" s="641" t="s">
        <v>18</v>
      </c>
      <c r="D63" s="641" t="s">
        <v>2295</v>
      </c>
      <c r="E63" s="641">
        <f>IF(B43="楼面地价",SUM(E53:E62),'数据-汇总表'!D3)</f>
        <v>171496.93</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42"/>
      <c r="P65" s="2142"/>
      <c r="Q65" s="2142"/>
      <c r="R65" s="2142"/>
      <c r="S65" s="2142"/>
      <c r="T65" s="2142"/>
      <c r="U65" s="2142"/>
      <c r="V65" s="2142"/>
      <c r="W65" s="2142"/>
      <c r="X65" s="2142"/>
      <c r="Y65" s="2142"/>
      <c r="Z65" s="2142"/>
      <c r="AA65" s="2142"/>
      <c r="AB65" s="2142"/>
      <c r="AC65" s="2142"/>
    </row>
    <row r="66" spans="1:29" ht="21.75" thickBot="1">
      <c r="A66" s="1582" t="s">
        <v>575</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6" t="s">
        <v>2536</v>
      </c>
      <c r="B67" s="644"/>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6"/>
      <c r="P67" s="2157"/>
      <c r="Q67" s="2158"/>
      <c r="R67" s="2158"/>
      <c r="S67" s="2158"/>
      <c r="T67" s="2158"/>
      <c r="U67" s="2158"/>
      <c r="V67" s="2158"/>
      <c r="W67" s="2158"/>
      <c r="X67" s="2158"/>
      <c r="Y67" s="2158"/>
      <c r="Z67" s="2158"/>
      <c r="AA67" s="2158"/>
      <c r="AB67" s="2158"/>
      <c r="AC67" s="2158"/>
    </row>
    <row r="68" spans="1:29" s="1218" customFormat="1" ht="27.75" customHeight="1">
      <c r="A68" s="2818" t="s">
        <v>2654</v>
      </c>
      <c r="B68" s="477" t="str">
        <f>"北京市平均增长率"&amp;TEXT(基准地价!P24,"0.00%")</f>
        <v>北京市平均增长率1.39%</v>
      </c>
      <c r="C68" s="892">
        <v>100</v>
      </c>
      <c r="D68" s="728"/>
      <c r="E68" s="728"/>
      <c r="F68" s="728"/>
      <c r="G68" s="728"/>
      <c r="H68" s="728"/>
      <c r="I68" s="728"/>
      <c r="J68" s="728"/>
      <c r="K68" s="728"/>
      <c r="L68" s="728"/>
      <c r="M68" s="2812"/>
      <c r="N68" s="2813"/>
      <c r="O68" s="2159"/>
      <c r="P68" s="2155"/>
      <c r="Q68" s="1990"/>
      <c r="R68" s="1990"/>
      <c r="S68" s="1990"/>
      <c r="T68" s="1990"/>
      <c r="U68" s="1990"/>
      <c r="V68" s="1990"/>
      <c r="W68" s="1990"/>
      <c r="X68" s="1990"/>
      <c r="Y68" s="1990"/>
      <c r="Z68" s="1990"/>
      <c r="AA68" s="1990"/>
      <c r="AB68" s="1990"/>
      <c r="AC68" s="1990"/>
    </row>
    <row r="69" spans="1:29" s="1218" customFormat="1" ht="15.75" thickBot="1">
      <c r="A69" s="651" t="s">
        <v>576</v>
      </c>
      <c r="B69" s="652"/>
      <c r="C69" s="2810"/>
      <c r="D69" s="2811"/>
      <c r="E69" s="2811"/>
      <c r="F69" s="2811"/>
      <c r="G69" s="2811"/>
      <c r="H69" s="2811"/>
      <c r="I69" s="2811"/>
      <c r="J69" s="2811"/>
      <c r="K69" s="2811"/>
      <c r="L69" s="2811"/>
      <c r="M69" s="2811"/>
      <c r="N69" s="2811"/>
      <c r="O69" s="2159"/>
      <c r="P69" s="2155"/>
      <c r="Q69" s="2155"/>
      <c r="R69" s="1990"/>
      <c r="S69" s="1990"/>
      <c r="T69" s="1990"/>
      <c r="U69" s="1990"/>
      <c r="V69" s="1990"/>
      <c r="W69" s="1990"/>
      <c r="X69" s="1990"/>
      <c r="Y69" s="1990"/>
      <c r="Z69" s="1990"/>
      <c r="AA69" s="1990"/>
      <c r="AB69" s="1990"/>
      <c r="AC69" s="1990"/>
    </row>
    <row r="70" spans="1:29" s="1218" customFormat="1" ht="15">
      <c r="A70" s="657" t="s">
        <v>532</v>
      </c>
      <c r="B70" s="646"/>
      <c r="C70" s="658" t="s">
        <v>577</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578</v>
      </c>
      <c r="B72" s="663" t="s">
        <v>535</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538</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540</v>
      </c>
      <c r="B85" s="663" t="s">
        <v>603</v>
      </c>
      <c r="C85" s="701" t="s">
        <v>580</v>
      </c>
      <c r="D85" s="701" t="s">
        <v>581</v>
      </c>
      <c r="E85" s="701" t="s">
        <v>582</v>
      </c>
      <c r="F85" s="701" t="s">
        <v>583</v>
      </c>
      <c r="G85" s="701" t="s">
        <v>584</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587</v>
      </c>
      <c r="C87" s="706" t="s">
        <v>580</v>
      </c>
      <c r="D87" s="706" t="s">
        <v>581</v>
      </c>
      <c r="E87" s="706" t="s">
        <v>582</v>
      </c>
      <c r="F87" s="706" t="s">
        <v>583</v>
      </c>
      <c r="G87" s="706" t="s">
        <v>584</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2551</v>
      </c>
      <c r="C93" s="701" t="s">
        <v>580</v>
      </c>
      <c r="D93" s="701" t="s">
        <v>581</v>
      </c>
      <c r="E93" s="701" t="s">
        <v>582</v>
      </c>
      <c r="F93" s="701" t="s">
        <v>583</v>
      </c>
      <c r="G93" s="701" t="s">
        <v>584</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5" t="s">
        <v>2553</v>
      </c>
      <c r="C95" s="2616" t="s">
        <v>2554</v>
      </c>
      <c r="D95" s="2616" t="s">
        <v>2555</v>
      </c>
      <c r="E95" s="2616" t="s">
        <v>2556</v>
      </c>
      <c r="F95" s="2616" t="s">
        <v>2557</v>
      </c>
      <c r="G95" s="2616" t="s">
        <v>2558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8"/>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590</v>
      </c>
      <c r="D97" s="672" t="s">
        <v>591</v>
      </c>
      <c r="E97" s="672" t="s">
        <v>592</v>
      </c>
      <c r="F97" s="672" t="s">
        <v>593</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549</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550</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9" t="str">
        <f t="shared" si="25"/>
        <v>(含)-</v>
      </c>
      <c r="L109" s="3050" t="str">
        <f t="shared" si="25"/>
        <v>(含)-</v>
      </c>
      <c r="M109" s="305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595</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597</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2427</v>
      </c>
      <c r="D1" s="1519">
        <f>SUM(D29:D30,D33:D39)</f>
        <v>0</v>
      </c>
      <c r="E1" s="1404" t="s">
        <v>2428</v>
      </c>
      <c r="F1" s="2473"/>
      <c r="G1" s="1399"/>
      <c r="H1" s="1399"/>
      <c r="I1" s="1399"/>
      <c r="J1" s="1399"/>
      <c r="K1" s="1399"/>
      <c r="L1" s="1879" t="s">
        <v>2239</v>
      </c>
      <c r="M1" s="1880">
        <f>SUMPRODUCT((区片价!B5:B9=I2)*(区片价!C3:F3=E2)*(区片价!C5:F9))</f>
        <v>0</v>
      </c>
      <c r="N1" s="1881">
        <f>SUMPRODUCT((因素修正幅度!B5:B9=I2)*(因素修正幅度!C3:F3=E2)*(因素修正幅度!C5:F9))</f>
        <v>0</v>
      </c>
      <c r="O1" s="2186"/>
      <c r="P1" s="2186"/>
      <c r="Q1" s="2186"/>
      <c r="R1" s="2899" t="s">
        <v>2767</v>
      </c>
      <c r="S1" s="2899" t="s">
        <v>2768</v>
      </c>
      <c r="T1" s="2899" t="s">
        <v>2789</v>
      </c>
      <c r="U1" s="2899" t="s">
        <v>2790</v>
      </c>
      <c r="V1" s="2899" t="s">
        <v>2791</v>
      </c>
      <c r="W1" s="2186"/>
      <c r="X1" s="2186"/>
      <c r="Y1" s="2186"/>
      <c r="Z1" s="2186"/>
      <c r="AA1" s="2186"/>
      <c r="AB1" s="2186"/>
      <c r="AC1" s="2187"/>
    </row>
    <row r="2" spans="1:39" ht="15.75">
      <c r="A2" s="1404" t="s">
        <v>921</v>
      </c>
      <c r="B2" s="1036" t="e">
        <f>C26</f>
        <v>#DIV/0!</v>
      </c>
      <c r="C2" s="1405" t="s">
        <v>922</v>
      </c>
      <c r="D2" s="1406" t="s">
        <v>923</v>
      </c>
      <c r="E2" s="1407"/>
      <c r="F2" s="1406" t="s">
        <v>925</v>
      </c>
      <c r="G2" s="1649">
        <f>IF(E2="商业",项目基本情况!B43,IF(E2="办公",项目基本情况!C43,IF(E2="住宅",项目基本情况!D43,项目基本情况!E43)))</f>
        <v>0</v>
      </c>
      <c r="H2" s="1406" t="s">
        <v>927</v>
      </c>
      <c r="I2" s="1650">
        <f>IF(E2="商业",项目基本情况!B44,IF(E2="办公",项目基本情况!C44,IF(E2="住宅",项目基本情况!D44,项目基本情况!E44)))</f>
        <v>0</v>
      </c>
      <c r="J2" s="1408"/>
      <c r="K2" s="1399"/>
      <c r="L2" s="1882" t="s">
        <v>2240</v>
      </c>
      <c r="M2" s="1883">
        <f>SUMPRODUCT((区片价!B10:B28=I2)*(区片价!C3:F3=E2)*(区片价!C10:F28))</f>
        <v>0</v>
      </c>
      <c r="N2" s="1884">
        <f>SUMPRODUCT((因素修正幅度!B10:B28=I2)*(因素修正幅度!C3:F3=E2)*(因素修正幅度!C10:F28))</f>
        <v>0</v>
      </c>
      <c r="O2" s="2186"/>
      <c r="P2" s="2186"/>
      <c r="Q2" s="2186"/>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6"/>
      <c r="X2" s="2186"/>
      <c r="Y2" s="2186"/>
      <c r="Z2" s="2186"/>
      <c r="AA2" s="2186"/>
      <c r="AB2" s="2186"/>
      <c r="AC2" s="2187"/>
    </row>
    <row r="3" spans="1:39" ht="15.75">
      <c r="A3" s="1409" t="s">
        <v>1689</v>
      </c>
      <c r="B3" s="1036" t="e">
        <f>ROUND(B2*10000/D1,0)</f>
        <v>#DIV/0!</v>
      </c>
      <c r="C3" s="1405" t="s">
        <v>928</v>
      </c>
      <c r="D3" s="1406" t="s">
        <v>929</v>
      </c>
      <c r="E3" s="1410"/>
      <c r="F3" s="1411" t="s">
        <v>2940</v>
      </c>
      <c r="G3" s="1037">
        <f>IF(F3="宗地容积率",'数据-汇总表'!I4,IF(F3="估价对象容积率",'数据-汇总表'!I6,'数据-汇总表'!I7))</f>
        <v>2.0699999999999998</v>
      </c>
      <c r="H3" s="1412" t="s">
        <v>930</v>
      </c>
      <c r="I3" s="1038">
        <v>8</v>
      </c>
      <c r="J3" s="1408" t="s">
        <v>931</v>
      </c>
      <c r="K3" s="1399"/>
      <c r="L3" s="1882" t="s">
        <v>2241</v>
      </c>
      <c r="M3" s="1883">
        <f>SUMPRODUCT((区片价!B29:B48=I2)*(区片价!C3:F3=E2)*(区片价!C29:F48))</f>
        <v>0</v>
      </c>
      <c r="N3" s="1884">
        <f>SUMPRODUCT((因素修正幅度!B29:B48=I2)*(因素修正幅度!C3:F3=E2)*(因素修正幅度!C29:F48))</f>
        <v>0</v>
      </c>
      <c r="O3" s="2186"/>
      <c r="P3" s="2186"/>
      <c r="Q3" s="2186"/>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9"/>
      <c r="L4" s="1882" t="s">
        <v>2242</v>
      </c>
      <c r="M4" s="1883">
        <f>SUMPRODUCT((区片价!B49:B75=I2)*(区片价!C3:F3=E2)*(区片价!C49:F75))</f>
        <v>0</v>
      </c>
      <c r="N4" s="1884">
        <f>SUMPRODUCT((因素修正幅度!B49:B75=I2)*(因素修正幅度!C3:F3=E2)*(因素修正幅度!C49:F75))</f>
        <v>0</v>
      </c>
      <c r="O4" s="2186"/>
      <c r="P4" s="2186"/>
      <c r="Q4" s="2186"/>
      <c r="R4" s="2900">
        <v>3</v>
      </c>
      <c r="S4" s="2900">
        <f>ROUND(IF(G3&gt;1,IF(R4&lt;7,SUMPRODUCT((B93:B98=R4)*(C92:N92=G2)*(C93:N98)),SUMIF(C92:N92,G2,C100:N100)),IF(R4&lt;7,SUMPRODUCT((B102:B107=R4)*(C92:N92=G2)*(C102:N107)),SUMIF(C92:N92,G2,C109:N109))),4)</f>
        <v>0</v>
      </c>
      <c r="T4" s="2900" t="e">
        <f t="shared" si="0"/>
        <v>#DIV/0!</v>
      </c>
      <c r="U4" s="2889"/>
      <c r="V4" s="2900" t="e">
        <f t="shared" si="1"/>
        <v>#DIV/0!</v>
      </c>
      <c r="W4" s="2186"/>
      <c r="X4" s="2186"/>
      <c r="Y4" s="2186"/>
      <c r="Z4" s="2186"/>
      <c r="AA4" s="2186"/>
      <c r="AB4" s="2186"/>
      <c r="AC4" s="2187"/>
    </row>
    <row r="5" spans="1:39" s="1419" customFormat="1" ht="15.75" thickBot="1">
      <c r="A5" s="1635" t="s">
        <v>1825</v>
      </c>
      <c r="B5" s="1413" t="s">
        <v>932</v>
      </c>
      <c r="C5" s="1039" t="e">
        <f>ROUND(IF(E2="商业",IF(F16="增加",C6*C7+C16,C6*C7-C16),IF(E2="住宅",IF(F16="增加",C6*C12+C16,C6*C12-C16),IF(F16="增加",C6+C16,C6-C16))),0)</f>
        <v>#DIV/0!</v>
      </c>
      <c r="D5" s="3081">
        <f>ROUND(IF(E2="商业",IF(F16="增加",C6+C16,C6-C16)),0)</f>
        <v>0</v>
      </c>
      <c r="E5" s="1414"/>
      <c r="F5" s="1414"/>
      <c r="G5" s="1415"/>
      <c r="H5" s="1415"/>
      <c r="I5" s="1415"/>
      <c r="J5" s="1416"/>
      <c r="K5" s="1592"/>
      <c r="L5" s="1882" t="s">
        <v>2243</v>
      </c>
      <c r="M5" s="1883">
        <f>SUMPRODUCT((区片价!B76:B109=I2)*(区片价!C3:F3=E2)*(区片价!C76:F109))</f>
        <v>0</v>
      </c>
      <c r="N5" s="1884">
        <f>SUMPRODUCT((因素修正幅度!B76:B109=I2)*(因素修正幅度!C3:F3=E2)*(因素修正幅度!C76:F109))</f>
        <v>0</v>
      </c>
      <c r="O5" s="2186"/>
      <c r="P5" s="2186"/>
      <c r="Q5" s="2186"/>
      <c r="R5" s="2900">
        <v>4</v>
      </c>
      <c r="S5" s="2900">
        <f>ROUND(IF(G3&gt;1,IF(R5&lt;7,SUMPRODUCT((B93:B98=R5)*(C92:N92=G2)*(C93:N98)),SUMIF(C92:N92,G2,C100:N100)),IF(R5&lt;7,SUMPRODUCT((B102:B107=R5)*(C92:N92=G2)*(C102:N107)),SUMIF(C92:N92,G2,C109:N109))),4)</f>
        <v>0</v>
      </c>
      <c r="T5" s="2900" t="e">
        <f t="shared" si="0"/>
        <v>#DIV/0!</v>
      </c>
      <c r="U5" s="2889"/>
      <c r="V5" s="2900"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6" t="s">
        <v>1872</v>
      </c>
      <c r="B6" s="1420" t="s">
        <v>932</v>
      </c>
      <c r="C6" s="1040">
        <f>SUMIF(L1:L12,基准地价!G2,M1:M12)</f>
        <v>0</v>
      </c>
      <c r="D6" s="1421" t="s">
        <v>1697</v>
      </c>
      <c r="E6" s="1422"/>
      <c r="F6" s="1422"/>
      <c r="G6" s="1423"/>
      <c r="H6" s="1423"/>
      <c r="I6" s="1423"/>
      <c r="J6" s="1424"/>
      <c r="K6" s="1593"/>
      <c r="L6" s="1882" t="s">
        <v>2244</v>
      </c>
      <c r="M6" s="1883">
        <f>SUMPRODUCT((区片价!B110:B157=I2)*(区片价!C3:F3=E2)*(区片价!C110:F157))</f>
        <v>0</v>
      </c>
      <c r="N6" s="1884">
        <f>SUMPRODUCT((因素修正幅度!B110:B157=I2)*(因素修正幅度!C3:F3=E2)*(因素修正幅度!C110:F157))</f>
        <v>0</v>
      </c>
      <c r="O6" s="2186"/>
      <c r="P6" s="2186"/>
      <c r="Q6" s="2186"/>
      <c r="R6" s="2900">
        <v>5</v>
      </c>
      <c r="S6" s="2900">
        <f>ROUND(IF(G3&gt;1,IF(R6&lt;7,SUMPRODUCT((B93:B98=R6)*(C92:N92=G2)*(C93:N98)),SUMIF(C92:N92,G2,C100:N100)),IF(R6&lt;7,SUMPRODUCT((B102:B107=R6)*(C92:N92=G2)*(C102:N107)),SUMIF(C92:N92,G2,C109:N109))),4)</f>
        <v>0</v>
      </c>
      <c r="T6" s="2900" t="e">
        <f t="shared" si="0"/>
        <v>#DIV/0!</v>
      </c>
      <c r="U6" s="2889"/>
      <c r="V6" s="2900" t="e">
        <f t="shared" si="1"/>
        <v>#DIV/0!</v>
      </c>
      <c r="W6" s="2186"/>
      <c r="X6" s="2186"/>
      <c r="Y6" s="2186"/>
      <c r="Z6" s="2186"/>
      <c r="AA6" s="2186"/>
      <c r="AB6" s="2186"/>
      <c r="AC6" s="2188"/>
      <c r="AD6" s="1417"/>
      <c r="AE6" s="1417"/>
      <c r="AF6" s="1417"/>
      <c r="AG6" s="1417"/>
      <c r="AH6" s="1417"/>
      <c r="AI6" s="1417"/>
      <c r="AJ6" s="1418"/>
    </row>
    <row r="7" spans="1:39" ht="24">
      <c r="A7" s="3324" t="str">
        <f>IF(E2="商业",IF(C8="不临58条商业街","",2),"")</f>
        <v/>
      </c>
      <c r="B7" s="1425" t="s">
        <v>933</v>
      </c>
      <c r="C7" s="1041" t="e">
        <f>IF(C8="不临58条商业街",1,ROUND(1+(1.6*E8+1.2*E9+0.8*E10+0.4*E11)*C9,4))</f>
        <v>#DIV/0!</v>
      </c>
      <c r="D7" s="1426" t="s">
        <v>934</v>
      </c>
      <c r="E7" s="1042"/>
      <c r="F7" s="1427"/>
      <c r="G7" s="1428"/>
      <c r="H7" s="1428"/>
      <c r="I7" s="1428"/>
      <c r="J7" s="1429"/>
      <c r="K7" s="1593"/>
      <c r="L7" s="1882" t="s">
        <v>2245</v>
      </c>
      <c r="M7" s="1883">
        <f>SUMPRODUCT((区片价!B158:B205=I2)*(区片价!C3:F3=E2)*(区片价!C158:F205))</f>
        <v>0</v>
      </c>
      <c r="N7" s="1884">
        <f>SUMPRODUCT((因素修正幅度!B158:B205=I2)*(因素修正幅度!C3:F3=E2)*(因素修正幅度!C158:F205))</f>
        <v>0</v>
      </c>
      <c r="O7" s="2186"/>
      <c r="P7" s="2186"/>
      <c r="Q7" s="2186"/>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2770</v>
      </c>
      <c r="X7" s="2890">
        <f>G2</f>
        <v>0</v>
      </c>
      <c r="Y7" s="2890" t="s">
        <v>2771</v>
      </c>
      <c r="Z7" s="2891">
        <f>G3</f>
        <v>2.0699999999999998</v>
      </c>
      <c r="AA7" s="2189"/>
      <c r="AB7" s="2189"/>
      <c r="AC7" s="2190"/>
      <c r="AD7" s="2892"/>
      <c r="AE7" s="2892"/>
      <c r="AF7" s="2892"/>
      <c r="AG7" s="2892"/>
      <c r="AH7" s="2892"/>
      <c r="AI7" s="2892"/>
      <c r="AJ7" s="2893"/>
    </row>
    <row r="8" spans="1:39" ht="15">
      <c r="A8" s="3325"/>
      <c r="B8" s="1412" t="s">
        <v>935</v>
      </c>
      <c r="C8" s="1527"/>
      <c r="D8" s="1043" t="s">
        <v>936</v>
      </c>
      <c r="E8" s="1044" t="e">
        <f>ROUND(C11/E7,4)</f>
        <v>#DIV/0!</v>
      </c>
      <c r="F8" s="1430" t="s">
        <v>937</v>
      </c>
      <c r="G8" s="1431"/>
      <c r="H8" s="1431"/>
      <c r="I8" s="1431"/>
      <c r="J8" s="1432"/>
      <c r="K8" s="1399"/>
      <c r="L8" s="1882" t="s">
        <v>2246</v>
      </c>
      <c r="M8" s="1883">
        <f>SUMPRODUCT((区片价!B206:B244=I2)*(区片价!C3:F3=E2)*(区片价!C206:F244))</f>
        <v>0</v>
      </c>
      <c r="N8" s="1884">
        <f>SUMPRODUCT((因素修正幅度!B206:B244=I2)*(因素修正幅度!C3:F3=E2)*(因素修正幅度!C206:F244))</f>
        <v>0</v>
      </c>
      <c r="O8" s="2186"/>
      <c r="P8" s="2186"/>
      <c r="Q8" s="2186"/>
      <c r="R8" s="2900">
        <v>7</v>
      </c>
      <c r="S8" s="2889"/>
      <c r="T8" s="2900" t="e">
        <f t="shared" si="0"/>
        <v>#DIV/0!</v>
      </c>
      <c r="U8" s="2889"/>
      <c r="V8" s="2900" t="e">
        <f t="shared" si="1"/>
        <v>#DIV/0!</v>
      </c>
      <c r="W8" s="3334" t="s">
        <v>2788</v>
      </c>
      <c r="X8" s="3335"/>
      <c r="Y8" s="1846" t="s">
        <v>2772</v>
      </c>
      <c r="Z8" s="1846" t="s">
        <v>2773</v>
      </c>
      <c r="AA8" s="1846" t="s">
        <v>2774</v>
      </c>
      <c r="AB8" s="1846" t="s">
        <v>2775</v>
      </c>
      <c r="AC8" s="1846" t="s">
        <v>2776</v>
      </c>
      <c r="AD8" s="1846" t="s">
        <v>2777</v>
      </c>
      <c r="AE8" s="1846" t="s">
        <v>2778</v>
      </c>
      <c r="AF8" s="1846" t="s">
        <v>2779</v>
      </c>
      <c r="AG8" s="1846" t="s">
        <v>2780</v>
      </c>
      <c r="AH8" s="1846" t="s">
        <v>2781</v>
      </c>
      <c r="AI8" s="1846" t="s">
        <v>2782</v>
      </c>
      <c r="AJ8" s="1846" t="s">
        <v>2783</v>
      </c>
    </row>
    <row r="9" spans="1:39" ht="15">
      <c r="A9" s="3325"/>
      <c r="B9" s="1412" t="s">
        <v>938</v>
      </c>
      <c r="C9" s="1045">
        <f>SUMIF(修正!C59:C119,C8,修正!E59:E119)</f>
        <v>0</v>
      </c>
      <c r="D9" s="1046" t="s">
        <v>939</v>
      </c>
      <c r="E9" s="1046" t="e">
        <f>ROUND(C11/E7,4)</f>
        <v>#DIV/0!</v>
      </c>
      <c r="F9" s="1430" t="s">
        <v>940</v>
      </c>
      <c r="G9" s="1431"/>
      <c r="H9" s="1431"/>
      <c r="I9" s="1431"/>
      <c r="J9" s="1432"/>
      <c r="K9" s="1399"/>
      <c r="L9" s="1882" t="s">
        <v>2247</v>
      </c>
      <c r="M9" s="1883">
        <f>SUMPRODUCT((区片价!B245:B289=I2)*(区片价!C3:F3=E2)*(区片价!C245:F289))</f>
        <v>0</v>
      </c>
      <c r="N9" s="1884">
        <f>SUMPRODUCT((因素修正幅度!B245:B289=I2)*(因素修正幅度!C3:F3=E2)*(因素修正幅度!C245:F289))</f>
        <v>0</v>
      </c>
      <c r="O9" s="2186"/>
      <c r="P9" s="2186"/>
      <c r="Q9" s="2186"/>
      <c r="R9" s="2900">
        <v>8</v>
      </c>
      <c r="S9" s="2889"/>
      <c r="T9" s="2900" t="e">
        <f t="shared" si="0"/>
        <v>#DIV/0!</v>
      </c>
      <c r="U9" s="2889"/>
      <c r="V9" s="2900" t="e">
        <f t="shared" si="1"/>
        <v>#DIV/0!</v>
      </c>
      <c r="W9" s="3333" t="s">
        <v>2784</v>
      </c>
      <c r="X9" s="2894" t="s">
        <v>2785</v>
      </c>
      <c r="Y9" s="3055"/>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325"/>
      <c r="B10" s="1412" t="s">
        <v>941</v>
      </c>
      <c r="C10" s="1046">
        <f>SUMIF(修正!C59:C119,C8,修正!F59:F119)</f>
        <v>0</v>
      </c>
      <c r="D10" s="1046" t="s">
        <v>942</v>
      </c>
      <c r="E10" s="1046" t="e">
        <f>ROUND(C11/E7,4)</f>
        <v>#DIV/0!</v>
      </c>
      <c r="F10" s="1430" t="s">
        <v>943</v>
      </c>
      <c r="G10" s="1431"/>
      <c r="H10" s="1431"/>
      <c r="I10" s="1431"/>
      <c r="J10" s="1432"/>
      <c r="K10" s="1399"/>
      <c r="L10" s="1882" t="s">
        <v>2248</v>
      </c>
      <c r="M10" s="1883">
        <f>SUMPRODUCT((区片价!B290:B316=I2)*(区片价!C3:F3=E2)*(区片价!C290:F316))</f>
        <v>0</v>
      </c>
      <c r="N10" s="1884">
        <f>SUMPRODUCT((因素修正幅度!B290:B316=I2)*(因素修正幅度!C3:F3=E2)*(因素修正幅度!C290:F316))</f>
        <v>0</v>
      </c>
      <c r="O10" s="2186"/>
      <c r="P10" s="2186"/>
      <c r="Q10" s="2186"/>
      <c r="R10" s="2900">
        <v>9</v>
      </c>
      <c r="S10" s="2889"/>
      <c r="T10" s="2900" t="e">
        <f t="shared" si="0"/>
        <v>#DIV/0!</v>
      </c>
      <c r="U10" s="2889"/>
      <c r="V10" s="2900" t="e">
        <f t="shared" si="1"/>
        <v>#DIV/0!</v>
      </c>
      <c r="W10" s="3333"/>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325"/>
      <c r="B11" s="1433" t="s">
        <v>944</v>
      </c>
      <c r="C11" s="1047">
        <f>C10/4</f>
        <v>0</v>
      </c>
      <c r="D11" s="1047" t="s">
        <v>945</v>
      </c>
      <c r="E11" s="1047" t="e">
        <f>ROUND(C11/E7,4)</f>
        <v>#DIV/0!</v>
      </c>
      <c r="F11" s="1434" t="s">
        <v>946</v>
      </c>
      <c r="G11" s="1435"/>
      <c r="H11" s="1435"/>
      <c r="I11" s="1435"/>
      <c r="J11" s="1436"/>
      <c r="K11" s="1399"/>
      <c r="L11" s="1882" t="s">
        <v>2249</v>
      </c>
      <c r="M11" s="1883">
        <f>SUMPRODUCT((区片价!B317:B337=I2)*(区片价!C3:F3=E2)*(区片价!C317:F337))</f>
        <v>0</v>
      </c>
      <c r="N11" s="1884">
        <f>SUMPRODUCT((因素修正幅度!B317:B337=I2)*(因素修正幅度!C3:F3=E2)*(因素修正幅度!C317:F337))</f>
        <v>0</v>
      </c>
      <c r="O11" s="2186"/>
      <c r="P11" s="2186"/>
      <c r="Q11" s="2186"/>
      <c r="R11" s="2900">
        <v>10</v>
      </c>
      <c r="S11" s="2889"/>
      <c r="T11" s="2900" t="e">
        <f t="shared" si="0"/>
        <v>#DIV/0!</v>
      </c>
      <c r="U11" s="2889"/>
      <c r="V11" s="2900" t="e">
        <f t="shared" si="1"/>
        <v>#DIV/0!</v>
      </c>
      <c r="W11" s="3333" t="s">
        <v>2786</v>
      </c>
      <c r="X11" s="1046" t="s">
        <v>2771</v>
      </c>
      <c r="Y11" s="1650">
        <f>$G$3</f>
        <v>2.0699999999999998</v>
      </c>
      <c r="Z11" s="1650">
        <f t="shared" ref="Z11:AJ11" si="3">$G$3</f>
        <v>2.0699999999999998</v>
      </c>
      <c r="AA11" s="1650">
        <f t="shared" si="3"/>
        <v>2.0699999999999998</v>
      </c>
      <c r="AB11" s="1650">
        <f t="shared" si="3"/>
        <v>2.0699999999999998</v>
      </c>
      <c r="AC11" s="1650">
        <f t="shared" si="3"/>
        <v>2.0699999999999998</v>
      </c>
      <c r="AD11" s="1650">
        <f t="shared" si="3"/>
        <v>2.0699999999999998</v>
      </c>
      <c r="AE11" s="1650">
        <f t="shared" si="3"/>
        <v>2.0699999999999998</v>
      </c>
      <c r="AF11" s="1650">
        <f t="shared" si="3"/>
        <v>2.0699999999999998</v>
      </c>
      <c r="AG11" s="1650">
        <f t="shared" si="3"/>
        <v>2.0699999999999998</v>
      </c>
      <c r="AH11" s="1650">
        <f t="shared" si="3"/>
        <v>2.0699999999999998</v>
      </c>
      <c r="AI11" s="1650">
        <f t="shared" si="3"/>
        <v>2.0699999999999998</v>
      </c>
      <c r="AJ11" s="1650">
        <f t="shared" si="3"/>
        <v>2.0699999999999998</v>
      </c>
    </row>
    <row r="12" spans="1:39" ht="25.5" thickBot="1">
      <c r="A12" s="3324" t="s">
        <v>1873</v>
      </c>
      <c r="B12" s="1437" t="s">
        <v>947</v>
      </c>
      <c r="C12" s="1041">
        <f>ROUND(C15*D15*E15*F15*G15*H15*I15*J15,4)</f>
        <v>1</v>
      </c>
      <c r="D12" s="1438" t="s">
        <v>948</v>
      </c>
      <c r="E12" s="1439"/>
      <c r="F12" s="1439"/>
      <c r="G12" s="1440"/>
      <c r="H12" s="1440"/>
      <c r="I12" s="1440"/>
      <c r="J12" s="1441"/>
      <c r="K12" s="1399"/>
      <c r="L12" s="1885" t="s">
        <v>2250</v>
      </c>
      <c r="M12" s="1886">
        <f>SUMPRODUCT((区片价!B338:B344=I2)*(区片价!C3:F3=E2)*(区片价!C338:F344))</f>
        <v>0</v>
      </c>
      <c r="N12" s="1887">
        <f>SUMPRODUCT((因素修正幅度!B338:B344=I2)*(因素修正幅度!C3:F3=E2)*(因素修正幅度!C338:F344))</f>
        <v>0</v>
      </c>
      <c r="O12" s="2186"/>
      <c r="P12" s="2186"/>
      <c r="Q12" s="2186"/>
      <c r="R12" s="2900">
        <v>11</v>
      </c>
      <c r="S12" s="2889"/>
      <c r="T12" s="2900" t="e">
        <f t="shared" si="0"/>
        <v>#DIV/0!</v>
      </c>
      <c r="U12" s="2889"/>
      <c r="V12" s="2900" t="e">
        <f t="shared" si="1"/>
        <v>#DIV/0!</v>
      </c>
      <c r="W12" s="3333"/>
      <c r="X12" s="2897" t="s">
        <v>2787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326"/>
      <c r="B13" s="1442" t="s">
        <v>1698</v>
      </c>
      <c r="C13" s="1443" t="s">
        <v>1699</v>
      </c>
      <c r="D13" s="1087" t="s">
        <v>1700</v>
      </c>
      <c r="E13" s="1087" t="s">
        <v>1701</v>
      </c>
      <c r="F13" s="1444" t="s">
        <v>949</v>
      </c>
      <c r="G13" s="1445" t="s">
        <v>1644</v>
      </c>
      <c r="H13" s="1446" t="s">
        <v>1644</v>
      </c>
      <c r="I13" s="1447" t="s">
        <v>1644</v>
      </c>
      <c r="J13" s="1448" t="s">
        <v>1644</v>
      </c>
      <c r="K13" s="1399"/>
      <c r="L13" s="2186"/>
      <c r="M13" s="2186"/>
      <c r="N13" s="2186"/>
      <c r="O13" s="2186"/>
      <c r="P13" s="2186"/>
      <c r="Q13" s="2186"/>
      <c r="R13" s="2900">
        <v>12</v>
      </c>
      <c r="S13" s="2889"/>
      <c r="T13" s="2900" t="e">
        <f t="shared" si="0"/>
        <v>#DIV/0!</v>
      </c>
      <c r="U13" s="2889"/>
      <c r="V13" s="2900" t="e">
        <f t="shared" si="1"/>
        <v>#DIV/0!</v>
      </c>
      <c r="W13" s="3333"/>
      <c r="X13" s="2897"/>
      <c r="Y13" s="2896">
        <f>(-0.163*(Y12^2)-0.59*Y12+7617)*(10^(-4))/Y11</f>
        <v>0.36797101449275366</v>
      </c>
      <c r="Z13" s="2896">
        <f t="shared" ref="Z13:AJ13" si="5">(-0.163*(Z12^2)-0.59*Z12+7617)*(10^(-4))/Z11</f>
        <v>0.36797101449275366</v>
      </c>
      <c r="AA13" s="2896">
        <f t="shared" si="5"/>
        <v>0.36797101449275366</v>
      </c>
      <c r="AB13" s="2896">
        <f t="shared" si="5"/>
        <v>0.36797101449275366</v>
      </c>
      <c r="AC13" s="2896">
        <f t="shared" si="5"/>
        <v>0.36797101449275366</v>
      </c>
      <c r="AD13" s="2896">
        <f t="shared" si="5"/>
        <v>0.36797101449275366</v>
      </c>
      <c r="AE13" s="2896">
        <f t="shared" si="5"/>
        <v>0.36797101449275366</v>
      </c>
      <c r="AF13" s="2896">
        <f t="shared" si="5"/>
        <v>0.36797101449275366</v>
      </c>
      <c r="AG13" s="2896">
        <f t="shared" si="5"/>
        <v>0.36797101449275366</v>
      </c>
      <c r="AH13" s="2896">
        <f t="shared" si="5"/>
        <v>0.36797101449275366</v>
      </c>
      <c r="AI13" s="2896">
        <f t="shared" si="5"/>
        <v>0.36797101449275366</v>
      </c>
      <c r="AJ13" s="2896">
        <f t="shared" si="5"/>
        <v>0.36797101449275366</v>
      </c>
    </row>
    <row r="14" spans="1:39" ht="12.75" customHeight="1" thickBot="1">
      <c r="A14" s="3326"/>
      <c r="B14" s="1449"/>
      <c r="C14" s="1450"/>
      <c r="D14" s="1451"/>
      <c r="E14" s="1451"/>
      <c r="F14" s="1452"/>
      <c r="G14" s="1453" t="s">
        <v>950</v>
      </c>
      <c r="H14" s="1454"/>
      <c r="I14" s="1455"/>
      <c r="J14" s="1456"/>
      <c r="K14" s="1399"/>
      <c r="L14" s="2186"/>
      <c r="M14" s="2186"/>
      <c r="N14" s="2186"/>
      <c r="O14" s="2186"/>
      <c r="P14" s="2186"/>
      <c r="Q14" s="2186"/>
      <c r="R14" s="2900">
        <v>13</v>
      </c>
      <c r="S14" s="2889"/>
      <c r="T14" s="2900" t="e">
        <f t="shared" si="0"/>
        <v>#DIV/0!</v>
      </c>
      <c r="U14" s="2889"/>
      <c r="V14" s="2900" t="e">
        <f t="shared" si="1"/>
        <v>#DIV/0!</v>
      </c>
      <c r="W14" s="2186"/>
      <c r="X14" s="2186"/>
      <c r="Y14" s="2186"/>
      <c r="Z14" s="2186"/>
      <c r="AA14" s="2186"/>
      <c r="AB14" s="2186"/>
      <c r="AC14" s="2187"/>
    </row>
    <row r="15" spans="1:39" ht="13.5" customHeight="1" thickBot="1">
      <c r="A15" s="3327"/>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6"/>
      <c r="R15" s="2900">
        <v>14</v>
      </c>
      <c r="S15" s="2889"/>
      <c r="T15" s="2900" t="e">
        <f t="shared" si="0"/>
        <v>#DIV/0!</v>
      </c>
      <c r="U15" s="2889"/>
      <c r="V15" s="2900" t="e">
        <f t="shared" si="1"/>
        <v>#DIV/0!</v>
      </c>
      <c r="W15" s="2186"/>
      <c r="X15" s="2186"/>
      <c r="Y15" s="2186"/>
      <c r="Z15" s="2186"/>
      <c r="AA15" s="2186"/>
      <c r="AB15" s="2186"/>
      <c r="AC15" s="2187"/>
    </row>
    <row r="16" spans="1:39" ht="24">
      <c r="A16" s="3324"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89"/>
      <c r="R16" s="2900">
        <v>15</v>
      </c>
      <c r="S16" s="2889"/>
      <c r="T16" s="2900" t="e">
        <f t="shared" si="0"/>
        <v>#DIV/0!</v>
      </c>
      <c r="U16" s="2889"/>
      <c r="V16" s="2900" t="e">
        <f t="shared" si="1"/>
        <v>#DIV/0!</v>
      </c>
      <c r="W16" s="2189"/>
      <c r="X16" s="2189"/>
      <c r="Y16" s="2189"/>
      <c r="Z16" s="2189"/>
      <c r="AA16" s="2189"/>
      <c r="AB16" s="2189"/>
      <c r="AC16" s="2190"/>
    </row>
    <row r="17" spans="1:40" ht="13.5" thickBot="1">
      <c r="A17" s="3325"/>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8" t="s">
        <v>1831</v>
      </c>
      <c r="B18" s="2792" t="s">
        <v>957</v>
      </c>
      <c r="C18" s="2793">
        <f>SUMIF(修正!C18:C39,E3,修正!E18:E39)</f>
        <v>0</v>
      </c>
      <c r="D18" s="2794"/>
      <c r="E18" s="2795"/>
      <c r="F18" s="2796"/>
      <c r="G18" s="2790"/>
      <c r="H18" s="2790"/>
      <c r="I18" s="2790"/>
      <c r="J18" s="2797"/>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7" t="s">
        <v>1837</v>
      </c>
      <c r="B19" s="1468" t="s">
        <v>958</v>
      </c>
      <c r="C19" s="1055" t="e">
        <f>ROUND(IF(H19="按公示增长率计算",SUMPRODUCT((地价!A3:A20=YEAR(G19)&amp;"-"&amp;ROUNDUP(MONTH(G19)/3,0))*(地价!X2:AB2=E2)*(地价!X3:AB20)),IF(H19="地价指数",M20/M19,(1+I19)^O19)),4)</f>
        <v>#DIV/0!</v>
      </c>
      <c r="D19" s="1472" t="s">
        <v>959</v>
      </c>
      <c r="E19" s="1056">
        <v>41640</v>
      </c>
      <c r="F19" s="1472" t="s">
        <v>960</v>
      </c>
      <c r="G19" s="1057">
        <f>'数据-取费表'!B2</f>
        <v>43054</v>
      </c>
      <c r="H19" s="1473" t="s">
        <v>2941</v>
      </c>
      <c r="I19" s="2804" t="str">
        <f>IF(H19="季度增幅（自定义）",SUMIF(N21:N24,E2,O21:O24),"")</f>
        <v/>
      </c>
      <c r="J19" s="1469"/>
      <c r="K19" s="1479"/>
      <c r="L19" s="2997" t="s">
        <v>2846</v>
      </c>
      <c r="M19" s="2998">
        <f>ROUND(SUMIF(地价!B2:F2,E2,地价!B20:F20),0)</f>
        <v>0</v>
      </c>
      <c r="N19" s="2806" t="s">
        <v>1678</v>
      </c>
      <c r="O19" s="2805">
        <f>ROUNDDOWN(DATEDIF(E19,G19,"M")/3,0)</f>
        <v>15</v>
      </c>
      <c r="P19" s="1594"/>
      <c r="R19" s="2888"/>
      <c r="S19" s="2888"/>
      <c r="T19" s="2888"/>
      <c r="U19" s="2888"/>
      <c r="V19" s="2888"/>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8" t="s">
        <v>1838</v>
      </c>
      <c r="B20" s="2799" t="s">
        <v>973</v>
      </c>
      <c r="C20" s="2800" t="e">
        <f>ROUND(POWER(1+G20,J20-I20)*(POWER(1+G20,I20)-1)/(POWER(1+G20,J20)-1),4)</f>
        <v>#DIV/0!</v>
      </c>
      <c r="D20" s="2801" t="s">
        <v>974</v>
      </c>
      <c r="E20" s="3052">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9"/>
      <c r="L20" s="2999" t="s">
        <v>2847</v>
      </c>
      <c r="M20" s="3000">
        <f>ROUND(SUMPRODUCT((地价!A5:A20=YEAR(G19)&amp;"-"&amp;ROUNDUP(MONTH(G19)/3,0))*(地价!B2:F2=E2)*(地价!B5:F20)),0)</f>
        <v>0</v>
      </c>
      <c r="N20" s="2809" t="s">
        <v>2650</v>
      </c>
      <c r="O20" s="2807" t="s">
        <v>2649</v>
      </c>
      <c r="P20" s="2808" t="s">
        <v>2655</v>
      </c>
      <c r="R20" s="2888"/>
      <c r="S20" s="2888"/>
      <c r="T20" s="2888"/>
      <c r="U20" s="2888"/>
      <c r="V20" s="2888"/>
      <c r="W20" s="2192"/>
      <c r="X20" s="2192"/>
      <c r="Y20" s="2192"/>
      <c r="Z20" s="2192"/>
      <c r="AA20" s="2192"/>
      <c r="AB20" s="2192"/>
      <c r="AC20" s="2192"/>
      <c r="AD20" s="1470"/>
      <c r="AE20" s="1470"/>
      <c r="AF20" s="1470"/>
      <c r="AG20" s="1470"/>
      <c r="AH20" s="1470"/>
      <c r="AI20" s="1470"/>
    </row>
    <row r="21" spans="1:40" s="1419" customFormat="1" ht="14.25">
      <c r="A21" s="1639" t="s">
        <v>1839</v>
      </c>
      <c r="B21" s="1478" t="s">
        <v>2766</v>
      </c>
      <c r="C21" s="1156">
        <f>IF(B21="容积率修正",IF(G3&lt;=10,D22,J22),C23)</f>
        <v>0</v>
      </c>
      <c r="D21" s="1479"/>
      <c r="E21" s="1479"/>
      <c r="F21" s="1479"/>
      <c r="G21" s="1479"/>
      <c r="H21" s="1479"/>
      <c r="I21" s="1479"/>
      <c r="J21" s="1480"/>
      <c r="K21" s="1479"/>
      <c r="L21" s="1479"/>
      <c r="M21" s="1479"/>
      <c r="N21" s="1476" t="s">
        <v>977</v>
      </c>
      <c r="O21" s="1540"/>
      <c r="P21" s="2789">
        <f>SUMPRODUCT((地价!A3:A20=YEAR(G19)&amp;"-"&amp;ROUNDUP(MONTH(G19)/3,0))*(地价!AD2:AH2=N21)*(地价!AD3:AH20))</f>
        <v>1.6400000000000001E-2</v>
      </c>
      <c r="R21" s="2888"/>
      <c r="S21" s="2888"/>
      <c r="T21" s="2888"/>
      <c r="U21" s="2888"/>
      <c r="V21" s="2888"/>
      <c r="W21" s="2192"/>
      <c r="X21" s="2192"/>
      <c r="Y21" s="2192"/>
      <c r="Z21" s="2192"/>
      <c r="AA21" s="2192"/>
      <c r="AB21" s="2192"/>
      <c r="AC21" s="2192"/>
      <c r="AD21" s="1401"/>
      <c r="AE21" s="1401"/>
      <c r="AF21" s="1401"/>
      <c r="AG21" s="1401"/>
      <c r="AH21" s="1470"/>
      <c r="AI21" s="1470"/>
    </row>
    <row r="22" spans="1:40" s="1419" customFormat="1" ht="14.25">
      <c r="A22" s="1640" t="s">
        <v>1872</v>
      </c>
      <c r="B22" s="1481" t="s">
        <v>978</v>
      </c>
      <c r="C22" s="1058" t="s">
        <v>1704</v>
      </c>
      <c r="D22" s="1058">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89">
        <f>SUMPRODUCT((地价!A3:A20=YEAR(G19)&amp;"-"&amp;ROUNDUP(MONTH(G19)/3,0))*(地价!AD2:AH2=N22)*(地价!AD3:AH20))</f>
        <v>1.6400000000000001E-2</v>
      </c>
      <c r="R22" s="2888"/>
      <c r="S22" s="2888"/>
      <c r="T22" s="2888"/>
      <c r="U22" s="2888"/>
      <c r="V22" s="2888"/>
      <c r="W22" s="2192"/>
      <c r="X22" s="2192"/>
      <c r="Y22" s="2192"/>
      <c r="Z22" s="2192"/>
      <c r="AA22" s="2192"/>
      <c r="AB22" s="2192"/>
      <c r="AC22" s="2192"/>
      <c r="AD22" s="1470"/>
      <c r="AE22" s="1470"/>
      <c r="AF22" s="1470"/>
      <c r="AG22" s="1470"/>
      <c r="AH22" s="1470"/>
      <c r="AI22" s="1470"/>
    </row>
    <row r="23" spans="1:40" ht="27.75" thickBot="1">
      <c r="A23" s="1640"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89">
        <f>SUMPRODUCT((地价!A3:A20=YEAR(G19)&amp;"-"&amp;ROUNDUP(MONTH(G19)/3,0))*(地价!AD2:AH2=N23)*(地价!AD3:AH20))</f>
        <v>2.7799999999999998E-2</v>
      </c>
      <c r="R23" s="2888"/>
      <c r="S23" s="2888"/>
      <c r="T23" s="2888"/>
      <c r="U23" s="2888"/>
      <c r="V23" s="2888"/>
      <c r="W23" s="2192"/>
      <c r="X23" s="2192"/>
      <c r="Y23" s="2192"/>
      <c r="Z23" s="2192"/>
      <c r="AA23" s="2192"/>
      <c r="AB23" s="2192"/>
      <c r="AC23" s="2192"/>
      <c r="AN23" s="1402"/>
    </row>
    <row r="24" spans="1:40" s="1419" customFormat="1" ht="15.75" thickBot="1">
      <c r="A24" s="1638" t="s">
        <v>1874</v>
      </c>
      <c r="B24" s="1413" t="s">
        <v>982</v>
      </c>
      <c r="C24" s="1060">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1.3899999999999999E-2</v>
      </c>
      <c r="R24" s="2888"/>
      <c r="S24" s="2888"/>
      <c r="T24" s="2888"/>
      <c r="U24" s="2888"/>
      <c r="V24" s="2888"/>
      <c r="W24" s="2192"/>
      <c r="X24" s="2192"/>
      <c r="Y24" s="2192"/>
      <c r="Z24" s="2192"/>
      <c r="AA24" s="2192"/>
      <c r="AB24" s="2192"/>
      <c r="AC24" s="2192"/>
      <c r="AD24" s="1470"/>
      <c r="AE24" s="1470"/>
      <c r="AF24" s="1470"/>
      <c r="AG24" s="1470"/>
      <c r="AH24" s="1470"/>
      <c r="AI24" s="1470"/>
    </row>
    <row r="25" spans="1:40" ht="15" thickBot="1">
      <c r="A25" s="1638" t="s">
        <v>1875</v>
      </c>
      <c r="B25" s="1484" t="s">
        <v>984</v>
      </c>
      <c r="C25" s="1485"/>
      <c r="D25" s="1428"/>
      <c r="E25" s="1428"/>
      <c r="F25" s="1486"/>
      <c r="G25" s="1428"/>
      <c r="H25" s="1428"/>
      <c r="I25" s="1428"/>
      <c r="J25" s="1429"/>
      <c r="K25" s="1399"/>
      <c r="L25" s="2192"/>
      <c r="M25" s="2192"/>
      <c r="N25" s="2817" t="s">
        <v>2653</v>
      </c>
      <c r="O25" s="2192"/>
      <c r="P25" s="1539">
        <f>SUMPRODUCT((地价!A3:A20=YEAR(G19)&amp;"-"&amp;ROUNDUP(MONTH(G19)/3,0))*(地价!AD2:AH2=N25)*(地价!AD3:AH20))</f>
        <v>2.4899999999999999E-2</v>
      </c>
      <c r="R25" s="2888"/>
      <c r="S25" s="2888"/>
      <c r="T25" s="2888"/>
      <c r="U25" s="2888"/>
      <c r="V25" s="2888"/>
      <c r="W25" s="2192"/>
      <c r="X25" s="2192"/>
      <c r="Y25" s="2192"/>
      <c r="Z25" s="2192"/>
      <c r="AA25" s="2192"/>
      <c r="AB25" s="2192"/>
      <c r="AC25" s="2192"/>
    </row>
    <row r="26" spans="1:40" ht="14.25">
      <c r="A26" s="1487"/>
      <c r="B26" s="1481" t="s">
        <v>988</v>
      </c>
      <c r="C26" s="1061" t="e">
        <f>E29+SUM(E33:E39)</f>
        <v>#DIV/0!</v>
      </c>
      <c r="D26" s="1488"/>
      <c r="E26" s="1454"/>
      <c r="F26" s="1489"/>
      <c r="G26" s="1454"/>
      <c r="H26" s="1454"/>
      <c r="I26" s="1454"/>
      <c r="J26" s="1490"/>
      <c r="K26" s="1399"/>
      <c r="L26" s="2192"/>
      <c r="M26" s="2192"/>
      <c r="N26" s="2192"/>
      <c r="O26" s="2192"/>
      <c r="P26" s="2192"/>
      <c r="Q26" s="2192"/>
      <c r="R26" s="2888"/>
      <c r="S26" s="2888"/>
      <c r="T26" s="2888"/>
      <c r="U26" s="2888"/>
      <c r="V26" s="2888"/>
      <c r="W26" s="2192"/>
      <c r="X26" s="2192"/>
      <c r="Y26" s="2192"/>
      <c r="Z26" s="2192"/>
      <c r="AA26" s="2192"/>
      <c r="AB26" s="2192"/>
      <c r="AC26" s="2192"/>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2"/>
      <c r="M27" s="2192"/>
      <c r="N27" s="2192"/>
      <c r="O27" s="2192"/>
      <c r="P27" s="2192"/>
      <c r="Q27" s="2192"/>
      <c r="R27" s="2888"/>
      <c r="S27" s="2888"/>
      <c r="T27" s="2888"/>
      <c r="U27" s="2888"/>
      <c r="V27" s="2888"/>
      <c r="W27" s="2192"/>
      <c r="X27" s="2192"/>
      <c r="Y27" s="2192"/>
      <c r="Z27" s="2192"/>
      <c r="AA27" s="2192"/>
      <c r="AB27" s="2192"/>
      <c r="AC27" s="2192"/>
    </row>
    <row r="28" spans="1:40" ht="14.25">
      <c r="A28" s="1483"/>
      <c r="B28" s="1496" t="s">
        <v>991</v>
      </c>
      <c r="C28" s="1497" t="s">
        <v>992</v>
      </c>
      <c r="D28" s="1497" t="s">
        <v>993</v>
      </c>
      <c r="E28" s="1498" t="s">
        <v>994</v>
      </c>
      <c r="F28" s="1499"/>
      <c r="G28" s="1440"/>
      <c r="H28" s="1440"/>
      <c r="I28" s="1440"/>
      <c r="J28" s="1441"/>
      <c r="K28" s="1399"/>
      <c r="L28" s="2192"/>
      <c r="M28" s="2192"/>
      <c r="N28" s="2192"/>
      <c r="O28" s="2192"/>
      <c r="P28" s="2192"/>
      <c r="Q28" s="2192"/>
      <c r="R28" s="2888"/>
      <c r="S28" s="2888"/>
      <c r="T28" s="2888"/>
      <c r="U28" s="2888"/>
      <c r="V28" s="2888"/>
      <c r="W28" s="2192"/>
      <c r="X28" s="2192"/>
      <c r="Y28" s="2192"/>
      <c r="Z28" s="2192"/>
      <c r="AA28" s="2192"/>
      <c r="AB28" s="2192"/>
      <c r="AC28" s="2192"/>
      <c r="AD28" s="1470"/>
      <c r="AE28" s="1470"/>
      <c r="AF28" s="1470"/>
      <c r="AG28" s="1470"/>
    </row>
    <row r="29" spans="1:40" ht="24">
      <c r="A29" s="1500"/>
      <c r="B29" s="1501" t="s">
        <v>995</v>
      </c>
      <c r="C29" s="1061" t="e">
        <f>ROUND(C5*C18*C19*C20*C21*C24,0)</f>
        <v>#DIV/0!</v>
      </c>
      <c r="D29" s="1502"/>
      <c r="E29" s="1846" t="e">
        <f>ROUND(C29*D29/10000,0)</f>
        <v>#DIV/0!</v>
      </c>
      <c r="F29" s="1503" t="s">
        <v>1703</v>
      </c>
      <c r="G29" s="1504"/>
      <c r="H29" s="1504"/>
      <c r="I29" s="1504"/>
      <c r="J29" s="1505"/>
      <c r="K29" s="1399"/>
      <c r="L29" s="2192"/>
      <c r="M29" s="2192"/>
      <c r="N29" s="2192"/>
      <c r="O29" s="2192"/>
      <c r="P29" s="2192"/>
      <c r="Q29" s="2192"/>
      <c r="R29" s="2888"/>
      <c r="S29" s="2888"/>
      <c r="T29" s="2888"/>
      <c r="U29" s="2888"/>
      <c r="V29" s="2888"/>
      <c r="W29" s="2192"/>
      <c r="X29" s="2192"/>
      <c r="Y29" s="2192"/>
      <c r="Z29" s="2192"/>
      <c r="AA29" s="2192"/>
      <c r="AB29" s="2192"/>
      <c r="AC29" s="2192"/>
      <c r="AH29" s="1400"/>
      <c r="AI29" s="1400"/>
      <c r="AJ29" s="1403"/>
      <c r="AK29" s="1403"/>
      <c r="AL29" s="1403"/>
      <c r="AM29" s="1403"/>
    </row>
    <row r="30" spans="1:40" ht="24.75" thickBot="1">
      <c r="A30" s="1506"/>
      <c r="B30" s="1507" t="s">
        <v>996</v>
      </c>
      <c r="C30" s="1049" t="e">
        <f>ROUND(IF(E2="工业",C29*M39,C29*M38),0)</f>
        <v>#DIV/0!</v>
      </c>
      <c r="D30" s="1508"/>
      <c r="E30" s="1846" t="e">
        <f>ROUND(C30*D30/10000,0)</f>
        <v>#DIV/0!</v>
      </c>
      <c r="F30" s="1509" t="s">
        <v>997</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330" t="s">
        <v>2968</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331"/>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331"/>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332"/>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1008</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1009</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1010</v>
      </c>
      <c r="B46" s="2429" t="s">
        <v>1011</v>
      </c>
      <c r="C46" s="2451" t="s">
        <v>1012</v>
      </c>
      <c r="D46" s="2452" t="s">
        <v>1013</v>
      </c>
      <c r="E46" s="2453" t="s">
        <v>1015</v>
      </c>
      <c r="F46" s="2454" t="s">
        <v>2251</v>
      </c>
      <c r="G46" s="2452" t="s">
        <v>1016</v>
      </c>
      <c r="H46" s="2435" t="s">
        <v>2419</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1025</v>
      </c>
      <c r="B50" s="3054" t="s">
        <v>2943</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1027</v>
      </c>
      <c r="B52" s="3053" t="s">
        <v>2942</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1031</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1010</v>
      </c>
      <c r="B57" s="2429"/>
      <c r="C57" s="2451" t="s">
        <v>1012</v>
      </c>
      <c r="D57" s="2452" t="s">
        <v>1013</v>
      </c>
      <c r="E57" s="2453" t="s">
        <v>1015</v>
      </c>
      <c r="F57" s="2454" t="s">
        <v>2252</v>
      </c>
      <c r="G57" s="2452" t="s">
        <v>1016</v>
      </c>
      <c r="H57" s="2435" t="s">
        <v>2419</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1025</v>
      </c>
      <c r="B61" s="3054" t="s">
        <v>2944</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1027</v>
      </c>
      <c r="B63" s="3053" t="s">
        <v>2942</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1033</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1010</v>
      </c>
      <c r="B68" s="2429"/>
      <c r="C68" s="2451" t="s">
        <v>1012</v>
      </c>
      <c r="D68" s="2452" t="s">
        <v>1013</v>
      </c>
      <c r="E68" s="2453" t="s">
        <v>1015</v>
      </c>
      <c r="F68" s="2454" t="s">
        <v>2253</v>
      </c>
      <c r="G68" s="2452" t="s">
        <v>1016</v>
      </c>
      <c r="H68" s="2435" t="s">
        <v>2419</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1027</v>
      </c>
      <c r="B75" s="3053" t="s">
        <v>2942</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1037</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1038</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1010</v>
      </c>
      <c r="B79" s="2429"/>
      <c r="C79" s="2451" t="s">
        <v>1012</v>
      </c>
      <c r="D79" s="2452" t="s">
        <v>1013</v>
      </c>
      <c r="E79" s="2453" t="s">
        <v>1015</v>
      </c>
      <c r="F79" s="2454" t="s">
        <v>2254</v>
      </c>
      <c r="G79" s="2452" t="s">
        <v>1016</v>
      </c>
      <c r="H79" s="2435" t="s">
        <v>2419</v>
      </c>
      <c r="I79" s="2452" t="s">
        <v>1014</v>
      </c>
      <c r="J79" s="2455" t="s">
        <v>1017</v>
      </c>
      <c r="K79" s="2455" t="s">
        <v>1018</v>
      </c>
      <c r="L79" s="2455" t="s">
        <v>1019</v>
      </c>
      <c r="M79" s="2455" t="s">
        <v>1020</v>
      </c>
      <c r="N79" s="2455" t="s">
        <v>1021</v>
      </c>
      <c r="AC79" s="1403"/>
      <c r="AD79" s="1402"/>
      <c r="AJ79" s="1401"/>
      <c r="AN79" s="1402"/>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1027</v>
      </c>
      <c r="B86" s="3053" t="s">
        <v>2942</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328" t="s">
        <v>1635</v>
      </c>
      <c r="B90" s="3328"/>
      <c r="C90" s="3328"/>
      <c r="D90" s="3328"/>
      <c r="E90" s="3328"/>
      <c r="F90" s="3328"/>
      <c r="G90" s="3328"/>
      <c r="H90" s="3328"/>
      <c r="I90" s="3328"/>
      <c r="J90" s="3328"/>
      <c r="K90" s="2471"/>
      <c r="L90" s="2471"/>
      <c r="M90" s="2471"/>
      <c r="N90" s="2471"/>
    </row>
    <row r="91" spans="1:40">
      <c r="A91" s="3329" t="s">
        <v>1445</v>
      </c>
      <c r="B91" s="3329" t="s">
        <v>1636</v>
      </c>
      <c r="C91" s="1138" t="s">
        <v>1637</v>
      </c>
      <c r="D91" s="1139"/>
      <c r="E91" s="1139"/>
      <c r="F91" s="1139"/>
      <c r="G91" s="1139"/>
      <c r="H91" s="1139"/>
      <c r="I91" s="1139"/>
      <c r="J91" s="1140"/>
      <c r="K91" s="1132"/>
      <c r="L91" s="1132"/>
      <c r="M91" s="1132"/>
      <c r="N91" s="1132"/>
    </row>
    <row r="92" spans="1:40">
      <c r="A92" s="3329"/>
      <c r="B92" s="3329"/>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336" t="s">
        <v>2769</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3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3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3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3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3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37"/>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3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36" t="s">
        <v>1639</v>
      </c>
      <c r="B101" s="1145" t="s">
        <v>907</v>
      </c>
      <c r="C101" s="1146">
        <f>$G$3</f>
        <v>2.0699999999999998</v>
      </c>
      <c r="D101" s="1146">
        <f t="shared" ref="D101:N101" si="31">$G$3</f>
        <v>2.0699999999999998</v>
      </c>
      <c r="E101" s="1146">
        <f t="shared" si="31"/>
        <v>2.0699999999999998</v>
      </c>
      <c r="F101" s="1146">
        <f t="shared" si="31"/>
        <v>2.0699999999999998</v>
      </c>
      <c r="G101" s="1146">
        <f t="shared" si="31"/>
        <v>2.0699999999999998</v>
      </c>
      <c r="H101" s="1146">
        <f t="shared" si="31"/>
        <v>2.0699999999999998</v>
      </c>
      <c r="I101" s="1146">
        <f t="shared" si="31"/>
        <v>2.0699999999999998</v>
      </c>
      <c r="J101" s="1146">
        <f t="shared" si="31"/>
        <v>2.0699999999999998</v>
      </c>
      <c r="K101" s="1146">
        <f t="shared" si="31"/>
        <v>2.0699999999999998</v>
      </c>
      <c r="L101" s="1146">
        <f t="shared" si="31"/>
        <v>2.0699999999999998</v>
      </c>
      <c r="M101" s="1146">
        <f t="shared" si="31"/>
        <v>2.0699999999999998</v>
      </c>
      <c r="N101" s="1146">
        <f t="shared" si="31"/>
        <v>2.0699999999999998</v>
      </c>
    </row>
    <row r="102" spans="1:14">
      <c r="A102" s="3337"/>
      <c r="B102" s="1141">
        <v>1</v>
      </c>
      <c r="C102" s="1142">
        <f>1.9362/C101</f>
        <v>0.93536231884057974</v>
      </c>
      <c r="D102" s="1142">
        <f>1.9362/D101</f>
        <v>0.93536231884057974</v>
      </c>
      <c r="E102" s="1142">
        <f>1.8629/E101</f>
        <v>0.89995169082125615</v>
      </c>
      <c r="F102" s="1142">
        <f>1.8629/F101</f>
        <v>0.89995169082125615</v>
      </c>
      <c r="G102" s="1142">
        <f>1.8629/G101</f>
        <v>0.89995169082125615</v>
      </c>
      <c r="H102" s="1142">
        <f>1.8629/H101</f>
        <v>0.89995169082125615</v>
      </c>
      <c r="I102" s="1142">
        <f>1.8629/I101</f>
        <v>0.89995169082125615</v>
      </c>
      <c r="J102" s="1142">
        <f>1.942/J101</f>
        <v>0.9381642512077295</v>
      </c>
      <c r="K102" s="1142">
        <f>1.942/K101</f>
        <v>0.9381642512077295</v>
      </c>
      <c r="L102" s="1142">
        <f>1.942/L101</f>
        <v>0.9381642512077295</v>
      </c>
      <c r="M102" s="1142">
        <f>1.942/M101</f>
        <v>0.9381642512077295</v>
      </c>
      <c r="N102" s="1142">
        <f>1.942/N101</f>
        <v>0.9381642512077295</v>
      </c>
    </row>
    <row r="103" spans="1:14">
      <c r="A103" s="3337"/>
      <c r="B103" s="1141">
        <v>2</v>
      </c>
      <c r="C103" s="1142">
        <f>1.4198/C101</f>
        <v>0.68589371980676328</v>
      </c>
      <c r="D103" s="1142">
        <f>1.4198/D101</f>
        <v>0.68589371980676328</v>
      </c>
      <c r="E103" s="1142">
        <f>1.3372/E101</f>
        <v>0.64599033816425122</v>
      </c>
      <c r="F103" s="1142">
        <f>1.3372/F101</f>
        <v>0.64599033816425122</v>
      </c>
      <c r="G103" s="1142">
        <f>1.3372/G101</f>
        <v>0.64599033816425122</v>
      </c>
      <c r="H103" s="1142">
        <f>1.3372/H101</f>
        <v>0.64599033816425122</v>
      </c>
      <c r="I103" s="1142">
        <f>1.3372/I101</f>
        <v>0.64599033816425122</v>
      </c>
      <c r="J103" s="1142">
        <f>1.2799/J101</f>
        <v>0.61830917874396141</v>
      </c>
      <c r="K103" s="1142">
        <f>1.2799/K101</f>
        <v>0.61830917874396141</v>
      </c>
      <c r="L103" s="1142">
        <f>1.2799/L101</f>
        <v>0.61830917874396141</v>
      </c>
      <c r="M103" s="1142">
        <f>1.2799/M101</f>
        <v>0.61830917874396141</v>
      </c>
      <c r="N103" s="1142">
        <f>1.2799/N101</f>
        <v>0.61830917874396141</v>
      </c>
    </row>
    <row r="104" spans="1:14">
      <c r="A104" s="3337"/>
      <c r="B104" s="1141">
        <v>3</v>
      </c>
      <c r="C104" s="1142">
        <f>1.1594/C101</f>
        <v>0.56009661835748792</v>
      </c>
      <c r="D104" s="1142">
        <f>1.1594/D101</f>
        <v>0.56009661835748792</v>
      </c>
      <c r="E104" s="1142">
        <f>1.0788/E101</f>
        <v>0.52115942028985507</v>
      </c>
      <c r="F104" s="1142">
        <f>1.0788/F101</f>
        <v>0.52115942028985507</v>
      </c>
      <c r="G104" s="1142">
        <f>1.0788/G101</f>
        <v>0.52115942028985507</v>
      </c>
      <c r="H104" s="1142">
        <f>1.0788/H101</f>
        <v>0.52115942028985507</v>
      </c>
      <c r="I104" s="1142">
        <f>1.0788/I101</f>
        <v>0.52115942028985507</v>
      </c>
      <c r="J104" s="1142">
        <f>1.0072/J101</f>
        <v>0.48657004830917883</v>
      </c>
      <c r="K104" s="1142">
        <f>1.0072/K101</f>
        <v>0.48657004830917883</v>
      </c>
      <c r="L104" s="1142">
        <f>1.0072/L101</f>
        <v>0.48657004830917883</v>
      </c>
      <c r="M104" s="1142">
        <f>1.0072/M101</f>
        <v>0.48657004830917883</v>
      </c>
      <c r="N104" s="1142">
        <f>1.0072/N101</f>
        <v>0.48657004830917883</v>
      </c>
    </row>
    <row r="105" spans="1:14">
      <c r="A105" s="3337"/>
      <c r="B105" s="1141">
        <v>4</v>
      </c>
      <c r="C105" s="1142">
        <f>0.9622/C101</f>
        <v>0.46483091787439618</v>
      </c>
      <c r="D105" s="1142">
        <f>0.9622/D101</f>
        <v>0.46483091787439618</v>
      </c>
      <c r="E105" s="1142">
        <f>0.8656/E101</f>
        <v>0.41816425120772954</v>
      </c>
      <c r="F105" s="1142">
        <f>0.8656/F101</f>
        <v>0.41816425120772954</v>
      </c>
      <c r="G105" s="1142">
        <f>0.8656/G101</f>
        <v>0.41816425120772954</v>
      </c>
      <c r="H105" s="1142">
        <f>0.8656/H101</f>
        <v>0.41816425120772954</v>
      </c>
      <c r="I105" s="1142">
        <f>0.8656/I101</f>
        <v>0.41816425120772954</v>
      </c>
      <c r="J105" s="1142">
        <f>0.7525/J101</f>
        <v>0.36352657004830918</v>
      </c>
      <c r="K105" s="1142">
        <f>0.7525/K101</f>
        <v>0.36352657004830918</v>
      </c>
      <c r="L105" s="1142">
        <f>0.7525/L101</f>
        <v>0.36352657004830918</v>
      </c>
      <c r="M105" s="1142">
        <f>0.7525/M101</f>
        <v>0.36352657004830918</v>
      </c>
      <c r="N105" s="1142">
        <f>0.7525/N101</f>
        <v>0.36352657004830918</v>
      </c>
    </row>
    <row r="106" spans="1:14">
      <c r="A106" s="3337"/>
      <c r="B106" s="1141">
        <v>5</v>
      </c>
      <c r="C106" s="1142">
        <f>0.8417/C101</f>
        <v>0.40661835748792274</v>
      </c>
      <c r="D106" s="1142">
        <f>0.8417/D101</f>
        <v>0.40661835748792274</v>
      </c>
      <c r="E106" s="1142">
        <f>0.7371/E101</f>
        <v>0.35608695652173916</v>
      </c>
      <c r="F106" s="1142">
        <f>0.7371/F101</f>
        <v>0.35608695652173916</v>
      </c>
      <c r="G106" s="1142">
        <f>0.7371/G101</f>
        <v>0.35608695652173916</v>
      </c>
      <c r="H106" s="1142">
        <f>0.7371/H101</f>
        <v>0.35608695652173916</v>
      </c>
      <c r="I106" s="1142">
        <f>0.7371/I101</f>
        <v>0.35608695652173916</v>
      </c>
      <c r="J106" s="1142">
        <f>0.5659/J101</f>
        <v>0.27338164251207731</v>
      </c>
      <c r="K106" s="1142">
        <f>0.5659/K101</f>
        <v>0.27338164251207731</v>
      </c>
      <c r="L106" s="1142">
        <f>0.5659/L101</f>
        <v>0.27338164251207731</v>
      </c>
      <c r="M106" s="1142">
        <f>0.5659/M101</f>
        <v>0.27338164251207731</v>
      </c>
      <c r="N106" s="1142">
        <f>0.5659/N101</f>
        <v>0.27338164251207731</v>
      </c>
    </row>
    <row r="107" spans="1:14">
      <c r="A107" s="3337"/>
      <c r="B107" s="1141">
        <v>6</v>
      </c>
      <c r="C107" s="1142">
        <f>0.7608/C101</f>
        <v>0.36753623188405804</v>
      </c>
      <c r="D107" s="1142">
        <f>0.7608/D101</f>
        <v>0.36753623188405804</v>
      </c>
      <c r="E107" s="1142">
        <f>0.6482/E101</f>
        <v>0.31314009661835751</v>
      </c>
      <c r="F107" s="1142">
        <f>0.6482/F101</f>
        <v>0.31314009661835751</v>
      </c>
      <c r="G107" s="1142">
        <f>0.6482/G101</f>
        <v>0.31314009661835751</v>
      </c>
      <c r="H107" s="1142">
        <f>0.6482/H101</f>
        <v>0.31314009661835751</v>
      </c>
      <c r="I107" s="1142">
        <f>0.6482/I101</f>
        <v>0.31314009661835751</v>
      </c>
      <c r="J107" s="1142">
        <f>0.4525/J101</f>
        <v>0.21859903381642515</v>
      </c>
      <c r="K107" s="1142">
        <f>0.4525/K101</f>
        <v>0.21859903381642515</v>
      </c>
      <c r="L107" s="1142">
        <f>0.4525/L101</f>
        <v>0.21859903381642515</v>
      </c>
      <c r="M107" s="1142">
        <f>0.4525/M101</f>
        <v>0.21859903381642515</v>
      </c>
      <c r="N107" s="1142">
        <f>0.4525/N101</f>
        <v>0.21859903381642515</v>
      </c>
    </row>
    <row r="108" spans="1:14">
      <c r="A108" s="3337"/>
      <c r="B108" s="3339"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38"/>
      <c r="B109" s="3340"/>
      <c r="C109" s="1144">
        <f>(-0.163*(C108^2)-0.59*C108+7617)*(10^(-4))/C101</f>
        <v>0.36723903381642514</v>
      </c>
      <c r="D109" s="1144">
        <f>(-0.163*(D108^2)-0.59*D108+7617)*(10^(-4))/D101</f>
        <v>0.36723903381642514</v>
      </c>
      <c r="E109" s="1144">
        <f>(-0.161*(E108^2)-7.509*E108+6533)*(10^(-4))/E101</f>
        <v>0.31220405797101453</v>
      </c>
      <c r="F109" s="1144">
        <f>(-0.161*(F108^2)-7.509*F108+6533)*(10^(-4))/F101</f>
        <v>0.31220405797101453</v>
      </c>
      <c r="G109" s="1144">
        <f>(-0.161*(G108^2)-7.509*G108+6533)*(10^(-4))/G101</f>
        <v>0.31220405797101453</v>
      </c>
      <c r="H109" s="1144">
        <f>(-0.161*(H108^2)-7.509*H108+6533)*(10^(-4))/H101</f>
        <v>0.31220405797101453</v>
      </c>
      <c r="I109" s="1144">
        <f>(-0.161*(I108^2)-7.509*I108+6533)*(10^(-4))/I101</f>
        <v>0.31220405797101453</v>
      </c>
      <c r="J109" s="1144">
        <f>(-0.214*(J108^2)-21.991*J108+4665)*(10^(-4))/J101</f>
        <v>0.21620173913043481</v>
      </c>
      <c r="K109" s="1144">
        <f>(-0.214*(K108^2)-21.991*K108+4665)*(10^(-4))/K101</f>
        <v>0.21620173913043481</v>
      </c>
      <c r="L109" s="1144">
        <f>(-0.214*(L108^2)-21.991*L108+4665)*(10^(-4))/L101</f>
        <v>0.21620173913043481</v>
      </c>
      <c r="M109" s="1144">
        <f>(-0.214*(M108^2)-21.991*M108+4665)*(10^(-4))/M101</f>
        <v>0.21620173913043481</v>
      </c>
      <c r="N109" s="1144">
        <f>(-0.214*(N108^2)-21.991*N108+4665)*(10^(-4))/N101</f>
        <v>0.21620173913043481</v>
      </c>
    </row>
    <row r="110" spans="1:14">
      <c r="A110" s="3323" t="s">
        <v>1641</v>
      </c>
      <c r="B110" s="3323"/>
      <c r="C110" s="3323"/>
      <c r="D110" s="3323"/>
      <c r="E110" s="3323"/>
      <c r="F110" s="3323"/>
      <c r="G110" s="3323"/>
      <c r="H110" s="3323"/>
      <c r="I110" s="3323"/>
      <c r="J110" s="3323"/>
      <c r="K110" s="2469"/>
      <c r="L110" s="2469"/>
      <c r="M110" s="2469"/>
      <c r="N110" s="2469"/>
    </row>
    <row r="112" spans="1:14" ht="12.75" thickBot="1"/>
    <row r="113" spans="1:13" ht="25.5" thickBot="1">
      <c r="A113" s="1014" t="s">
        <v>897</v>
      </c>
      <c r="B113" s="2472">
        <f>G3</f>
        <v>2.0699999999999998</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0.91400000000000003</v>
      </c>
      <c r="C115" s="1028">
        <f>B115</f>
        <v>0.91400000000000003</v>
      </c>
      <c r="D115" s="1028">
        <f>ROUND(0.8331-0.0109*B113,4)</f>
        <v>0.8105</v>
      </c>
      <c r="E115" s="1028">
        <f>D115</f>
        <v>0.8105</v>
      </c>
      <c r="F115" s="1028">
        <f>E115</f>
        <v>0.8105</v>
      </c>
      <c r="G115" s="1028">
        <f>F115</f>
        <v>0.8105</v>
      </c>
      <c r="H115" s="1028">
        <f>G115</f>
        <v>0.8105</v>
      </c>
      <c r="I115" s="1028">
        <f>ROUND(0.689-0.0155*B113,4)</f>
        <v>0.65690000000000004</v>
      </c>
      <c r="J115" s="1028">
        <f t="shared" ref="J115:M118" si="33">I115</f>
        <v>0.65690000000000004</v>
      </c>
      <c r="K115" s="1028">
        <f t="shared" si="33"/>
        <v>0.65690000000000004</v>
      </c>
      <c r="L115" s="1028">
        <f t="shared" si="33"/>
        <v>0.65690000000000004</v>
      </c>
      <c r="M115" s="1029">
        <f t="shared" si="33"/>
        <v>0.65690000000000004</v>
      </c>
    </row>
    <row r="116" spans="1:13" ht="12.75">
      <c r="A116" s="1027" t="s">
        <v>902</v>
      </c>
      <c r="B116" s="1028">
        <f>ROUND(0.949-0.012*B113,4)</f>
        <v>0.92420000000000002</v>
      </c>
      <c r="C116" s="1028">
        <f>B116</f>
        <v>0.92420000000000002</v>
      </c>
      <c r="D116" s="1028">
        <f>ROUND(0.8567-0.013*B113,4)</f>
        <v>0.82979999999999998</v>
      </c>
      <c r="E116" s="1028">
        <f t="shared" ref="E116:H117" si="34">D116</f>
        <v>0.82979999999999998</v>
      </c>
      <c r="F116" s="1028">
        <f t="shared" si="34"/>
        <v>0.82979999999999998</v>
      </c>
      <c r="G116" s="1028">
        <f t="shared" si="34"/>
        <v>0.82979999999999998</v>
      </c>
      <c r="H116" s="1028">
        <f t="shared" si="34"/>
        <v>0.82979999999999998</v>
      </c>
      <c r="I116" s="1028">
        <f>ROUND(0.7694-0.014*B113,4)</f>
        <v>0.74039999999999995</v>
      </c>
      <c r="J116" s="1028">
        <f t="shared" si="33"/>
        <v>0.74039999999999995</v>
      </c>
      <c r="K116" s="1028">
        <f t="shared" si="33"/>
        <v>0.74039999999999995</v>
      </c>
      <c r="L116" s="1028">
        <f t="shared" si="33"/>
        <v>0.74039999999999995</v>
      </c>
      <c r="M116" s="1029">
        <f t="shared" si="33"/>
        <v>0.74039999999999995</v>
      </c>
    </row>
    <row r="117" spans="1:13" ht="12.75">
      <c r="A117" s="1030" t="s">
        <v>903</v>
      </c>
      <c r="B117" s="1028">
        <f>ROUND(0.8808-0.006*B113,4)</f>
        <v>0.86839999999999995</v>
      </c>
      <c r="C117" s="1028">
        <f>B117</f>
        <v>0.86839999999999995</v>
      </c>
      <c r="D117" s="1028">
        <f>ROUND(0.8748-0.008*B113,4)</f>
        <v>0.85819999999999996</v>
      </c>
      <c r="E117" s="1028">
        <f t="shared" si="34"/>
        <v>0.85819999999999996</v>
      </c>
      <c r="F117" s="1028">
        <f t="shared" si="34"/>
        <v>0.85819999999999996</v>
      </c>
      <c r="G117" s="1028">
        <f t="shared" si="34"/>
        <v>0.85819999999999996</v>
      </c>
      <c r="H117" s="1028">
        <f t="shared" si="34"/>
        <v>0.85819999999999996</v>
      </c>
      <c r="I117" s="1028">
        <f>ROUND(0.7412-0.0095*B113,4)</f>
        <v>0.72150000000000003</v>
      </c>
      <c r="J117" s="1028">
        <f t="shared" si="33"/>
        <v>0.72150000000000003</v>
      </c>
      <c r="K117" s="1028">
        <f t="shared" si="33"/>
        <v>0.72150000000000003</v>
      </c>
      <c r="L117" s="1028">
        <f t="shared" si="33"/>
        <v>0.72150000000000003</v>
      </c>
      <c r="M117" s="1029">
        <f t="shared" si="33"/>
        <v>0.72150000000000003</v>
      </c>
    </row>
    <row r="118" spans="1:13" ht="13.5" thickBot="1">
      <c r="A118" s="1031" t="s">
        <v>904</v>
      </c>
      <c r="B118" s="1032">
        <f>ROUND(0.7275-0.01*B113,4)</f>
        <v>0.70679999999999998</v>
      </c>
      <c r="C118" s="1032">
        <f>B118</f>
        <v>0.70679999999999998</v>
      </c>
      <c r="D118" s="1032">
        <f>ROUND(0.7043-0.012*B113,4)</f>
        <v>0.67949999999999999</v>
      </c>
      <c r="E118" s="1032">
        <f>D118</f>
        <v>0.67949999999999999</v>
      </c>
      <c r="F118" s="1032">
        <f>E118</f>
        <v>0.67949999999999999</v>
      </c>
      <c r="G118" s="1032">
        <f>ROUND(0.6299-0.0122*B113,4)</f>
        <v>0.60460000000000003</v>
      </c>
      <c r="H118" s="1032">
        <f>G118</f>
        <v>0.60460000000000003</v>
      </c>
      <c r="I118" s="1032">
        <f>ROUND(0.5667-0.0136*B113,4)</f>
        <v>0.53849999999999998</v>
      </c>
      <c r="J118" s="1032">
        <f t="shared" si="33"/>
        <v>0.53849999999999998</v>
      </c>
      <c r="K118" s="1032">
        <f t="shared" si="33"/>
        <v>0.53849999999999998</v>
      </c>
      <c r="L118" s="1032">
        <f t="shared" si="33"/>
        <v>0.53849999999999998</v>
      </c>
      <c r="M118" s="1033">
        <f t="shared" si="33"/>
        <v>0.53849999999999998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329" t="s">
        <v>1009</v>
      </c>
      <c r="B18" s="1152" t="s">
        <v>1448</v>
      </c>
      <c r="C18" s="1129" t="s">
        <v>1449</v>
      </c>
      <c r="D18" s="1130"/>
      <c r="E18" s="1152">
        <v>1</v>
      </c>
      <c r="F18" s="1131" t="s">
        <v>1450</v>
      </c>
      <c r="G18" s="1132"/>
      <c r="H18" s="1103"/>
      <c r="I18" s="1103"/>
    </row>
    <row r="19" spans="1:9" s="1597" customFormat="1" ht="19.5" customHeight="1">
      <c r="A19" s="3329"/>
      <c r="B19" s="3329" t="s">
        <v>1451</v>
      </c>
      <c r="C19" s="1129" t="s">
        <v>1452</v>
      </c>
      <c r="D19" s="1130"/>
      <c r="E19" s="1152">
        <v>0.9</v>
      </c>
      <c r="F19" s="1131" t="s">
        <v>1453</v>
      </c>
      <c r="G19" s="1132"/>
      <c r="H19" s="1103"/>
      <c r="I19" s="1103"/>
    </row>
    <row r="20" spans="1:9" s="1597" customFormat="1" ht="19.5" customHeight="1">
      <c r="A20" s="3329"/>
      <c r="B20" s="3329"/>
      <c r="C20" s="1129" t="s">
        <v>1454</v>
      </c>
      <c r="D20" s="1130"/>
      <c r="E20" s="1152">
        <v>1.1000000000000001</v>
      </c>
      <c r="F20" s="1131" t="s">
        <v>1455</v>
      </c>
      <c r="G20" s="1132"/>
      <c r="H20" s="1103"/>
      <c r="I20" s="1103"/>
    </row>
    <row r="21" spans="1:9" s="1597" customFormat="1" ht="19.5" customHeight="1">
      <c r="A21" s="3329"/>
      <c r="B21" s="3329"/>
      <c r="C21" s="1129" t="s">
        <v>1456</v>
      </c>
      <c r="D21" s="1130"/>
      <c r="E21" s="1152">
        <v>0.8</v>
      </c>
      <c r="F21" s="1131" t="s">
        <v>1457</v>
      </c>
      <c r="G21" s="1132"/>
      <c r="H21" s="1103"/>
      <c r="I21" s="1103"/>
    </row>
    <row r="22" spans="1:9" s="1597" customFormat="1" ht="19.5" customHeight="1">
      <c r="A22" s="3329"/>
      <c r="B22" s="3329"/>
      <c r="C22" s="1129" t="s">
        <v>1458</v>
      </c>
      <c r="D22" s="1130"/>
      <c r="E22" s="1152">
        <v>0.5</v>
      </c>
      <c r="F22" s="1131"/>
      <c r="G22" s="1132"/>
      <c r="H22" s="1103"/>
      <c r="I22" s="1103"/>
    </row>
    <row r="23" spans="1:9" s="1597" customFormat="1" ht="19.5" customHeight="1">
      <c r="A23" s="3329" t="s">
        <v>1031</v>
      </c>
      <c r="B23" s="1152" t="s">
        <v>1448</v>
      </c>
      <c r="C23" s="1129" t="s">
        <v>1459</v>
      </c>
      <c r="D23" s="1130"/>
      <c r="E23" s="1152">
        <v>1</v>
      </c>
      <c r="F23" s="1131" t="s">
        <v>1460</v>
      </c>
      <c r="G23" s="1132"/>
      <c r="H23" s="1103"/>
      <c r="I23" s="1103"/>
    </row>
    <row r="24" spans="1:9" s="1597" customFormat="1" ht="19.5" customHeight="1">
      <c r="A24" s="3329"/>
      <c r="B24" s="3329" t="s">
        <v>1451</v>
      </c>
      <c r="C24" s="1129" t="s">
        <v>1461</v>
      </c>
      <c r="D24" s="1130"/>
      <c r="E24" s="1152">
        <v>0.5</v>
      </c>
      <c r="F24" s="1131"/>
      <c r="G24" s="1132"/>
      <c r="H24" s="1103"/>
      <c r="I24" s="1103"/>
    </row>
    <row r="25" spans="1:9" s="1597" customFormat="1" ht="19.5" customHeight="1">
      <c r="A25" s="3329"/>
      <c r="B25" s="3329"/>
      <c r="C25" s="1129" t="s">
        <v>1462</v>
      </c>
      <c r="D25" s="1130"/>
      <c r="E25" s="1152">
        <v>1.1000000000000001</v>
      </c>
      <c r="F25" s="1131"/>
      <c r="G25" s="1132"/>
      <c r="H25" s="1103"/>
      <c r="I25" s="1103"/>
    </row>
    <row r="26" spans="1:9" s="1597" customFormat="1" ht="19.5" customHeight="1">
      <c r="A26" s="3329"/>
      <c r="B26" s="3329"/>
      <c r="C26" s="1129" t="s">
        <v>1463</v>
      </c>
      <c r="D26" s="1130"/>
      <c r="E26" s="1152">
        <v>1.1000000000000001</v>
      </c>
      <c r="F26" s="1131"/>
      <c r="G26" s="1132"/>
      <c r="H26" s="1103"/>
      <c r="I26" s="1103"/>
    </row>
    <row r="27" spans="1:9" s="1597" customFormat="1" ht="19.5" customHeight="1">
      <c r="A27" s="3329"/>
      <c r="B27" s="3329"/>
      <c r="C27" s="1129" t="s">
        <v>1464</v>
      </c>
      <c r="D27" s="1130"/>
      <c r="E27" s="1152">
        <v>0.9</v>
      </c>
      <c r="F27" s="1131" t="s">
        <v>1465</v>
      </c>
      <c r="G27" s="1132"/>
      <c r="H27" s="1103"/>
      <c r="I27" s="1103"/>
    </row>
    <row r="28" spans="1:9" s="1597" customFormat="1" ht="19.5" customHeight="1">
      <c r="A28" s="3329"/>
      <c r="B28" s="3329"/>
      <c r="C28" s="1129" t="s">
        <v>1466</v>
      </c>
      <c r="D28" s="1130"/>
      <c r="E28" s="1152">
        <v>0.9</v>
      </c>
      <c r="F28" s="1131" t="s">
        <v>1467</v>
      </c>
      <c r="G28" s="1132"/>
      <c r="H28" s="1103"/>
      <c r="I28" s="1103"/>
    </row>
    <row r="29" spans="1:9" s="1597" customFormat="1" ht="19.5" customHeight="1">
      <c r="A29" s="3329"/>
      <c r="B29" s="3329"/>
      <c r="C29" s="1129" t="s">
        <v>1468</v>
      </c>
      <c r="D29" s="1130"/>
      <c r="E29" s="1152">
        <v>0.9</v>
      </c>
      <c r="F29" s="1131" t="s">
        <v>1469</v>
      </c>
      <c r="G29" s="1132"/>
      <c r="H29" s="1103"/>
      <c r="I29" s="1103"/>
    </row>
    <row r="30" spans="1:9" s="1597" customFormat="1" ht="19.5" customHeight="1">
      <c r="A30" s="3329"/>
      <c r="B30" s="3329"/>
      <c r="C30" s="1129" t="s">
        <v>1470</v>
      </c>
      <c r="D30" s="1130"/>
      <c r="E30" s="1152">
        <v>0.9</v>
      </c>
      <c r="F30" s="1131" t="s">
        <v>1471</v>
      </c>
      <c r="G30" s="1132"/>
      <c r="H30" s="1103"/>
      <c r="I30" s="1103"/>
    </row>
    <row r="31" spans="1:9" s="1597" customFormat="1" ht="19.5" customHeight="1">
      <c r="A31" s="3329"/>
      <c r="B31" s="3329"/>
      <c r="C31" s="1129" t="s">
        <v>1472</v>
      </c>
      <c r="D31" s="1130"/>
      <c r="E31" s="1152">
        <v>0.8</v>
      </c>
      <c r="F31" s="1131" t="s">
        <v>1473</v>
      </c>
      <c r="G31" s="1132"/>
      <c r="H31" s="1103"/>
      <c r="I31" s="1103"/>
    </row>
    <row r="32" spans="1:9" s="1597" customFormat="1" ht="19.5" customHeight="1">
      <c r="A32" s="3329"/>
      <c r="B32" s="3329"/>
      <c r="C32" s="1129" t="s">
        <v>1474</v>
      </c>
      <c r="D32" s="1130"/>
      <c r="E32" s="1152">
        <v>0.8</v>
      </c>
      <c r="F32" s="1131" t="s">
        <v>1475</v>
      </c>
      <c r="G32" s="1132"/>
      <c r="H32" s="1103"/>
      <c r="I32" s="1103"/>
    </row>
    <row r="33" spans="1:9" s="1597" customFormat="1" ht="19.5" customHeight="1">
      <c r="A33" s="3329" t="s">
        <v>1476</v>
      </c>
      <c r="B33" s="1152" t="s">
        <v>1448</v>
      </c>
      <c r="C33" s="1129" t="s">
        <v>1477</v>
      </c>
      <c r="D33" s="1130"/>
      <c r="E33" s="1152">
        <v>1</v>
      </c>
      <c r="F33" s="1131" t="s">
        <v>1478</v>
      </c>
      <c r="G33" s="1132"/>
      <c r="H33" s="1103"/>
      <c r="I33" s="1103"/>
    </row>
    <row r="34" spans="1:9" s="1597" customFormat="1" ht="19.5" customHeight="1">
      <c r="A34" s="3329"/>
      <c r="B34" s="1152" t="s">
        <v>1451</v>
      </c>
      <c r="C34" s="1129" t="s">
        <v>1479</v>
      </c>
      <c r="D34" s="1130"/>
      <c r="E34" s="1152">
        <v>1.5</v>
      </c>
      <c r="F34" s="1131" t="s">
        <v>1480</v>
      </c>
      <c r="G34" s="1132"/>
      <c r="H34" s="1103"/>
      <c r="I34" s="1103"/>
    </row>
    <row r="35" spans="1:9" s="1597" customFormat="1" ht="19.5" customHeight="1">
      <c r="A35" s="3329" t="s">
        <v>1434</v>
      </c>
      <c r="B35" s="1152" t="s">
        <v>1448</v>
      </c>
      <c r="C35" s="1129" t="s">
        <v>1481</v>
      </c>
      <c r="D35" s="1130"/>
      <c r="E35" s="1152">
        <v>1</v>
      </c>
      <c r="F35" s="1131" t="s">
        <v>1482</v>
      </c>
      <c r="G35" s="1132"/>
      <c r="H35" s="1103"/>
      <c r="I35" s="1103"/>
    </row>
    <row r="36" spans="1:9" s="1597" customFormat="1" ht="19.5" customHeight="1">
      <c r="A36" s="3329"/>
      <c r="B36" s="3329" t="s">
        <v>1451</v>
      </c>
      <c r="C36" s="1129" t="s">
        <v>1483</v>
      </c>
      <c r="D36" s="1130"/>
      <c r="E36" s="1152">
        <v>1</v>
      </c>
      <c r="F36" s="1131" t="s">
        <v>1484</v>
      </c>
      <c r="G36" s="1132"/>
      <c r="H36" s="1103"/>
      <c r="I36" s="1103"/>
    </row>
    <row r="37" spans="1:9" s="1597" customFormat="1" ht="19.5" customHeight="1">
      <c r="A37" s="3329"/>
      <c r="B37" s="3329"/>
      <c r="C37" s="1129" t="s">
        <v>1485</v>
      </c>
      <c r="D37" s="1130"/>
      <c r="E37" s="1152">
        <v>1.5</v>
      </c>
      <c r="F37" s="1131" t="s">
        <v>1486</v>
      </c>
      <c r="G37" s="1132"/>
      <c r="H37" s="1103"/>
      <c r="I37" s="1103"/>
    </row>
    <row r="38" spans="1:9" s="1597" customFormat="1" ht="19.5" customHeight="1">
      <c r="A38" s="3329"/>
      <c r="B38" s="3329"/>
      <c r="C38" s="1129" t="s">
        <v>1487</v>
      </c>
      <c r="D38" s="1130"/>
      <c r="E38" s="1152">
        <v>1</v>
      </c>
      <c r="F38" s="1131" t="s">
        <v>1488</v>
      </c>
      <c r="G38" s="1132"/>
      <c r="H38" s="1103"/>
      <c r="I38" s="1103"/>
    </row>
    <row r="39" spans="1:9" s="1597" customFormat="1" ht="19.5" customHeight="1">
      <c r="A39" s="3329"/>
      <c r="B39" s="3329"/>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329" t="s">
        <v>1503</v>
      </c>
      <c r="C61" s="1066" t="s">
        <v>1504</v>
      </c>
      <c r="D61" s="1066" t="s">
        <v>1505</v>
      </c>
      <c r="E61" s="1137">
        <v>0.5</v>
      </c>
      <c r="F61" s="1152">
        <v>80</v>
      </c>
      <c r="H61" s="1103">
        <f>SUMIF(C59:C119,基准地价!C8,E59:E119)</f>
        <v>0</v>
      </c>
    </row>
    <row r="62" spans="1:8" s="1103" customFormat="1" ht="24">
      <c r="A62" s="1152">
        <v>2</v>
      </c>
      <c r="B62" s="3329"/>
      <c r="C62" s="1066" t="s">
        <v>1506</v>
      </c>
      <c r="D62" s="1066" t="s">
        <v>1507</v>
      </c>
      <c r="E62" s="1137">
        <v>0.5</v>
      </c>
      <c r="F62" s="1152">
        <v>80</v>
      </c>
    </row>
    <row r="63" spans="1:8" s="1103" customFormat="1" ht="36">
      <c r="A63" s="1152">
        <v>3</v>
      </c>
      <c r="B63" s="3329"/>
      <c r="C63" s="1066" t="s">
        <v>1508</v>
      </c>
      <c r="D63" s="1066" t="s">
        <v>1509</v>
      </c>
      <c r="E63" s="1137">
        <v>0.5</v>
      </c>
      <c r="F63" s="1152">
        <v>80</v>
      </c>
    </row>
    <row r="64" spans="1:8" s="1103" customFormat="1" ht="36">
      <c r="A64" s="1152">
        <v>4</v>
      </c>
      <c r="B64" s="3329"/>
      <c r="C64" s="1066" t="s">
        <v>1510</v>
      </c>
      <c r="D64" s="1066" t="s">
        <v>1511</v>
      </c>
      <c r="E64" s="1137">
        <v>0.4</v>
      </c>
      <c r="F64" s="1152">
        <v>60</v>
      </c>
    </row>
    <row r="65" spans="1:6" s="1103" customFormat="1" ht="36">
      <c r="A65" s="1152">
        <v>5</v>
      </c>
      <c r="B65" s="3329"/>
      <c r="C65" s="1066" t="s">
        <v>1512</v>
      </c>
      <c r="D65" s="1066" t="s">
        <v>1513</v>
      </c>
      <c r="E65" s="1137">
        <v>0.2</v>
      </c>
      <c r="F65" s="1152">
        <v>30</v>
      </c>
    </row>
    <row r="66" spans="1:6" s="1103" customFormat="1" ht="36">
      <c r="A66" s="1152">
        <v>6</v>
      </c>
      <c r="B66" s="3329"/>
      <c r="C66" s="1066" t="s">
        <v>1514</v>
      </c>
      <c r="D66" s="1066" t="s">
        <v>1515</v>
      </c>
      <c r="E66" s="1137">
        <v>0.3</v>
      </c>
      <c r="F66" s="1152">
        <v>50</v>
      </c>
    </row>
    <row r="67" spans="1:6" s="1103" customFormat="1" ht="36">
      <c r="A67" s="1152">
        <v>7</v>
      </c>
      <c r="B67" s="3329"/>
      <c r="C67" s="1066" t="s">
        <v>1516</v>
      </c>
      <c r="D67" s="1066" t="s">
        <v>1517</v>
      </c>
      <c r="E67" s="1137">
        <v>0.2</v>
      </c>
      <c r="F67" s="1152">
        <v>30</v>
      </c>
    </row>
    <row r="68" spans="1:6" s="1103" customFormat="1" ht="36">
      <c r="A68" s="1152">
        <v>8</v>
      </c>
      <c r="B68" s="3329"/>
      <c r="C68" s="1066" t="s">
        <v>1518</v>
      </c>
      <c r="D68" s="1066" t="s">
        <v>1519</v>
      </c>
      <c r="E68" s="1137">
        <v>0.2</v>
      </c>
      <c r="F68" s="1152">
        <v>30</v>
      </c>
    </row>
    <row r="69" spans="1:6" s="1103" customFormat="1" ht="36">
      <c r="A69" s="1152">
        <v>9</v>
      </c>
      <c r="B69" s="3329"/>
      <c r="C69" s="1066" t="s">
        <v>1520</v>
      </c>
      <c r="D69" s="1066" t="s">
        <v>1521</v>
      </c>
      <c r="E69" s="1137">
        <v>0.2</v>
      </c>
      <c r="F69" s="1152">
        <v>30</v>
      </c>
    </row>
    <row r="70" spans="1:6" s="1103" customFormat="1" ht="48">
      <c r="A70" s="1152">
        <v>10</v>
      </c>
      <c r="B70" s="3329"/>
      <c r="C70" s="1066" t="s">
        <v>1522</v>
      </c>
      <c r="D70" s="1066" t="s">
        <v>1523</v>
      </c>
      <c r="E70" s="1137">
        <v>0.2</v>
      </c>
      <c r="F70" s="1152">
        <v>30</v>
      </c>
    </row>
    <row r="71" spans="1:6" s="1103" customFormat="1" ht="48">
      <c r="A71" s="1152">
        <v>11</v>
      </c>
      <c r="B71" s="3329"/>
      <c r="C71" s="1066" t="s">
        <v>1524</v>
      </c>
      <c r="D71" s="1066" t="s">
        <v>1525</v>
      </c>
      <c r="E71" s="1137">
        <v>0.2</v>
      </c>
      <c r="F71" s="1152">
        <v>30</v>
      </c>
    </row>
    <row r="72" spans="1:6" s="1103" customFormat="1" ht="36">
      <c r="A72" s="1152">
        <v>12</v>
      </c>
      <c r="B72" s="3329"/>
      <c r="C72" s="1066" t="s">
        <v>1526</v>
      </c>
      <c r="D72" s="1066" t="s">
        <v>1527</v>
      </c>
      <c r="E72" s="1137">
        <v>0.5</v>
      </c>
      <c r="F72" s="1152">
        <v>80</v>
      </c>
    </row>
    <row r="73" spans="1:6" s="1103" customFormat="1" ht="24">
      <c r="A73" s="1152">
        <v>13</v>
      </c>
      <c r="B73" s="3329"/>
      <c r="C73" s="1066" t="s">
        <v>1528</v>
      </c>
      <c r="D73" s="1066" t="s">
        <v>1529</v>
      </c>
      <c r="E73" s="1137">
        <v>0.4</v>
      </c>
      <c r="F73" s="1152">
        <v>60</v>
      </c>
    </row>
    <row r="74" spans="1:6" s="1103" customFormat="1" ht="24">
      <c r="A74" s="1152">
        <v>14</v>
      </c>
      <c r="B74" s="3329"/>
      <c r="C74" s="1066" t="s">
        <v>1530</v>
      </c>
      <c r="D74" s="1066" t="s">
        <v>1531</v>
      </c>
      <c r="E74" s="1137">
        <v>0.2</v>
      </c>
      <c r="F74" s="1152">
        <v>30</v>
      </c>
    </row>
    <row r="75" spans="1:6" s="1103" customFormat="1" ht="24">
      <c r="A75" s="1152">
        <v>15</v>
      </c>
      <c r="B75" s="3329"/>
      <c r="C75" s="1066" t="s">
        <v>1532</v>
      </c>
      <c r="D75" s="1066" t="s">
        <v>1533</v>
      </c>
      <c r="E75" s="1137">
        <v>0.2</v>
      </c>
      <c r="F75" s="1152">
        <v>30</v>
      </c>
    </row>
    <row r="76" spans="1:6" s="1103" customFormat="1" ht="24">
      <c r="A76" s="1152">
        <v>16</v>
      </c>
      <c r="B76" s="3329" t="s">
        <v>1534</v>
      </c>
      <c r="C76" s="1066" t="s">
        <v>1535</v>
      </c>
      <c r="D76" s="1066" t="s">
        <v>1536</v>
      </c>
      <c r="E76" s="1137">
        <v>0.5</v>
      </c>
      <c r="F76" s="1152">
        <v>80</v>
      </c>
    </row>
    <row r="77" spans="1:6" s="1103" customFormat="1" ht="24">
      <c r="A77" s="1152">
        <v>17</v>
      </c>
      <c r="B77" s="3329"/>
      <c r="C77" s="1066" t="s">
        <v>1537</v>
      </c>
      <c r="D77" s="1066" t="s">
        <v>1538</v>
      </c>
      <c r="E77" s="1137">
        <v>0.5</v>
      </c>
      <c r="F77" s="1152">
        <v>80</v>
      </c>
    </row>
    <row r="78" spans="1:6" s="1103" customFormat="1" ht="24">
      <c r="A78" s="1152">
        <v>18</v>
      </c>
      <c r="B78" s="3329"/>
      <c r="C78" s="1066" t="s">
        <v>1539</v>
      </c>
      <c r="D78" s="1066" t="s">
        <v>1540</v>
      </c>
      <c r="E78" s="1137">
        <v>0.2</v>
      </c>
      <c r="F78" s="1152">
        <v>30</v>
      </c>
    </row>
    <row r="79" spans="1:6" s="1103" customFormat="1" ht="24">
      <c r="A79" s="1152">
        <v>19</v>
      </c>
      <c r="B79" s="3329"/>
      <c r="C79" s="1066" t="s">
        <v>1541</v>
      </c>
      <c r="D79" s="1066" t="s">
        <v>1542</v>
      </c>
      <c r="E79" s="1137">
        <v>0.5</v>
      </c>
      <c r="F79" s="1152">
        <v>80</v>
      </c>
    </row>
    <row r="80" spans="1:6" s="1103" customFormat="1" ht="36">
      <c r="A80" s="1152">
        <v>20</v>
      </c>
      <c r="B80" s="3329"/>
      <c r="C80" s="1066" t="s">
        <v>1543</v>
      </c>
      <c r="D80" s="1066" t="s">
        <v>1544</v>
      </c>
      <c r="E80" s="1137">
        <v>0.2</v>
      </c>
      <c r="F80" s="1152">
        <v>30</v>
      </c>
    </row>
    <row r="81" spans="1:6" s="1103" customFormat="1" ht="36">
      <c r="A81" s="1152">
        <v>21</v>
      </c>
      <c r="B81" s="3329"/>
      <c r="C81" s="1066" t="s">
        <v>1545</v>
      </c>
      <c r="D81" s="1066" t="s">
        <v>1546</v>
      </c>
      <c r="E81" s="1137">
        <v>0.2</v>
      </c>
      <c r="F81" s="1152">
        <v>30</v>
      </c>
    </row>
    <row r="82" spans="1:6" s="1103" customFormat="1" ht="48">
      <c r="A82" s="1152">
        <v>22</v>
      </c>
      <c r="B82" s="3329"/>
      <c r="C82" s="1066" t="s">
        <v>1547</v>
      </c>
      <c r="D82" s="1066" t="s">
        <v>1548</v>
      </c>
      <c r="E82" s="1137">
        <v>0.2</v>
      </c>
      <c r="F82" s="1152">
        <v>30</v>
      </c>
    </row>
    <row r="83" spans="1:6" s="1103" customFormat="1" ht="48">
      <c r="A83" s="1152">
        <v>23</v>
      </c>
      <c r="B83" s="3329"/>
      <c r="C83" s="1066" t="s">
        <v>1549</v>
      </c>
      <c r="D83" s="1066" t="s">
        <v>1550</v>
      </c>
      <c r="E83" s="1137">
        <v>0.2</v>
      </c>
      <c r="F83" s="1152">
        <v>30</v>
      </c>
    </row>
    <row r="84" spans="1:6" s="1103" customFormat="1" ht="36">
      <c r="A84" s="1152">
        <v>24</v>
      </c>
      <c r="B84" s="3329"/>
      <c r="C84" s="1066" t="s">
        <v>1551</v>
      </c>
      <c r="D84" s="1066" t="s">
        <v>1552</v>
      </c>
      <c r="E84" s="1137">
        <v>0.2</v>
      </c>
      <c r="F84" s="1152">
        <v>30</v>
      </c>
    </row>
    <row r="85" spans="1:6" s="1103" customFormat="1" ht="36">
      <c r="A85" s="1152">
        <v>25</v>
      </c>
      <c r="B85" s="3329"/>
      <c r="C85" s="1066" t="s">
        <v>1553</v>
      </c>
      <c r="D85" s="1066" t="s">
        <v>1554</v>
      </c>
      <c r="E85" s="1137">
        <v>0.5</v>
      </c>
      <c r="F85" s="1152">
        <v>80</v>
      </c>
    </row>
    <row r="86" spans="1:6" s="1103" customFormat="1" ht="36">
      <c r="A86" s="1152">
        <v>26</v>
      </c>
      <c r="B86" s="3329"/>
      <c r="C86" s="1066" t="s">
        <v>1555</v>
      </c>
      <c r="D86" s="1066" t="s">
        <v>1556</v>
      </c>
      <c r="E86" s="1137">
        <v>0.2</v>
      </c>
      <c r="F86" s="1152">
        <v>30</v>
      </c>
    </row>
    <row r="87" spans="1:6" s="1103" customFormat="1" ht="36">
      <c r="A87" s="1152">
        <v>27</v>
      </c>
      <c r="B87" s="3329"/>
      <c r="C87" s="1066" t="s">
        <v>1557</v>
      </c>
      <c r="D87" s="1066" t="s">
        <v>1558</v>
      </c>
      <c r="E87" s="1137">
        <v>0.2</v>
      </c>
      <c r="F87" s="1152">
        <v>30</v>
      </c>
    </row>
    <row r="88" spans="1:6" s="1103" customFormat="1" ht="36">
      <c r="A88" s="1152">
        <v>28</v>
      </c>
      <c r="B88" s="3329"/>
      <c r="C88" s="1066" t="s">
        <v>1559</v>
      </c>
      <c r="D88" s="1066" t="s">
        <v>1560</v>
      </c>
      <c r="E88" s="1137">
        <v>0.2</v>
      </c>
      <c r="F88" s="1152">
        <v>30</v>
      </c>
    </row>
    <row r="89" spans="1:6" s="1103" customFormat="1" ht="24">
      <c r="A89" s="1152">
        <v>29</v>
      </c>
      <c r="B89" s="3329"/>
      <c r="C89" s="1066" t="s">
        <v>1561</v>
      </c>
      <c r="D89" s="1066" t="s">
        <v>1562</v>
      </c>
      <c r="E89" s="1137">
        <v>0.2</v>
      </c>
      <c r="F89" s="1152">
        <v>30</v>
      </c>
    </row>
    <row r="90" spans="1:6" s="1103" customFormat="1" ht="24">
      <c r="A90" s="1152">
        <v>30</v>
      </c>
      <c r="B90" s="3329"/>
      <c r="C90" s="1066" t="s">
        <v>1563</v>
      </c>
      <c r="D90" s="1066" t="s">
        <v>1564</v>
      </c>
      <c r="E90" s="1137">
        <v>0.2</v>
      </c>
      <c r="F90" s="1152">
        <v>30</v>
      </c>
    </row>
    <row r="91" spans="1:6" s="1103" customFormat="1" ht="36">
      <c r="A91" s="1152">
        <v>31</v>
      </c>
      <c r="B91" s="3329"/>
      <c r="C91" s="1066" t="s">
        <v>1565</v>
      </c>
      <c r="D91" s="1066" t="s">
        <v>1566</v>
      </c>
      <c r="E91" s="1137">
        <v>0.2</v>
      </c>
      <c r="F91" s="1152">
        <v>30</v>
      </c>
    </row>
    <row r="92" spans="1:6" s="1103" customFormat="1" ht="24">
      <c r="A92" s="1152">
        <v>32</v>
      </c>
      <c r="B92" s="3329" t="s">
        <v>1567</v>
      </c>
      <c r="C92" s="1152" t="s">
        <v>1568</v>
      </c>
      <c r="D92" s="1066" t="s">
        <v>1569</v>
      </c>
      <c r="E92" s="1137">
        <v>0.2</v>
      </c>
      <c r="F92" s="1152">
        <v>30</v>
      </c>
    </row>
    <row r="93" spans="1:6" s="1103" customFormat="1" ht="36">
      <c r="A93" s="1152">
        <v>33</v>
      </c>
      <c r="B93" s="3329"/>
      <c r="C93" s="1152" t="s">
        <v>1570</v>
      </c>
      <c r="D93" s="1066" t="s">
        <v>1571</v>
      </c>
      <c r="E93" s="1137">
        <v>0.2</v>
      </c>
      <c r="F93" s="1152">
        <v>30</v>
      </c>
    </row>
    <row r="94" spans="1:6" s="1103" customFormat="1" ht="48">
      <c r="A94" s="1152">
        <v>34</v>
      </c>
      <c r="B94" s="3329"/>
      <c r="C94" s="1152" t="s">
        <v>1572</v>
      </c>
      <c r="D94" s="1066" t="s">
        <v>1573</v>
      </c>
      <c r="E94" s="1137">
        <v>0.2</v>
      </c>
      <c r="F94" s="1152">
        <v>30</v>
      </c>
    </row>
    <row r="95" spans="1:6" s="1103" customFormat="1" ht="36">
      <c r="A95" s="1152">
        <v>35</v>
      </c>
      <c r="B95" s="3329"/>
      <c r="C95" s="1152" t="s">
        <v>1574</v>
      </c>
      <c r="D95" s="1066" t="s">
        <v>1575</v>
      </c>
      <c r="E95" s="1137">
        <v>0.2</v>
      </c>
      <c r="F95" s="1152">
        <v>30</v>
      </c>
    </row>
    <row r="96" spans="1:6" s="1103" customFormat="1" ht="48">
      <c r="A96" s="1152">
        <v>36</v>
      </c>
      <c r="B96" s="3329"/>
      <c r="C96" s="1066" t="s">
        <v>1576</v>
      </c>
      <c r="D96" s="1066" t="s">
        <v>1577</v>
      </c>
      <c r="E96" s="1137">
        <v>0.2</v>
      </c>
      <c r="F96" s="1152">
        <v>30</v>
      </c>
    </row>
    <row r="97" spans="1:6" s="1103" customFormat="1" ht="36">
      <c r="A97" s="1152">
        <v>37</v>
      </c>
      <c r="B97" s="3329"/>
      <c r="C97" s="1152" t="s">
        <v>1578</v>
      </c>
      <c r="D97" s="1066" t="s">
        <v>1579</v>
      </c>
      <c r="E97" s="1137">
        <v>0.2</v>
      </c>
      <c r="F97" s="1152">
        <v>30</v>
      </c>
    </row>
    <row r="98" spans="1:6" s="1103" customFormat="1" ht="36">
      <c r="A98" s="1152">
        <v>38</v>
      </c>
      <c r="B98" s="3329"/>
      <c r="C98" s="1152" t="s">
        <v>1580</v>
      </c>
      <c r="D98" s="1066" t="s">
        <v>1581</v>
      </c>
      <c r="E98" s="1137">
        <v>0.2</v>
      </c>
      <c r="F98" s="1152">
        <v>30</v>
      </c>
    </row>
    <row r="99" spans="1:6" s="1103" customFormat="1" ht="36">
      <c r="A99" s="1152">
        <v>39</v>
      </c>
      <c r="B99" s="3329" t="s">
        <v>1582</v>
      </c>
      <c r="C99" s="1152" t="s">
        <v>1583</v>
      </c>
      <c r="D99" s="1066" t="s">
        <v>1584</v>
      </c>
      <c r="E99" s="1137">
        <v>0.3</v>
      </c>
      <c r="F99" s="1152">
        <v>50</v>
      </c>
    </row>
    <row r="100" spans="1:6" s="1103" customFormat="1" ht="24">
      <c r="A100" s="1152">
        <v>40</v>
      </c>
      <c r="B100" s="3329"/>
      <c r="C100" s="1152" t="s">
        <v>1585</v>
      </c>
      <c r="D100" s="1066" t="s">
        <v>1586</v>
      </c>
      <c r="E100" s="1137">
        <v>0.2</v>
      </c>
      <c r="F100" s="1152">
        <v>30</v>
      </c>
    </row>
    <row r="101" spans="1:6" s="1103" customFormat="1" ht="36">
      <c r="A101" s="1152">
        <v>41</v>
      </c>
      <c r="B101" s="3329"/>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329" t="s">
        <v>1597</v>
      </c>
      <c r="C105" s="1152" t="s">
        <v>1598</v>
      </c>
      <c r="D105" s="1066" t="s">
        <v>1599</v>
      </c>
      <c r="E105" s="1137">
        <v>0.2</v>
      </c>
      <c r="F105" s="1152">
        <v>30</v>
      </c>
    </row>
    <row r="106" spans="1:6" s="1103" customFormat="1" ht="36">
      <c r="A106" s="1152">
        <v>46</v>
      </c>
      <c r="B106" s="3329"/>
      <c r="C106" s="1152" t="s">
        <v>1600</v>
      </c>
      <c r="D106" s="1066" t="s">
        <v>1601</v>
      </c>
      <c r="E106" s="1137">
        <v>0.2</v>
      </c>
      <c r="F106" s="1152">
        <v>30</v>
      </c>
    </row>
    <row r="107" spans="1:6" s="1103" customFormat="1" ht="36">
      <c r="A107" s="1152">
        <v>47</v>
      </c>
      <c r="B107" s="3329" t="s">
        <v>1602</v>
      </c>
      <c r="C107" s="1152" t="s">
        <v>1603</v>
      </c>
      <c r="D107" s="1066" t="s">
        <v>1604</v>
      </c>
      <c r="E107" s="1137">
        <v>0.3</v>
      </c>
      <c r="F107" s="1152">
        <v>50</v>
      </c>
    </row>
    <row r="108" spans="1:6" s="1103" customFormat="1" ht="36">
      <c r="A108" s="1152">
        <v>48</v>
      </c>
      <c r="B108" s="3329"/>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329" t="s">
        <v>1613</v>
      </c>
      <c r="C111" s="1152" t="s">
        <v>1614</v>
      </c>
      <c r="D111" s="1066" t="s">
        <v>1615</v>
      </c>
      <c r="E111" s="1137">
        <v>0.2</v>
      </c>
      <c r="F111" s="1152">
        <v>30</v>
      </c>
    </row>
    <row r="112" spans="1:6" s="1103" customFormat="1" ht="24">
      <c r="A112" s="1152">
        <v>52</v>
      </c>
      <c r="B112" s="3329"/>
      <c r="C112" s="1152" t="s">
        <v>1616</v>
      </c>
      <c r="D112" s="1066" t="s">
        <v>1617</v>
      </c>
      <c r="E112" s="1137">
        <v>0.2</v>
      </c>
      <c r="F112" s="1152">
        <v>30</v>
      </c>
    </row>
    <row r="113" spans="1:14" s="1103" customFormat="1" ht="24">
      <c r="A113" s="1152">
        <v>53</v>
      </c>
      <c r="B113" s="3329"/>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329" t="s">
        <v>1626</v>
      </c>
      <c r="C116" s="1152" t="s">
        <v>1627</v>
      </c>
      <c r="D116" s="1066" t="s">
        <v>1628</v>
      </c>
      <c r="E116" s="1137">
        <v>0.2</v>
      </c>
      <c r="F116" s="1152">
        <v>30</v>
      </c>
    </row>
    <row r="117" spans="1:14" ht="36">
      <c r="A117" s="1152">
        <v>57</v>
      </c>
      <c r="B117" s="3329"/>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328" t="s">
        <v>1635</v>
      </c>
      <c r="B121" s="3328"/>
      <c r="C121" s="3328"/>
      <c r="D121" s="3328"/>
      <c r="E121" s="3328"/>
      <c r="F121" s="3328"/>
      <c r="G121" s="3328"/>
      <c r="H121" s="3328"/>
      <c r="I121" s="3328"/>
      <c r="J121" s="332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341" t="s">
        <v>1041</v>
      </c>
      <c r="B1" s="3341"/>
      <c r="C1" s="3341"/>
      <c r="D1" s="3341"/>
      <c r="E1" s="3341"/>
      <c r="F1" s="3341"/>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342" t="s">
        <v>1054</v>
      </c>
      <c r="B2" s="3342"/>
      <c r="C2" s="3342"/>
      <c r="D2" s="3342"/>
      <c r="E2" s="3342"/>
      <c r="F2" s="3342"/>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343"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344"/>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345" t="s">
        <v>2080</v>
      </c>
      <c r="B1" s="3345"/>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1098</v>
      </c>
      <c r="B6" s="1856" t="s">
        <v>2089</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2090</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2091</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2092</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2093</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2094</v>
      </c>
      <c r="C72" s="1866"/>
      <c r="D72" s="1866"/>
      <c r="E72" s="1866"/>
      <c r="F72" s="1858">
        <v>0.05</v>
      </c>
    </row>
    <row r="73" spans="1:6" ht="14.25" thickBot="1">
      <c r="A73" s="1852" t="s">
        <v>926</v>
      </c>
      <c r="B73" s="1856" t="s">
        <v>2095</v>
      </c>
      <c r="C73" s="1866"/>
      <c r="D73" s="1866"/>
      <c r="E73" s="1866"/>
      <c r="F73" s="1858">
        <v>0.05</v>
      </c>
    </row>
    <row r="74" spans="1:6" ht="14.25" thickBot="1">
      <c r="A74" s="1852" t="s">
        <v>926</v>
      </c>
      <c r="B74" s="1856" t="s">
        <v>2096</v>
      </c>
      <c r="C74" s="1866"/>
      <c r="D74" s="1866"/>
      <c r="E74" s="1866"/>
      <c r="F74" s="1858">
        <v>0.05</v>
      </c>
    </row>
    <row r="75" spans="1:6" ht="14.25" thickBot="1">
      <c r="A75" s="1860" t="s">
        <v>926</v>
      </c>
      <c r="B75" s="1867" t="s">
        <v>2097</v>
      </c>
      <c r="C75" s="1863"/>
      <c r="D75" s="1863"/>
      <c r="E75" s="1863"/>
      <c r="F75" s="1868">
        <v>0.05</v>
      </c>
    </row>
    <row r="76" spans="1:6" ht="14.25" thickBot="1">
      <c r="A76" s="1852" t="s">
        <v>1409</v>
      </c>
      <c r="B76" s="1853" t="s">
        <v>2098</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2099</v>
      </c>
      <c r="C102" s="1866"/>
      <c r="D102" s="1866"/>
      <c r="E102" s="1866"/>
      <c r="F102" s="1858">
        <v>0.05</v>
      </c>
    </row>
    <row r="103" spans="1:6" ht="24.75" thickBot="1">
      <c r="A103" s="1852" t="s">
        <v>1409</v>
      </c>
      <c r="B103" s="1856" t="s">
        <v>2100</v>
      </c>
      <c r="C103" s="1866"/>
      <c r="D103" s="1866"/>
      <c r="E103" s="1866"/>
      <c r="F103" s="1858">
        <v>0.05</v>
      </c>
    </row>
    <row r="104" spans="1:6" ht="14.25" thickBot="1">
      <c r="A104" s="1852" t="s">
        <v>1409</v>
      </c>
      <c r="B104" s="1856" t="s">
        <v>2101</v>
      </c>
      <c r="C104" s="1866"/>
      <c r="D104" s="1866"/>
      <c r="E104" s="1866"/>
      <c r="F104" s="1858">
        <v>0.05</v>
      </c>
    </row>
    <row r="105" spans="1:6" ht="14.25" thickBot="1">
      <c r="A105" s="1852" t="s">
        <v>1409</v>
      </c>
      <c r="B105" s="1856" t="s">
        <v>2102</v>
      </c>
      <c r="C105" s="1866"/>
      <c r="D105" s="1866"/>
      <c r="E105" s="1866"/>
      <c r="F105" s="1858">
        <v>0.05</v>
      </c>
    </row>
    <row r="106" spans="1:6" ht="14.25" thickBot="1">
      <c r="A106" s="1852" t="s">
        <v>1409</v>
      </c>
      <c r="B106" s="1856" t="s">
        <v>2103</v>
      </c>
      <c r="C106" s="1866"/>
      <c r="D106" s="1866"/>
      <c r="E106" s="1866"/>
      <c r="F106" s="1858">
        <v>0.05</v>
      </c>
    </row>
    <row r="107" spans="1:6" ht="24.75" thickBot="1">
      <c r="A107" s="1852" t="s">
        <v>1409</v>
      </c>
      <c r="B107" s="1856" t="s">
        <v>2104</v>
      </c>
      <c r="C107" s="1866"/>
      <c r="D107" s="1866"/>
      <c r="E107" s="1866"/>
      <c r="F107" s="1858">
        <v>0.05</v>
      </c>
    </row>
    <row r="108" spans="1:6" ht="24.75" thickBot="1">
      <c r="A108" s="1852" t="s">
        <v>1409</v>
      </c>
      <c r="B108" s="1856" t="s">
        <v>2105</v>
      </c>
      <c r="C108" s="1866"/>
      <c r="D108" s="1866"/>
      <c r="E108" s="1866"/>
      <c r="F108" s="1858">
        <v>0.05</v>
      </c>
    </row>
    <row r="109" spans="1:6" ht="24.75" thickBot="1">
      <c r="A109" s="1860" t="s">
        <v>1409</v>
      </c>
      <c r="B109" s="1867" t="s">
        <v>2106</v>
      </c>
      <c r="C109" s="1863"/>
      <c r="D109" s="1863"/>
      <c r="E109" s="1863"/>
      <c r="F109" s="1868">
        <v>0.05</v>
      </c>
    </row>
    <row r="110" spans="1:6" ht="14.25" thickBot="1">
      <c r="A110" s="1852" t="s">
        <v>1411</v>
      </c>
      <c r="B110" s="1853" t="s">
        <v>2107</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2108</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2109</v>
      </c>
      <c r="C138" s="1857">
        <v>0.105</v>
      </c>
      <c r="D138" s="1857">
        <v>0.125</v>
      </c>
      <c r="E138" s="1857">
        <v>0.112</v>
      </c>
      <c r="F138" s="1865"/>
    </row>
    <row r="139" spans="1:6" ht="14.25" thickBot="1">
      <c r="A139" s="1852" t="s">
        <v>1411</v>
      </c>
      <c r="B139" s="1856" t="s">
        <v>2110</v>
      </c>
      <c r="C139" s="1857">
        <v>0.127</v>
      </c>
      <c r="D139" s="1857">
        <v>0.127</v>
      </c>
      <c r="E139" s="1857">
        <v>0.122</v>
      </c>
      <c r="F139" s="1858">
        <v>0.13</v>
      </c>
    </row>
    <row r="140" spans="1:6" ht="14.25" thickBot="1">
      <c r="A140" s="1852" t="s">
        <v>1411</v>
      </c>
      <c r="B140" s="1856" t="s">
        <v>2111</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2112</v>
      </c>
      <c r="C144" s="1870">
        <v>0.126</v>
      </c>
      <c r="D144" s="1870">
        <v>0.126</v>
      </c>
      <c r="E144" s="1870">
        <v>0.121</v>
      </c>
      <c r="F144" s="1865"/>
    </row>
    <row r="145" spans="1:6" ht="14.25" thickBot="1">
      <c r="A145" s="1860" t="s">
        <v>1411</v>
      </c>
      <c r="B145" s="1871" t="s">
        <v>2113</v>
      </c>
      <c r="C145" s="1872"/>
      <c r="D145" s="1872"/>
      <c r="E145" s="1872"/>
      <c r="F145" s="1873">
        <v>0.05</v>
      </c>
    </row>
    <row r="146" spans="1:6" ht="24.75" thickBot="1">
      <c r="A146" s="1874" t="s">
        <v>1411</v>
      </c>
      <c r="B146" s="1859" t="s">
        <v>2114</v>
      </c>
      <c r="C146" s="1866"/>
      <c r="D146" s="1866"/>
      <c r="E146" s="1866"/>
      <c r="F146" s="1875">
        <v>0.05</v>
      </c>
    </row>
    <row r="147" spans="1:6" ht="24.75" thickBot="1">
      <c r="A147" s="1852" t="s">
        <v>1411</v>
      </c>
      <c r="B147" s="1856" t="s">
        <v>2115</v>
      </c>
      <c r="C147" s="1866"/>
      <c r="D147" s="1866"/>
      <c r="E147" s="1866"/>
      <c r="F147" s="1858">
        <v>0.05</v>
      </c>
    </row>
    <row r="148" spans="1:6" ht="24.75" thickBot="1">
      <c r="A148" s="1852" t="s">
        <v>1411</v>
      </c>
      <c r="B148" s="1856" t="s">
        <v>2116</v>
      </c>
      <c r="C148" s="1866"/>
      <c r="D148" s="1866"/>
      <c r="E148" s="1866"/>
      <c r="F148" s="1858">
        <v>0.05</v>
      </c>
    </row>
    <row r="149" spans="1:6" ht="24.75" thickBot="1">
      <c r="A149" s="1852" t="s">
        <v>1411</v>
      </c>
      <c r="B149" s="1856" t="s">
        <v>2117</v>
      </c>
      <c r="C149" s="1866"/>
      <c r="D149" s="1866"/>
      <c r="E149" s="1866"/>
      <c r="F149" s="1858">
        <v>0.05</v>
      </c>
    </row>
    <row r="150" spans="1:6" ht="24.75" thickBot="1">
      <c r="A150" s="1852" t="s">
        <v>1411</v>
      </c>
      <c r="B150" s="1856" t="s">
        <v>2118</v>
      </c>
      <c r="C150" s="1866"/>
      <c r="D150" s="1866"/>
      <c r="E150" s="1866"/>
      <c r="F150" s="1858">
        <v>0.05</v>
      </c>
    </row>
    <row r="151" spans="1:6" ht="24.75" thickBot="1">
      <c r="A151" s="1852" t="s">
        <v>1411</v>
      </c>
      <c r="B151" s="1856" t="s">
        <v>2119</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2120</v>
      </c>
      <c r="C153" s="1866"/>
      <c r="D153" s="1866"/>
      <c r="E153" s="1866"/>
      <c r="F153" s="1858">
        <v>0.05</v>
      </c>
    </row>
    <row r="154" spans="1:6" ht="14.25" thickBot="1">
      <c r="A154" s="1852" t="s">
        <v>1411</v>
      </c>
      <c r="B154" s="1856" t="s">
        <v>2121</v>
      </c>
      <c r="C154" s="1866"/>
      <c r="D154" s="1866"/>
      <c r="E154" s="1866"/>
      <c r="F154" s="1858">
        <v>0.05</v>
      </c>
    </row>
    <row r="155" spans="1:6" ht="24.75" thickBot="1">
      <c r="A155" s="1852" t="s">
        <v>1411</v>
      </c>
      <c r="B155" s="1856" t="s">
        <v>2122</v>
      </c>
      <c r="C155" s="1866"/>
      <c r="D155" s="1866"/>
      <c r="E155" s="1866"/>
      <c r="F155" s="1858">
        <v>0.05</v>
      </c>
    </row>
    <row r="156" spans="1:6" ht="24.75" thickBot="1">
      <c r="A156" s="1852" t="s">
        <v>1411</v>
      </c>
      <c r="B156" s="1856" t="s">
        <v>2123</v>
      </c>
      <c r="C156" s="1866"/>
      <c r="D156" s="1866"/>
      <c r="E156" s="1866"/>
      <c r="F156" s="1858">
        <v>0.05</v>
      </c>
    </row>
    <row r="157" spans="1:6" ht="14.25" thickBot="1">
      <c r="A157" s="1860" t="s">
        <v>1411</v>
      </c>
      <c r="B157" s="1867" t="s">
        <v>2124</v>
      </c>
      <c r="C157" s="1863"/>
      <c r="D157" s="1863"/>
      <c r="E157" s="1863"/>
      <c r="F157" s="1868">
        <v>0.05</v>
      </c>
    </row>
    <row r="158" spans="1:6" ht="14.25" thickBot="1">
      <c r="A158" s="1852" t="s">
        <v>1413</v>
      </c>
      <c r="B158" s="1853" t="s">
        <v>2125</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2126</v>
      </c>
      <c r="C171" s="1857">
        <v>0.127</v>
      </c>
      <c r="D171" s="1857">
        <v>0.126</v>
      </c>
      <c r="E171" s="1857">
        <v>0.126</v>
      </c>
      <c r="F171" s="1858">
        <v>0.11799999999999999</v>
      </c>
    </row>
    <row r="172" spans="1:6" ht="14.25" thickBot="1">
      <c r="A172" s="1852" t="s">
        <v>1413</v>
      </c>
      <c r="B172" s="1856" t="s">
        <v>2127</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2128</v>
      </c>
      <c r="C174" s="1857">
        <v>0.13</v>
      </c>
      <c r="D174" s="1857">
        <v>0.13</v>
      </c>
      <c r="E174" s="1857">
        <v>0.13</v>
      </c>
      <c r="F174" s="1858">
        <v>0.13</v>
      </c>
    </row>
    <row r="175" spans="1:6" ht="14.25" thickBot="1">
      <c r="A175" s="1852" t="s">
        <v>1413</v>
      </c>
      <c r="B175" s="1856" t="s">
        <v>2129</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2130</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2131</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2132</v>
      </c>
      <c r="C185" s="1857">
        <v>0.127</v>
      </c>
      <c r="D185" s="1857">
        <v>0.127</v>
      </c>
      <c r="E185" s="1857">
        <v>0.128</v>
      </c>
      <c r="F185" s="1858">
        <v>0.13</v>
      </c>
    </row>
    <row r="186" spans="1:6" ht="24.75" thickBot="1">
      <c r="A186" s="1852" t="s">
        <v>1413</v>
      </c>
      <c r="B186" s="1856" t="s">
        <v>2133</v>
      </c>
      <c r="C186" s="1866"/>
      <c r="D186" s="1866"/>
      <c r="E186" s="1866"/>
      <c r="F186" s="1858">
        <v>0.05</v>
      </c>
    </row>
    <row r="187" spans="1:6" ht="14.25" thickBot="1">
      <c r="A187" s="1852" t="s">
        <v>1413</v>
      </c>
      <c r="B187" s="1856" t="s">
        <v>2134</v>
      </c>
      <c r="C187" s="1866"/>
      <c r="D187" s="1866"/>
      <c r="E187" s="1866"/>
      <c r="F187" s="1858">
        <v>0.05</v>
      </c>
    </row>
    <row r="188" spans="1:6" ht="14.25" thickBot="1">
      <c r="A188" s="1852" t="s">
        <v>1413</v>
      </c>
      <c r="B188" s="1856" t="s">
        <v>2135</v>
      </c>
      <c r="C188" s="1866"/>
      <c r="D188" s="1866"/>
      <c r="E188" s="1866"/>
      <c r="F188" s="1858">
        <v>0.05</v>
      </c>
    </row>
    <row r="189" spans="1:6" ht="24.75" thickBot="1">
      <c r="A189" s="1852" t="s">
        <v>1413</v>
      </c>
      <c r="B189" s="1856" t="s">
        <v>2136</v>
      </c>
      <c r="C189" s="1866"/>
      <c r="D189" s="1866"/>
      <c r="E189" s="1866"/>
      <c r="F189" s="1858">
        <v>0.05</v>
      </c>
    </row>
    <row r="190" spans="1:6" ht="24.75" thickBot="1">
      <c r="A190" s="1852" t="s">
        <v>1413</v>
      </c>
      <c r="B190" s="1856" t="s">
        <v>2137</v>
      </c>
      <c r="C190" s="1866"/>
      <c r="D190" s="1866"/>
      <c r="E190" s="1866"/>
      <c r="F190" s="1858">
        <v>0.05</v>
      </c>
    </row>
    <row r="191" spans="1:6" ht="24.75" thickBot="1">
      <c r="A191" s="1852" t="s">
        <v>1413</v>
      </c>
      <c r="B191" s="1856" t="s">
        <v>2138</v>
      </c>
      <c r="C191" s="1866"/>
      <c r="D191" s="1866"/>
      <c r="E191" s="1866"/>
      <c r="F191" s="1858">
        <v>0.05</v>
      </c>
    </row>
    <row r="192" spans="1:6" ht="24.75" thickBot="1">
      <c r="A192" s="1852" t="s">
        <v>1413</v>
      </c>
      <c r="B192" s="1856" t="s">
        <v>2139</v>
      </c>
      <c r="C192" s="1866"/>
      <c r="D192" s="1866"/>
      <c r="E192" s="1866"/>
      <c r="F192" s="1858">
        <v>0.05</v>
      </c>
    </row>
    <row r="193" spans="1:6" ht="24.75" thickBot="1">
      <c r="A193" s="1852" t="s">
        <v>1413</v>
      </c>
      <c r="B193" s="1856" t="s">
        <v>2140</v>
      </c>
      <c r="C193" s="1866"/>
      <c r="D193" s="1866"/>
      <c r="E193" s="1866"/>
      <c r="F193" s="1858">
        <v>0.05</v>
      </c>
    </row>
    <row r="194" spans="1:6" ht="24.75" thickBot="1">
      <c r="A194" s="1852" t="s">
        <v>1413</v>
      </c>
      <c r="B194" s="1856" t="s">
        <v>2141</v>
      </c>
      <c r="C194" s="1866"/>
      <c r="D194" s="1866"/>
      <c r="E194" s="1866"/>
      <c r="F194" s="1858">
        <v>0.05</v>
      </c>
    </row>
    <row r="195" spans="1:6" ht="14.25" thickBot="1">
      <c r="A195" s="1852" t="s">
        <v>1413</v>
      </c>
      <c r="B195" s="1856" t="s">
        <v>2142</v>
      </c>
      <c r="C195" s="1866"/>
      <c r="D195" s="1866"/>
      <c r="E195" s="1866"/>
      <c r="F195" s="1858">
        <v>0.05</v>
      </c>
    </row>
    <row r="196" spans="1:6" ht="24.75" thickBot="1">
      <c r="A196" s="1852" t="s">
        <v>1413</v>
      </c>
      <c r="B196" s="1856" t="s">
        <v>2143</v>
      </c>
      <c r="C196" s="1866"/>
      <c r="D196" s="1866"/>
      <c r="E196" s="1866"/>
      <c r="F196" s="1858">
        <v>0.05</v>
      </c>
    </row>
    <row r="197" spans="1:6" ht="24.75" thickBot="1">
      <c r="A197" s="1852" t="s">
        <v>1413</v>
      </c>
      <c r="B197" s="1856" t="s">
        <v>2144</v>
      </c>
      <c r="C197" s="1866"/>
      <c r="D197" s="1866"/>
      <c r="E197" s="1866"/>
      <c r="F197" s="1858">
        <v>0.05</v>
      </c>
    </row>
    <row r="198" spans="1:6" ht="24.75" thickBot="1">
      <c r="A198" s="1852" t="s">
        <v>1413</v>
      </c>
      <c r="B198" s="1856" t="s">
        <v>2145</v>
      </c>
      <c r="C198" s="1866"/>
      <c r="D198" s="1866"/>
      <c r="E198" s="1866"/>
      <c r="F198" s="1858">
        <v>0.05</v>
      </c>
    </row>
    <row r="199" spans="1:6" ht="24.75" thickBot="1">
      <c r="A199" s="1852" t="s">
        <v>1413</v>
      </c>
      <c r="B199" s="1856" t="s">
        <v>2146</v>
      </c>
      <c r="C199" s="1866"/>
      <c r="D199" s="1866"/>
      <c r="E199" s="1866"/>
      <c r="F199" s="1858">
        <v>0.05</v>
      </c>
    </row>
    <row r="200" spans="1:6" ht="24.75" thickBot="1">
      <c r="A200" s="1852" t="s">
        <v>1413</v>
      </c>
      <c r="B200" s="1856" t="s">
        <v>2147</v>
      </c>
      <c r="C200" s="1866"/>
      <c r="D200" s="1866"/>
      <c r="E200" s="1866"/>
      <c r="F200" s="1858">
        <v>0.05</v>
      </c>
    </row>
    <row r="201" spans="1:6" ht="24.75" thickBot="1">
      <c r="A201" s="1852" t="s">
        <v>1413</v>
      </c>
      <c r="B201" s="1856" t="s">
        <v>2148</v>
      </c>
      <c r="C201" s="1866"/>
      <c r="D201" s="1866"/>
      <c r="E201" s="1866"/>
      <c r="F201" s="1858">
        <v>0.05</v>
      </c>
    </row>
    <row r="202" spans="1:6" ht="24.75" thickBot="1">
      <c r="A202" s="1852" t="s">
        <v>1413</v>
      </c>
      <c r="B202" s="1856" t="s">
        <v>2149</v>
      </c>
      <c r="C202" s="1866"/>
      <c r="D202" s="1866"/>
      <c r="E202" s="1866"/>
      <c r="F202" s="1858">
        <v>0.05</v>
      </c>
    </row>
    <row r="203" spans="1:6" ht="24.75" thickBot="1">
      <c r="A203" s="1852" t="s">
        <v>1413</v>
      </c>
      <c r="B203" s="1856" t="s">
        <v>2150</v>
      </c>
      <c r="C203" s="1866"/>
      <c r="D203" s="1866"/>
      <c r="E203" s="1866"/>
      <c r="F203" s="1858">
        <v>0.05</v>
      </c>
    </row>
    <row r="204" spans="1:6" ht="14.25" thickBot="1">
      <c r="A204" s="1852" t="s">
        <v>1413</v>
      </c>
      <c r="B204" s="1856" t="s">
        <v>2151</v>
      </c>
      <c r="C204" s="1866"/>
      <c r="D204" s="1866"/>
      <c r="E204" s="1866"/>
      <c r="F204" s="1858">
        <v>0.05</v>
      </c>
    </row>
    <row r="205" spans="1:6" ht="14.25" thickBot="1">
      <c r="A205" s="1860" t="s">
        <v>1413</v>
      </c>
      <c r="B205" s="1867" t="s">
        <v>2152</v>
      </c>
      <c r="C205" s="1863"/>
      <c r="D205" s="1863"/>
      <c r="E205" s="1863"/>
      <c r="F205" s="1868">
        <v>0.05</v>
      </c>
    </row>
    <row r="206" spans="1:6" ht="14.25" thickBot="1">
      <c r="A206" s="1852" t="s">
        <v>1415</v>
      </c>
      <c r="B206" s="1853" t="s">
        <v>2153</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2154</v>
      </c>
      <c r="C210" s="1857">
        <v>0.15</v>
      </c>
      <c r="D210" s="1857">
        <v>0.15</v>
      </c>
      <c r="E210" s="1857">
        <v>0.15</v>
      </c>
      <c r="F210" s="1858">
        <v>0.13800000000000001</v>
      </c>
    </row>
    <row r="211" spans="1:6" ht="14.25" thickBot="1">
      <c r="A211" s="1852" t="s">
        <v>1415</v>
      </c>
      <c r="B211" s="1856" t="s">
        <v>2155</v>
      </c>
      <c r="C211" s="1857">
        <v>0.13700000000000001</v>
      </c>
      <c r="D211" s="1857">
        <v>0.13500000000000001</v>
      </c>
      <c r="E211" s="1857">
        <v>0.13600000000000001</v>
      </c>
      <c r="F211" s="1858">
        <v>0.1</v>
      </c>
    </row>
    <row r="212" spans="1:6" ht="14.25" thickBot="1">
      <c r="A212" s="1852" t="s">
        <v>1415</v>
      </c>
      <c r="B212" s="1856" t="s">
        <v>2156</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2157</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2158</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2159</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2160</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2161</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2162</v>
      </c>
      <c r="C231" s="1857">
        <v>0.128</v>
      </c>
      <c r="D231" s="1857">
        <v>0.125</v>
      </c>
      <c r="E231" s="1857">
        <v>0.13200000000000001</v>
      </c>
      <c r="F231" s="1865"/>
    </row>
    <row r="232" spans="1:6" ht="14.25" thickBot="1">
      <c r="A232" s="1852" t="s">
        <v>1415</v>
      </c>
      <c r="B232" s="1856" t="s">
        <v>2163</v>
      </c>
      <c r="C232" s="1857">
        <v>0.14499999999999999</v>
      </c>
      <c r="D232" s="1857">
        <v>0.14399999999999999</v>
      </c>
      <c r="E232" s="1857">
        <v>0.14599999999999999</v>
      </c>
      <c r="F232" s="1858">
        <v>0.13800000000000001</v>
      </c>
    </row>
    <row r="233" spans="1:6" ht="14.25" thickBot="1">
      <c r="A233" s="1852" t="s">
        <v>1415</v>
      </c>
      <c r="B233" s="1856" t="s">
        <v>2164</v>
      </c>
      <c r="C233" s="1857">
        <v>0.14499999999999999</v>
      </c>
      <c r="D233" s="1857">
        <v>0.14299999999999999</v>
      </c>
      <c r="E233" s="1857">
        <v>0.14199999999999999</v>
      </c>
      <c r="F233" s="1865"/>
    </row>
    <row r="234" spans="1:6" ht="14.25" thickBot="1">
      <c r="A234" s="1852" t="s">
        <v>1415</v>
      </c>
      <c r="B234" s="1856" t="s">
        <v>2165</v>
      </c>
      <c r="C234" s="1857">
        <v>0.14000000000000001</v>
      </c>
      <c r="D234" s="1857">
        <v>0.14000000000000001</v>
      </c>
      <c r="E234" s="1857">
        <v>0.14399999999999999</v>
      </c>
      <c r="F234" s="1865"/>
    </row>
    <row r="235" spans="1:6" ht="14.25" thickBot="1">
      <c r="A235" s="1852" t="s">
        <v>1415</v>
      </c>
      <c r="B235" s="1856" t="s">
        <v>2166</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2167</v>
      </c>
      <c r="C237" s="1866"/>
      <c r="D237" s="1866"/>
      <c r="E237" s="1866"/>
      <c r="F237" s="1858">
        <v>0.05</v>
      </c>
    </row>
    <row r="238" spans="1:6" ht="24.75" thickBot="1">
      <c r="A238" s="1852" t="s">
        <v>1415</v>
      </c>
      <c r="B238" s="1856" t="s">
        <v>2168</v>
      </c>
      <c r="C238" s="1866"/>
      <c r="D238" s="1866"/>
      <c r="E238" s="1866"/>
      <c r="F238" s="1858">
        <v>0.05</v>
      </c>
    </row>
    <row r="239" spans="1:6" ht="24.75" thickBot="1">
      <c r="A239" s="1852" t="s">
        <v>1415</v>
      </c>
      <c r="B239" s="1856" t="s">
        <v>2169</v>
      </c>
      <c r="C239" s="1866"/>
      <c r="D239" s="1866"/>
      <c r="E239" s="1866"/>
      <c r="F239" s="1858">
        <v>0.05</v>
      </c>
    </row>
    <row r="240" spans="1:6" ht="24.75" thickBot="1">
      <c r="A240" s="1852" t="s">
        <v>1415</v>
      </c>
      <c r="B240" s="1856" t="s">
        <v>2170</v>
      </c>
      <c r="C240" s="1866"/>
      <c r="D240" s="1866"/>
      <c r="E240" s="1866"/>
      <c r="F240" s="1858">
        <v>0.05</v>
      </c>
    </row>
    <row r="241" spans="1:6" ht="24.75" thickBot="1">
      <c r="A241" s="1852" t="s">
        <v>1415</v>
      </c>
      <c r="B241" s="1856" t="s">
        <v>2171</v>
      </c>
      <c r="C241" s="1866"/>
      <c r="D241" s="1866"/>
      <c r="E241" s="1866"/>
      <c r="F241" s="1858">
        <v>0.05</v>
      </c>
    </row>
    <row r="242" spans="1:6" ht="24.75" thickBot="1">
      <c r="A242" s="1852" t="s">
        <v>1415</v>
      </c>
      <c r="B242" s="1856" t="s">
        <v>2172</v>
      </c>
      <c r="C242" s="1866"/>
      <c r="D242" s="1866"/>
      <c r="E242" s="1866"/>
      <c r="F242" s="1858">
        <v>0.05</v>
      </c>
    </row>
    <row r="243" spans="1:6" ht="24.75" thickBot="1">
      <c r="A243" s="1852" t="s">
        <v>1415</v>
      </c>
      <c r="B243" s="1856" t="s">
        <v>2173</v>
      </c>
      <c r="C243" s="1866"/>
      <c r="D243" s="1866"/>
      <c r="E243" s="1866"/>
      <c r="F243" s="1858">
        <v>0.05</v>
      </c>
    </row>
    <row r="244" spans="1:6" ht="24.75" thickBot="1">
      <c r="A244" s="1860" t="s">
        <v>1415</v>
      </c>
      <c r="B244" s="1867" t="s">
        <v>2174</v>
      </c>
      <c r="C244" s="1863"/>
      <c r="D244" s="1863"/>
      <c r="E244" s="1863"/>
      <c r="F244" s="1868">
        <v>0.05</v>
      </c>
    </row>
    <row r="245" spans="1:6" ht="14.25" thickBot="1">
      <c r="A245" s="1852" t="s">
        <v>1417</v>
      </c>
      <c r="B245" s="1853" t="s">
        <v>2175</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2176</v>
      </c>
      <c r="C247" s="1857">
        <v>0.15</v>
      </c>
      <c r="D247" s="1857">
        <v>0.15</v>
      </c>
      <c r="E247" s="1857">
        <v>0.15</v>
      </c>
      <c r="F247" s="1858">
        <v>0.15</v>
      </c>
    </row>
    <row r="248" spans="1:6" ht="14.25" thickBot="1">
      <c r="A248" s="1852" t="s">
        <v>1417</v>
      </c>
      <c r="B248" s="1856" t="s">
        <v>2177</v>
      </c>
      <c r="C248" s="1857">
        <v>0.15</v>
      </c>
      <c r="D248" s="1857">
        <v>0.15</v>
      </c>
      <c r="E248" s="1857">
        <v>0.15</v>
      </c>
      <c r="F248" s="1858">
        <v>0.14000000000000001</v>
      </c>
    </row>
    <row r="249" spans="1:6" ht="14.25" thickBot="1">
      <c r="A249" s="1852" t="s">
        <v>1417</v>
      </c>
      <c r="B249" s="1856" t="s">
        <v>2178</v>
      </c>
      <c r="C249" s="1857">
        <v>0.15</v>
      </c>
      <c r="D249" s="1857">
        <v>0.14899999999999999</v>
      </c>
      <c r="E249" s="1857">
        <v>0.15</v>
      </c>
      <c r="F249" s="1858">
        <v>0.1</v>
      </c>
    </row>
    <row r="250" spans="1:6" ht="14.25" thickBot="1">
      <c r="A250" s="1852" t="s">
        <v>1417</v>
      </c>
      <c r="B250" s="1856" t="s">
        <v>2179</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2180</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2181</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2182</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2183</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2184</v>
      </c>
      <c r="C273" s="1857">
        <v>0.14199999999999999</v>
      </c>
      <c r="D273" s="1857">
        <v>0.14299999999999999</v>
      </c>
      <c r="E273" s="1857">
        <v>0.15</v>
      </c>
      <c r="F273" s="1858">
        <v>0.1</v>
      </c>
    </row>
    <row r="274" spans="1:6" ht="14.25" thickBot="1">
      <c r="A274" s="1852" t="s">
        <v>1417</v>
      </c>
      <c r="B274" s="1856" t="s">
        <v>2185</v>
      </c>
      <c r="C274" s="1857">
        <v>0.14799999999999999</v>
      </c>
      <c r="D274" s="1857">
        <v>0.14799999999999999</v>
      </c>
      <c r="E274" s="1857">
        <v>0.15</v>
      </c>
      <c r="F274" s="1858">
        <v>6.7000000000000004E-2</v>
      </c>
    </row>
    <row r="275" spans="1:6" ht="14.25" thickBot="1">
      <c r="A275" s="1852" t="s">
        <v>1417</v>
      </c>
      <c r="B275" s="1856" t="s">
        <v>2186</v>
      </c>
      <c r="C275" s="1857">
        <v>0.15</v>
      </c>
      <c r="D275" s="1857">
        <v>0.15</v>
      </c>
      <c r="E275" s="1857">
        <v>0.15</v>
      </c>
      <c r="F275" s="1858">
        <v>0.15</v>
      </c>
    </row>
    <row r="276" spans="1:6" ht="14.25" thickBot="1">
      <c r="A276" s="1852" t="s">
        <v>1417</v>
      </c>
      <c r="B276" s="1856" t="s">
        <v>2187</v>
      </c>
      <c r="C276" s="1857">
        <v>0.14499999999999999</v>
      </c>
      <c r="D276" s="1857">
        <v>0.14299999999999999</v>
      </c>
      <c r="E276" s="1857">
        <v>0.15</v>
      </c>
      <c r="F276" s="1858">
        <v>5.8999999999999997E-2</v>
      </c>
    </row>
    <row r="277" spans="1:6" ht="14.25" thickBot="1">
      <c r="A277" s="1852" t="s">
        <v>1417</v>
      </c>
      <c r="B277" s="1856" t="s">
        <v>2188</v>
      </c>
      <c r="C277" s="1857">
        <v>0.15</v>
      </c>
      <c r="D277" s="1857">
        <v>0.15</v>
      </c>
      <c r="E277" s="1857">
        <v>0.15</v>
      </c>
      <c r="F277" s="1858">
        <v>0.121</v>
      </c>
    </row>
    <row r="278" spans="1:6" ht="14.25" thickBot="1">
      <c r="A278" s="1852" t="s">
        <v>1417</v>
      </c>
      <c r="B278" s="1856" t="s">
        <v>2189</v>
      </c>
      <c r="C278" s="1857">
        <v>0.15</v>
      </c>
      <c r="D278" s="1857">
        <v>0.15</v>
      </c>
      <c r="E278" s="1857">
        <v>0.15</v>
      </c>
      <c r="F278" s="1858">
        <v>0.13800000000000001</v>
      </c>
    </row>
    <row r="279" spans="1:6" ht="24.75" thickBot="1">
      <c r="A279" s="1852" t="s">
        <v>1417</v>
      </c>
      <c r="B279" s="1856" t="s">
        <v>2190</v>
      </c>
      <c r="C279" s="1866"/>
      <c r="D279" s="1866"/>
      <c r="E279" s="1866"/>
      <c r="F279" s="1858">
        <v>0.05</v>
      </c>
    </row>
    <row r="280" spans="1:6" ht="24.75" thickBot="1">
      <c r="A280" s="1852" t="s">
        <v>1417</v>
      </c>
      <c r="B280" s="1856" t="s">
        <v>2191</v>
      </c>
      <c r="C280" s="1866"/>
      <c r="D280" s="1866"/>
      <c r="E280" s="1866"/>
      <c r="F280" s="1858">
        <v>0.05</v>
      </c>
    </row>
    <row r="281" spans="1:6" ht="24.75" thickBot="1">
      <c r="A281" s="1852" t="s">
        <v>1417</v>
      </c>
      <c r="B281" s="1856" t="s">
        <v>2192</v>
      </c>
      <c r="C281" s="1866"/>
      <c r="D281" s="1866"/>
      <c r="E281" s="1866"/>
      <c r="F281" s="1858">
        <v>0.05</v>
      </c>
    </row>
    <row r="282" spans="1:6" ht="24.75" thickBot="1">
      <c r="A282" s="1852" t="s">
        <v>1417</v>
      </c>
      <c r="B282" s="1856" t="s">
        <v>2193</v>
      </c>
      <c r="C282" s="1866"/>
      <c r="D282" s="1866"/>
      <c r="E282" s="1866"/>
      <c r="F282" s="1858">
        <v>0.05</v>
      </c>
    </row>
    <row r="283" spans="1:6" ht="24.75" thickBot="1">
      <c r="A283" s="1852" t="s">
        <v>1417</v>
      </c>
      <c r="B283" s="1856" t="s">
        <v>2194</v>
      </c>
      <c r="C283" s="1866"/>
      <c r="D283" s="1866"/>
      <c r="E283" s="1866"/>
      <c r="F283" s="1858">
        <v>0.05</v>
      </c>
    </row>
    <row r="284" spans="1:6" ht="24.75" thickBot="1">
      <c r="A284" s="1852" t="s">
        <v>1417</v>
      </c>
      <c r="B284" s="1856" t="s">
        <v>2195</v>
      </c>
      <c r="C284" s="1866"/>
      <c r="D284" s="1866"/>
      <c r="E284" s="1866"/>
      <c r="F284" s="1858">
        <v>0.05</v>
      </c>
    </row>
    <row r="285" spans="1:6" ht="24.75" thickBot="1">
      <c r="A285" s="1852" t="s">
        <v>1417</v>
      </c>
      <c r="B285" s="1856" t="s">
        <v>2196</v>
      </c>
      <c r="C285" s="1866"/>
      <c r="D285" s="1866"/>
      <c r="E285" s="1866"/>
      <c r="F285" s="1858">
        <v>0.05</v>
      </c>
    </row>
    <row r="286" spans="1:6" ht="24.75" thickBot="1">
      <c r="A286" s="1852" t="s">
        <v>1417</v>
      </c>
      <c r="B286" s="1856" t="s">
        <v>2197</v>
      </c>
      <c r="C286" s="1866"/>
      <c r="D286" s="1866"/>
      <c r="E286" s="1866"/>
      <c r="F286" s="1858">
        <v>0.05</v>
      </c>
    </row>
    <row r="287" spans="1:6" ht="24.75" thickBot="1">
      <c r="A287" s="1852" t="s">
        <v>1417</v>
      </c>
      <c r="B287" s="1856" t="s">
        <v>2198</v>
      </c>
      <c r="C287" s="1866"/>
      <c r="D287" s="1866"/>
      <c r="E287" s="1866"/>
      <c r="F287" s="1858">
        <v>0.05</v>
      </c>
    </row>
    <row r="288" spans="1:6" ht="24.75" thickBot="1">
      <c r="A288" s="1852" t="s">
        <v>1417</v>
      </c>
      <c r="B288" s="1856" t="s">
        <v>2199</v>
      </c>
      <c r="C288" s="1866"/>
      <c r="D288" s="1866"/>
      <c r="E288" s="1866"/>
      <c r="F288" s="1858">
        <v>0.05</v>
      </c>
    </row>
    <row r="289" spans="1:6" ht="24.75" thickBot="1">
      <c r="A289" s="1860" t="s">
        <v>1417</v>
      </c>
      <c r="B289" s="1867" t="s">
        <v>2200</v>
      </c>
      <c r="C289" s="1863"/>
      <c r="D289" s="1863"/>
      <c r="E289" s="1863"/>
      <c r="F289" s="1868">
        <v>0.05</v>
      </c>
    </row>
    <row r="290" spans="1:6" ht="14.25" thickBot="1">
      <c r="A290" s="1852" t="s">
        <v>1421</v>
      </c>
      <c r="B290" s="1853" t="s">
        <v>2201</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2202</v>
      </c>
      <c r="C292" s="1857">
        <v>0.15</v>
      </c>
      <c r="D292" s="1857">
        <v>0.15</v>
      </c>
      <c r="E292" s="1857">
        <v>0.15</v>
      </c>
      <c r="F292" s="1858">
        <v>0.14699999999999999</v>
      </c>
    </row>
    <row r="293" spans="1:6" ht="14.25" thickBot="1">
      <c r="A293" s="1852" t="s">
        <v>1421</v>
      </c>
      <c r="B293" s="1856" t="s">
        <v>2203</v>
      </c>
      <c r="C293" s="1866"/>
      <c r="D293" s="1866"/>
      <c r="E293" s="1866"/>
      <c r="F293" s="1858">
        <v>0.1</v>
      </c>
    </row>
    <row r="294" spans="1:6" ht="14.25" thickBot="1">
      <c r="A294" s="1852" t="s">
        <v>1421</v>
      </c>
      <c r="B294" s="1856" t="s">
        <v>2204</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2205</v>
      </c>
      <c r="C296" s="1857">
        <v>0.15</v>
      </c>
      <c r="D296" s="1857">
        <v>0.15</v>
      </c>
      <c r="E296" s="1857">
        <v>0.15</v>
      </c>
      <c r="F296" s="1858">
        <v>0.15</v>
      </c>
    </row>
    <row r="297" spans="1:6" ht="14.25" thickBot="1">
      <c r="A297" s="1852" t="s">
        <v>1421</v>
      </c>
      <c r="B297" s="1856" t="s">
        <v>2206</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2207</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2208</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2209</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2210</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2211</v>
      </c>
      <c r="C310" s="1857">
        <v>0.15</v>
      </c>
      <c r="D310" s="1857">
        <v>0.15</v>
      </c>
      <c r="E310" s="1857">
        <v>0.15</v>
      </c>
      <c r="F310" s="1858">
        <v>0.13700000000000001</v>
      </c>
    </row>
    <row r="311" spans="1:6" ht="14.25" thickBot="1">
      <c r="A311" s="1852" t="s">
        <v>1421</v>
      </c>
      <c r="B311" s="1856" t="s">
        <v>2212</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2213</v>
      </c>
      <c r="C313" s="1857">
        <v>0.15</v>
      </c>
      <c r="D313" s="1857">
        <v>0.15</v>
      </c>
      <c r="E313" s="1857">
        <v>0.15</v>
      </c>
      <c r="F313" s="1858">
        <v>0.15</v>
      </c>
    </row>
    <row r="314" spans="1:6" ht="24.75" thickBot="1">
      <c r="A314" s="1852" t="s">
        <v>1421</v>
      </c>
      <c r="B314" s="1856" t="s">
        <v>2214</v>
      </c>
      <c r="C314" s="1866"/>
      <c r="D314" s="1866"/>
      <c r="E314" s="1866"/>
      <c r="F314" s="1858">
        <v>0.05</v>
      </c>
    </row>
    <row r="315" spans="1:6" ht="24.75" thickBot="1">
      <c r="A315" s="1852" t="s">
        <v>1421</v>
      </c>
      <c r="B315" s="1856" t="s">
        <v>2215</v>
      </c>
      <c r="C315" s="1866"/>
      <c r="D315" s="1866"/>
      <c r="E315" s="1866"/>
      <c r="F315" s="1858">
        <v>0.05</v>
      </c>
    </row>
    <row r="316" spans="1:6" ht="24.75" thickBot="1">
      <c r="A316" s="1860" t="s">
        <v>1421</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1109</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1178</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1198</v>
      </c>
      <c r="C328" s="1857">
        <v>0.15</v>
      </c>
      <c r="D328" s="1857">
        <v>0.15</v>
      </c>
      <c r="E328" s="1857">
        <v>0.15</v>
      </c>
      <c r="F328" s="1858">
        <v>0.14099999999999999</v>
      </c>
    </row>
    <row r="329" spans="1:6" ht="14.25" thickBot="1">
      <c r="A329" s="1852" t="s">
        <v>2217</v>
      </c>
      <c r="B329" s="1856" t="s">
        <v>1208</v>
      </c>
      <c r="C329" s="1857">
        <v>0.15</v>
      </c>
      <c r="D329" s="1857">
        <v>0.15</v>
      </c>
      <c r="E329" s="1857">
        <v>0.15</v>
      </c>
      <c r="F329" s="1858">
        <v>0.15</v>
      </c>
    </row>
    <row r="330" spans="1:6" ht="14.25" thickBot="1">
      <c r="A330" s="1852" t="s">
        <v>2217</v>
      </c>
      <c r="B330" s="1856" t="s">
        <v>1218</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1238</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1258</v>
      </c>
      <c r="C334" s="1857">
        <v>0.15</v>
      </c>
      <c r="D334" s="1857">
        <v>0.15</v>
      </c>
      <c r="E334" s="1857">
        <v>0.15</v>
      </c>
      <c r="F334" s="1858">
        <v>0.15</v>
      </c>
    </row>
    <row r="335" spans="1:6" ht="14.25" thickBot="1">
      <c r="A335" s="1852" t="s">
        <v>2217</v>
      </c>
      <c r="B335" s="1856" t="s">
        <v>1268</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1286</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2956</v>
      </c>
      <c r="B1" s="3066"/>
      <c r="C1" s="3066"/>
      <c r="D1" s="3066"/>
      <c r="E1" s="3066"/>
      <c r="F1" s="3066"/>
    </row>
    <row r="2" spans="1:6" ht="14.25">
      <c r="A2" s="3067" t="s">
        <v>2950</v>
      </c>
      <c r="B2" s="3068" t="e">
        <f ca="1">SUMIF(B7:B14,"&lt;&gt;#ref!",B7:B14)</f>
        <v>#DIV/0!</v>
      </c>
      <c r="C2" s="3067" t="s">
        <v>2951</v>
      </c>
      <c r="D2" s="3066"/>
      <c r="E2" s="3066"/>
      <c r="F2" s="3066"/>
    </row>
    <row r="3" spans="1:6" ht="14.25">
      <c r="A3" s="3067" t="s">
        <v>2953</v>
      </c>
      <c r="B3" s="3068" t="e">
        <f ca="1">ROUND(B2*10000/E3,0)</f>
        <v>#DIV/0!</v>
      </c>
      <c r="C3" s="3067" t="s">
        <v>2079</v>
      </c>
      <c r="D3" s="3067" t="s">
        <v>2952</v>
      </c>
      <c r="E3" s="3068" t="e">
        <f ca="1">SUM(E7:E14)</f>
        <v>#REF!</v>
      </c>
      <c r="F3" s="3066"/>
    </row>
    <row r="4" spans="1:6" ht="14.25">
      <c r="A4" s="3067" t="s">
        <v>2960</v>
      </c>
      <c r="B4" s="3068" t="e">
        <f ca="1">ROUND(B2*10000/E4,0)</f>
        <v>#DIV/0!</v>
      </c>
      <c r="C4" s="3067" t="s">
        <v>2079</v>
      </c>
      <c r="D4" s="3067" t="s">
        <v>2961</v>
      </c>
      <c r="E4" s="3068" t="e">
        <f ca="1">SUM(F7:F14)</f>
        <v>#REF!</v>
      </c>
      <c r="F4" s="3066"/>
    </row>
    <row r="5" spans="1:6" ht="14.25">
      <c r="A5" s="3069"/>
      <c r="B5" s="1878"/>
      <c r="C5" s="1878"/>
      <c r="D5" s="1878"/>
      <c r="E5" s="1878"/>
      <c r="F5" s="3066"/>
    </row>
    <row r="6" spans="1:6" ht="28.5">
      <c r="A6" s="3070" t="s">
        <v>2957</v>
      </c>
      <c r="B6" s="3067" t="s">
        <v>2954</v>
      </c>
      <c r="C6" s="3068"/>
      <c r="D6" s="1878"/>
      <c r="E6" s="3067" t="s">
        <v>2955</v>
      </c>
      <c r="F6" s="3067" t="s">
        <v>2959</v>
      </c>
    </row>
    <row r="7" spans="1:6" ht="14.25">
      <c r="A7" s="260" t="s">
        <v>2958</v>
      </c>
      <c r="B7" s="3071" t="e">
        <f ca="1">SUMIF(INDIRECT("'"&amp;A7&amp;"'"&amp;"!A:A"),"总价",INDIRECT("'"&amp;A7&amp;"'"&amp;"!B:B"))</f>
        <v>#DIV/0!</v>
      </c>
      <c r="C7" s="3067" t="s">
        <v>2951</v>
      </c>
      <c r="D7" s="1878"/>
      <c r="E7" s="3072">
        <f ca="1">SUMIF(INDIRECT("'"&amp;A7&amp;"'"&amp;"!C:C"),"建筑面积",INDIRECT("'"&amp;A7&amp;"'"&amp;"!D:D"))</f>
        <v>0</v>
      </c>
      <c r="F7" s="3072">
        <f ca="1">SUMIF(INDIRECT("'"&amp;A7&amp;"'"&amp;"!E:E"),"土地面积",INDIRECT("'"&amp;A7&amp;"'"&amp;"!F:F"))</f>
        <v>0</v>
      </c>
    </row>
    <row r="8" spans="1:6" ht="14.25">
      <c r="A8" s="260"/>
      <c r="B8" s="3071" t="e">
        <f t="shared" ref="B8:B14" ca="1" si="0">SUMIF(INDIRECT("'"&amp;A8&amp;"'"&amp;"!A:A"),"总价",INDIRECT("'"&amp;A8&amp;"'"&amp;"!B:B"))</f>
        <v>#REF!</v>
      </c>
      <c r="C8" s="3067" t="s">
        <v>2951</v>
      </c>
      <c r="D8" s="1878"/>
      <c r="E8" s="3072" t="e">
        <f t="shared" ref="E8:E14" ca="1" si="1">SUMIF(INDIRECT("'"&amp;A8&amp;"'"&amp;"!C:C"),"建筑面积",INDIRECT("'"&amp;A8&amp;"'"&amp;"!D:D"))</f>
        <v>#REF!</v>
      </c>
      <c r="F8" s="3072" t="e">
        <f t="shared" ref="F8:F14" ca="1" si="2">SUMIF(INDIRECT("'"&amp;A8&amp;"'"&amp;"!E:E"),"土地面积",INDIRECT("'"&amp;A8&amp;"'"&amp;"!F:F"))</f>
        <v>#REF!</v>
      </c>
    </row>
    <row r="9" spans="1:6" ht="14.25">
      <c r="A9" s="260"/>
      <c r="B9" s="3071" t="e">
        <f t="shared" ca="1" si="0"/>
        <v>#REF!</v>
      </c>
      <c r="C9" s="3067" t="s">
        <v>2951</v>
      </c>
      <c r="D9" s="1878"/>
      <c r="E9" s="3072" t="e">
        <f t="shared" ca="1" si="1"/>
        <v>#REF!</v>
      </c>
      <c r="F9" s="3072" t="e">
        <f t="shared" ca="1" si="2"/>
        <v>#REF!</v>
      </c>
    </row>
    <row r="10" spans="1:6" ht="14.25">
      <c r="A10" s="260"/>
      <c r="B10" s="3071" t="e">
        <f t="shared" ca="1" si="0"/>
        <v>#REF!</v>
      </c>
      <c r="C10" s="3067" t="s">
        <v>2951</v>
      </c>
      <c r="D10" s="1878"/>
      <c r="E10" s="3072" t="e">
        <f t="shared" ca="1" si="1"/>
        <v>#REF!</v>
      </c>
      <c r="F10" s="3072" t="e">
        <f t="shared" ca="1" si="2"/>
        <v>#REF!</v>
      </c>
    </row>
    <row r="11" spans="1:6" ht="14.25">
      <c r="A11" s="260"/>
      <c r="B11" s="3071" t="e">
        <f t="shared" ca="1" si="0"/>
        <v>#REF!</v>
      </c>
      <c r="C11" s="3067" t="s">
        <v>2951</v>
      </c>
      <c r="D11" s="1878"/>
      <c r="E11" s="3072" t="e">
        <f t="shared" ca="1" si="1"/>
        <v>#REF!</v>
      </c>
      <c r="F11" s="3072" t="e">
        <f t="shared" ca="1" si="2"/>
        <v>#REF!</v>
      </c>
    </row>
    <row r="12" spans="1:6" ht="14.25">
      <c r="A12" s="260"/>
      <c r="B12" s="3071" t="e">
        <f t="shared" ca="1" si="0"/>
        <v>#REF!</v>
      </c>
      <c r="C12" s="3067" t="s">
        <v>2951</v>
      </c>
      <c r="D12" s="1878"/>
      <c r="E12" s="3072" t="e">
        <f t="shared" ca="1" si="1"/>
        <v>#REF!</v>
      </c>
      <c r="F12" s="3072" t="e">
        <f t="shared" ca="1" si="2"/>
        <v>#REF!</v>
      </c>
    </row>
    <row r="13" spans="1:6" ht="14.25">
      <c r="A13" s="260"/>
      <c r="B13" s="3071" t="e">
        <f t="shared" ca="1" si="0"/>
        <v>#REF!</v>
      </c>
      <c r="C13" s="3067" t="s">
        <v>2951</v>
      </c>
      <c r="D13" s="1878"/>
      <c r="E13" s="3072" t="e">
        <f t="shared" ca="1" si="1"/>
        <v>#REF!</v>
      </c>
      <c r="F13" s="3072" t="e">
        <f t="shared" ca="1" si="2"/>
        <v>#REF!</v>
      </c>
    </row>
    <row r="14" spans="1:6" ht="14.25">
      <c r="A14" s="3065"/>
      <c r="B14" s="3071" t="e">
        <f t="shared" ca="1" si="0"/>
        <v>#REF!</v>
      </c>
      <c r="C14" s="3067" t="s">
        <v>2951</v>
      </c>
      <c r="D14" s="1878"/>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629</v>
      </c>
      <c r="B1" s="736"/>
      <c r="C1" s="771"/>
      <c r="D1" s="2047"/>
      <c r="E1" s="2408" t="s">
        <v>2375</v>
      </c>
      <c r="F1" s="2409">
        <f ca="1">J54</f>
        <v>0</v>
      </c>
      <c r="G1" s="772">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1" t="s">
        <v>630</v>
      </c>
      <c r="B2" s="773">
        <f ca="1">IF(ISERROR(C45+J31),0,C45+J31)</f>
        <v>0</v>
      </c>
      <c r="C2" s="1349"/>
      <c r="D2" s="2052"/>
      <c r="E2" s="2053"/>
      <c r="F2" s="2053"/>
      <c r="G2" s="1588"/>
      <c r="H2" s="1361"/>
      <c r="I2" s="2054"/>
      <c r="J2" s="2054"/>
      <c r="K2" s="2055"/>
      <c r="L2" s="2054"/>
      <c r="M2" s="2054"/>
    </row>
    <row r="3" spans="1:25" ht="18" customHeight="1">
      <c r="A3" s="1642" t="s">
        <v>1688</v>
      </c>
      <c r="B3" s="1389">
        <f ca="1">ROUND(B2*10000/'数据-汇总表'!E3,0)</f>
        <v>0</v>
      </c>
      <c r="C3" s="1349"/>
      <c r="D3" s="2052"/>
      <c r="E3" s="2053"/>
      <c r="F3" s="2053"/>
      <c r="G3" s="1588"/>
      <c r="H3" s="774" t="s">
        <v>696</v>
      </c>
      <c r="I3" s="2054"/>
      <c r="J3" s="2054"/>
      <c r="K3" s="2055"/>
      <c r="L3" s="2054"/>
      <c r="M3" s="2054"/>
    </row>
    <row r="4" spans="1:25" ht="18" customHeight="1">
      <c r="A4" s="1643" t="s">
        <v>697</v>
      </c>
      <c r="B4" s="1350">
        <f ca="1">ROUND(B2*10000/'数据-汇总表'!D3,0)</f>
        <v>0</v>
      </c>
      <c r="C4" s="428"/>
      <c r="D4" s="2052"/>
      <c r="E4" s="2053"/>
      <c r="F4" s="2053"/>
      <c r="G4" s="1588"/>
      <c r="H4" s="774"/>
      <c r="I4" s="2054"/>
      <c r="J4" s="2054"/>
      <c r="K4" s="2055"/>
      <c r="L4" s="2054"/>
      <c r="M4" s="2054"/>
    </row>
    <row r="5" spans="1:25" ht="18" customHeight="1" thickBot="1">
      <c r="A5" s="1644"/>
      <c r="B5" s="430">
        <f ca="1">ROUND(B2/('数据-汇总表'!D3/666.67),0)</f>
        <v>0</v>
      </c>
      <c r="C5" s="431" t="s">
        <v>698</v>
      </c>
      <c r="D5" s="2052"/>
      <c r="E5" s="2053"/>
      <c r="F5" s="2053"/>
      <c r="G5" s="1588"/>
      <c r="H5" s="774"/>
      <c r="I5" s="2054"/>
      <c r="J5" s="2054"/>
      <c r="K5" s="2055"/>
      <c r="L5" s="2054"/>
      <c r="M5" s="2054"/>
    </row>
    <row r="6" spans="1:25" ht="18" customHeight="1">
      <c r="A6" s="1825" t="s">
        <v>699</v>
      </c>
      <c r="B6" s="1817" t="s">
        <v>700</v>
      </c>
      <c r="C6" s="1817" t="s">
        <v>633</v>
      </c>
      <c r="D6" s="1817" t="s">
        <v>634</v>
      </c>
      <c r="E6" s="777" t="s">
        <v>635</v>
      </c>
      <c r="F6" s="778"/>
      <c r="G6" s="1590"/>
      <c r="H6" s="1825" t="s">
        <v>631</v>
      </c>
      <c r="I6" s="1817" t="s">
        <v>632</v>
      </c>
      <c r="J6" s="1817" t="s">
        <v>633</v>
      </c>
      <c r="K6" s="1817" t="s">
        <v>634</v>
      </c>
      <c r="L6" s="777" t="s">
        <v>635</v>
      </c>
      <c r="M6" s="778"/>
    </row>
    <row r="7" spans="1:25" ht="18" customHeight="1">
      <c r="A7" s="779">
        <v>1</v>
      </c>
      <c r="B7" s="780" t="s">
        <v>2460</v>
      </c>
      <c r="C7" s="53">
        <f ca="1">C8+C12+C14</f>
        <v>0</v>
      </c>
      <c r="D7" s="2517" t="s">
        <v>2463</v>
      </c>
      <c r="E7" s="2511"/>
      <c r="F7" s="2512"/>
      <c r="G7" s="1590"/>
      <c r="H7" s="779">
        <v>1</v>
      </c>
      <c r="I7" s="780" t="s">
        <v>2460</v>
      </c>
      <c r="J7" s="53">
        <f ca="1">J8+J12+J14</f>
        <v>0</v>
      </c>
      <c r="K7" s="2517" t="s">
        <v>2463</v>
      </c>
      <c r="L7" s="2511"/>
      <c r="M7" s="2512"/>
    </row>
    <row r="8" spans="1:25" ht="18" customHeight="1">
      <c r="A8" s="1827" t="s">
        <v>1826</v>
      </c>
      <c r="B8" s="3347" t="s">
        <v>2465</v>
      </c>
      <c r="C8" s="1822">
        <f ca="1">ROUND(F8*F10*F9*(1-F11)/10000,0)</f>
        <v>0</v>
      </c>
      <c r="D8" s="1819" t="s">
        <v>2537</v>
      </c>
      <c r="E8" s="61" t="s">
        <v>638</v>
      </c>
      <c r="F8" s="783">
        <f ca="1">INDIRECT("'数据-取费表'!u"&amp;$G$1)</f>
        <v>0</v>
      </c>
      <c r="G8" s="1590"/>
      <c r="H8" s="2524" t="s">
        <v>1826</v>
      </c>
      <c r="I8" s="3347" t="s">
        <v>2465</v>
      </c>
      <c r="J8" s="781">
        <f ca="1">ROUND(M8*M10*M9*(1-M11)/10000,0)</f>
        <v>0</v>
      </c>
      <c r="K8" s="341" t="s">
        <v>2537</v>
      </c>
      <c r="L8" s="782" t="s">
        <v>1740</v>
      </c>
      <c r="M8" s="783">
        <f ca="1">INDIRECT("'数据-取费表'!z"&amp;$G$1)</f>
        <v>0</v>
      </c>
    </row>
    <row r="9" spans="1:25" ht="18" customHeight="1">
      <c r="A9" s="2520"/>
      <c r="B9" s="3348"/>
      <c r="C9" s="1823"/>
      <c r="D9" s="1820"/>
      <c r="E9" s="61" t="s">
        <v>639</v>
      </c>
      <c r="F9" s="783">
        <f ca="1">IF(INDIRECT("'数据-取费表'!ah"&amp;$G$1)="",INDIRECT("'数据-取费表'!k"&amp;$G$1),INDIRECT("'数据-取费表'!ah"&amp;$G$1))</f>
        <v>0</v>
      </c>
      <c r="G9" s="1590"/>
      <c r="H9" s="2510"/>
      <c r="I9" s="3348"/>
      <c r="J9" s="786"/>
      <c r="K9" s="787"/>
      <c r="L9" s="782" t="s">
        <v>1741</v>
      </c>
      <c r="M9" s="783">
        <f ca="1">F9</f>
        <v>0</v>
      </c>
    </row>
    <row r="10" spans="1:25" ht="18" customHeight="1">
      <c r="A10" s="2514"/>
      <c r="B10" s="3349"/>
      <c r="C10" s="1823"/>
      <c r="D10" s="1820"/>
      <c r="E10" s="61" t="s">
        <v>640</v>
      </c>
      <c r="F10" s="783">
        <f ca="1">INDIRECT("'数据-取费表'!ai"&amp;$G$1)</f>
        <v>0</v>
      </c>
      <c r="G10" s="1590"/>
      <c r="H10" s="2510"/>
      <c r="I10" s="3349"/>
      <c r="J10" s="786"/>
      <c r="K10" s="787"/>
      <c r="L10" s="782" t="s">
        <v>1742</v>
      </c>
      <c r="M10" s="783">
        <f ca="1">INDIRECT("'数据-取费表'!ai"&amp;$G$1)</f>
        <v>0</v>
      </c>
    </row>
    <row r="11" spans="1:25" ht="18" customHeight="1">
      <c r="A11" s="784"/>
      <c r="B11" s="3350"/>
      <c r="C11" s="1823"/>
      <c r="D11" s="1820"/>
      <c r="E11" s="61" t="s">
        <v>641</v>
      </c>
      <c r="F11" s="792">
        <f ca="1">INDIRECT("'数据-取费表'!w"&amp;$G$1)</f>
        <v>0</v>
      </c>
      <c r="G11" s="1590"/>
      <c r="H11" s="2525"/>
      <c r="I11" s="3349"/>
      <c r="J11" s="786"/>
      <c r="K11" s="787"/>
      <c r="L11" s="793" t="s">
        <v>1743</v>
      </c>
      <c r="M11" s="794">
        <f ca="1">INDIRECT("'数据-取费表'!ab"&amp;$G$1)</f>
        <v>0</v>
      </c>
    </row>
    <row r="12" spans="1:25" ht="18" customHeight="1">
      <c r="A12" s="1827" t="s">
        <v>1827</v>
      </c>
      <c r="B12" s="2515" t="s">
        <v>2461</v>
      </c>
      <c r="C12" s="797">
        <f ca="1">ROUND(IF(F12="押一",F8*F10*F9/12*F13,IF(F12="押二",F8*F10*F9/12*2*F13,IF(F12="押三",F8*F10*F9/12*3*F13,C13*F13)))/10000,0)</f>
        <v>0</v>
      </c>
      <c r="D12" s="2521" t="s">
        <v>2468</v>
      </c>
      <c r="E12" s="2518" t="s">
        <v>2466</v>
      </c>
      <c r="F12" s="2639"/>
      <c r="G12" s="1590"/>
      <c r="H12" s="2579" t="s">
        <v>1827</v>
      </c>
      <c r="I12" s="2584" t="s">
        <v>2461</v>
      </c>
      <c r="J12" s="781">
        <f ca="1">ROUND(IF(M12="押一",M8*M10*M9/12*M13,IF(M12="押二",M8*M10*M9/12*2*M13,IF(M12="押三",M8*M10*M9/12*3*M13,J13*M13)))/10000,0)</f>
        <v>0</v>
      </c>
      <c r="K12" s="2521" t="s">
        <v>2468</v>
      </c>
      <c r="L12" s="2518" t="s">
        <v>2466</v>
      </c>
      <c r="M12" s="2639"/>
    </row>
    <row r="13" spans="1:25" ht="18" customHeight="1">
      <c r="A13" s="788"/>
      <c r="B13" s="2516" t="s">
        <v>2576</v>
      </c>
      <c r="C13" s="2519"/>
      <c r="D13" s="787"/>
      <c r="E13" s="2518" t="s">
        <v>2458</v>
      </c>
      <c r="F13" s="794">
        <f ca="1">'数据-取费表'!B39</f>
        <v>1.4999999999999999E-2</v>
      </c>
      <c r="G13" s="1590"/>
      <c r="H13" s="2580"/>
      <c r="I13" s="2516" t="s">
        <v>2576</v>
      </c>
      <c r="J13" s="2519"/>
      <c r="K13" s="2581"/>
      <c r="L13" s="2518" t="s">
        <v>2458</v>
      </c>
      <c r="M13" s="2513">
        <f ca="1">'数据-取费表'!B39</f>
        <v>1.4999999999999999E-2</v>
      </c>
    </row>
    <row r="14" spans="1:25" ht="18" customHeight="1" thickBot="1">
      <c r="A14" s="2556" t="s">
        <v>2470</v>
      </c>
      <c r="B14" s="2557" t="s">
        <v>2462</v>
      </c>
      <c r="C14" s="2558"/>
      <c r="D14" s="2559"/>
      <c r="E14" s="2560"/>
      <c r="F14" s="2561"/>
      <c r="G14" s="1590"/>
      <c r="H14" s="2569" t="s">
        <v>2470</v>
      </c>
      <c r="I14" s="2582" t="s">
        <v>2462</v>
      </c>
      <c r="J14" s="2583"/>
      <c r="K14" s="2559"/>
      <c r="L14" s="2560"/>
      <c r="M14" s="2572"/>
    </row>
    <row r="15" spans="1:25" ht="18" customHeight="1" thickTop="1">
      <c r="A15" s="1826" t="s">
        <v>1876</v>
      </c>
      <c r="B15" s="1824" t="s">
        <v>642</v>
      </c>
      <c r="C15" s="790">
        <f ca="1">ROUND(C31*F15,0)</f>
        <v>0</v>
      </c>
      <c r="D15" s="1831" t="s">
        <v>643</v>
      </c>
      <c r="E15" s="793" t="s">
        <v>644</v>
      </c>
      <c r="F15" s="798">
        <f ca="1">INDIRECT("'数据-取费表'!y"&amp;$G$1)</f>
        <v>0</v>
      </c>
      <c r="G15" s="1590"/>
      <c r="H15" s="1826" t="s">
        <v>1828</v>
      </c>
      <c r="I15" s="1824" t="s">
        <v>645</v>
      </c>
      <c r="J15" s="1816">
        <f ca="1">ROUND(J16*J17,0)</f>
        <v>0</v>
      </c>
      <c r="K15" s="1818" t="s">
        <v>643</v>
      </c>
      <c r="L15" s="799"/>
      <c r="M15" s="800"/>
    </row>
    <row r="16" spans="1:25" ht="18" customHeight="1">
      <c r="A16" s="801" t="s">
        <v>1877</v>
      </c>
      <c r="B16" s="782" t="s">
        <v>646</v>
      </c>
      <c r="C16" s="802">
        <f ca="1">INDIRECT("'数据-取费表'!m"&amp;$G$1)+INDIRECT("'数据-取费表'!t"&amp;$G$1)</f>
        <v>0</v>
      </c>
      <c r="D16" s="1976" t="s">
        <v>647</v>
      </c>
      <c r="E16" s="1977"/>
      <c r="F16" s="803"/>
      <c r="G16" s="1590"/>
      <c r="H16" s="801" t="s">
        <v>2070</v>
      </c>
      <c r="I16" s="2228" t="s">
        <v>2830</v>
      </c>
      <c r="J16" s="53">
        <f ca="1">C31</f>
        <v>0</v>
      </c>
      <c r="K16" s="26"/>
      <c r="L16" s="799"/>
      <c r="M16" s="800"/>
    </row>
    <row r="17" spans="1:25" s="2061" customFormat="1" ht="18" customHeight="1">
      <c r="A17" s="801" t="s">
        <v>1851</v>
      </c>
      <c r="B17" s="782" t="s">
        <v>648</v>
      </c>
      <c r="C17" s="53">
        <f ca="1">ROUND(C16*F17,0)</f>
        <v>0</v>
      </c>
      <c r="D17" s="804" t="s">
        <v>649</v>
      </c>
      <c r="E17" s="804" t="s">
        <v>650</v>
      </c>
      <c r="F17" s="805">
        <f>'数据-取费表'!B33</f>
        <v>0.03</v>
      </c>
      <c r="G17" s="1591"/>
      <c r="H17" s="801" t="s">
        <v>2071</v>
      </c>
      <c r="I17" s="782" t="s">
        <v>644</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0"/>
      <c r="H18" s="795" t="s">
        <v>1829</v>
      </c>
      <c r="I18" s="796" t="s">
        <v>652</v>
      </c>
      <c r="J18" s="797">
        <f ca="1">ROUND(J19+J24+J25+J26,0)</f>
        <v>0</v>
      </c>
      <c r="K18" s="26" t="s">
        <v>653</v>
      </c>
      <c r="L18" s="1979"/>
      <c r="M18" s="56"/>
    </row>
    <row r="19" spans="1:25" s="2061" customFormat="1" ht="18" customHeight="1">
      <c r="A19" s="801" t="s">
        <v>1853</v>
      </c>
      <c r="B19" s="782" t="s">
        <v>654</v>
      </c>
      <c r="C19" s="53">
        <f ca="1">ROUND(F19*(INDIRECT("'数据-取费表'!k"&amp;$G$1)+INDIRECT("'数据-取费表'!S"&amp;$G$1))/10000,0)</f>
        <v>0</v>
      </c>
      <c r="D19" s="782" t="s">
        <v>655</v>
      </c>
      <c r="E19" s="782" t="s">
        <v>656</v>
      </c>
      <c r="F19" s="56">
        <f>'数据-取费表'!B35</f>
        <v>200</v>
      </c>
      <c r="G19" s="1591"/>
      <c r="H19" s="801" t="s">
        <v>2070</v>
      </c>
      <c r="I19" s="782" t="s">
        <v>657</v>
      </c>
      <c r="J19" s="53">
        <f ca="1">ROUND(IF(项目基本情况!B11="自然人",J7*M19,J20+J21+J22),0)</f>
        <v>0</v>
      </c>
      <c r="K19" s="1976" t="s">
        <v>658</v>
      </c>
      <c r="L19" s="1974" t="s">
        <v>659</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1854</v>
      </c>
      <c r="B20" s="782" t="s">
        <v>660</v>
      </c>
      <c r="C20" s="53">
        <f ca="1">ROUND(C16*F20,0)</f>
        <v>0</v>
      </c>
      <c r="D20" s="782" t="s">
        <v>649</v>
      </c>
      <c r="E20" s="782" t="s">
        <v>650</v>
      </c>
      <c r="F20" s="807">
        <f>'数据-取费表'!B36</f>
        <v>1.4999999999999999E-2</v>
      </c>
      <c r="G20" s="1591"/>
      <c r="H20" s="801" t="s">
        <v>1833</v>
      </c>
      <c r="I20" s="782" t="s">
        <v>661</v>
      </c>
      <c r="J20" s="53">
        <f ca="1">ROUND(J7*M20/1.05,1)</f>
        <v>0</v>
      </c>
      <c r="K20" s="1974" t="s">
        <v>662</v>
      </c>
      <c r="L20" s="782" t="s">
        <v>650</v>
      </c>
      <c r="M20" s="807">
        <f>'数据-取费表'!B41</f>
        <v>6.2719999999999998E-2</v>
      </c>
      <c r="N20" s="2060"/>
      <c r="O20" s="2060"/>
      <c r="P20" s="2060"/>
      <c r="Q20" s="2060"/>
      <c r="R20" s="2060"/>
      <c r="S20" s="2060"/>
      <c r="T20" s="2060"/>
      <c r="U20" s="2060"/>
      <c r="V20" s="2060"/>
      <c r="W20" s="2060"/>
      <c r="X20" s="2060"/>
      <c r="Y20" s="2060"/>
    </row>
    <row r="21" spans="1:25" ht="18" customHeight="1">
      <c r="A21" s="801" t="s">
        <v>1878</v>
      </c>
      <c r="B21" s="782" t="s">
        <v>663</v>
      </c>
      <c r="C21" s="53">
        <f ca="1">SUM(C16:C20)</f>
        <v>0</v>
      </c>
      <c r="D21" s="261" t="s">
        <v>664</v>
      </c>
      <c r="E21" s="1979"/>
      <c r="F21" s="56"/>
      <c r="G21" s="1590"/>
      <c r="H21" s="1827" t="s">
        <v>1851</v>
      </c>
      <c r="I21" s="782" t="s">
        <v>665</v>
      </c>
      <c r="J21" s="53">
        <f ca="1">IF(K21="按租金收入计税",ROUND(J7*M21,1),ROUND(C31*F35*0.7,1))</f>
        <v>0</v>
      </c>
      <c r="K21" s="809" t="s">
        <v>666</v>
      </c>
      <c r="L21" s="782" t="s">
        <v>650</v>
      </c>
      <c r="M21" s="807">
        <f>IF(K21="按租金收入计税",'数据-取费表'!B51,'数据-取费表'!B50)</f>
        <v>1.2E-2</v>
      </c>
    </row>
    <row r="22" spans="1:25" s="2061" customFormat="1" ht="18" customHeight="1">
      <c r="A22" s="801" t="s">
        <v>1879</v>
      </c>
      <c r="B22" s="782" t="s">
        <v>667</v>
      </c>
      <c r="C22" s="53">
        <f ca="1">ROUND(C21*F22,0)</f>
        <v>0</v>
      </c>
      <c r="D22" s="810" t="s">
        <v>668</v>
      </c>
      <c r="E22" s="782" t="s">
        <v>650</v>
      </c>
      <c r="F22" s="807">
        <f>'数据-取费表'!B37</f>
        <v>0.01</v>
      </c>
      <c r="G22" s="1591"/>
      <c r="H22" s="1829" t="s">
        <v>1852</v>
      </c>
      <c r="I22" s="1819" t="s">
        <v>669</v>
      </c>
      <c r="J22" s="54">
        <f ca="1">ROUND(M22*M23/10000,0)</f>
        <v>0</v>
      </c>
      <c r="K22" s="812" t="s">
        <v>670</v>
      </c>
      <c r="L22" s="782" t="s">
        <v>671</v>
      </c>
      <c r="M22" s="638">
        <f>'数据-取费表'!B52</f>
        <v>6</v>
      </c>
      <c r="N22" s="2060"/>
      <c r="O22" s="2060"/>
      <c r="P22" s="2060"/>
      <c r="Q22" s="2060"/>
      <c r="R22" s="2060"/>
      <c r="S22" s="2060"/>
      <c r="T22" s="2060"/>
      <c r="U22" s="2060"/>
      <c r="V22" s="2060"/>
      <c r="W22" s="2060"/>
      <c r="X22" s="2060"/>
      <c r="Y22" s="2060"/>
    </row>
    <row r="23" spans="1:25" s="2061" customFormat="1" ht="18" customHeight="1">
      <c r="A23" s="801" t="s">
        <v>1880</v>
      </c>
      <c r="B23" s="782" t="s">
        <v>672</v>
      </c>
      <c r="C23" s="53" t="s">
        <v>1</v>
      </c>
      <c r="D23" s="810" t="s">
        <v>673</v>
      </c>
      <c r="E23" s="782" t="s">
        <v>674</v>
      </c>
      <c r="F23" s="807">
        <f>'数据-取费表'!B38</f>
        <v>0.02</v>
      </c>
      <c r="G23" s="1591"/>
      <c r="H23" s="1830"/>
      <c r="I23" s="1821"/>
      <c r="J23" s="69"/>
      <c r="K23" s="814"/>
      <c r="L23" s="782" t="s">
        <v>675</v>
      </c>
      <c r="M23" s="783">
        <f ca="1">INDIRECT("'数据-取费表'!r"&amp;$G$1)</f>
        <v>0</v>
      </c>
      <c r="N23" s="2060"/>
      <c r="O23" s="2060"/>
      <c r="P23" s="2060"/>
      <c r="Q23" s="2060"/>
      <c r="R23" s="2060"/>
      <c r="S23" s="2060"/>
      <c r="T23" s="2060"/>
      <c r="U23" s="2060"/>
      <c r="V23" s="2060"/>
      <c r="W23" s="2060"/>
      <c r="X23" s="2060"/>
      <c r="Y23" s="2060"/>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9"/>
      <c r="F24" s="56"/>
      <c r="G24" s="1590"/>
      <c r="H24" s="1828" t="s">
        <v>2071</v>
      </c>
      <c r="I24" s="782" t="s">
        <v>677</v>
      </c>
      <c r="J24" s="53">
        <f ca="1">ROUND(J16*M24,0)</f>
        <v>0</v>
      </c>
      <c r="K24" s="1974" t="s">
        <v>678</v>
      </c>
      <c r="L24" s="782" t="s">
        <v>650</v>
      </c>
      <c r="M24" s="815">
        <f ca="1">INDIRECT("'数据-取费表'!Ak"&amp;$G$1)</f>
        <v>0</v>
      </c>
    </row>
    <row r="25" spans="1:25" s="2061" customFormat="1" ht="18" customHeight="1">
      <c r="A25" s="801" t="s">
        <v>1877</v>
      </c>
      <c r="B25" s="782" t="s">
        <v>2438</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3</v>
      </c>
      <c r="G25" s="1591"/>
      <c r="H25" s="801" t="s">
        <v>1880</v>
      </c>
      <c r="I25" s="782" t="s">
        <v>680</v>
      </c>
      <c r="J25" s="53">
        <f ca="1">ROUND(J15*M25,0)</f>
        <v>0</v>
      </c>
      <c r="K25" s="1974" t="s">
        <v>681</v>
      </c>
      <c r="L25" s="782" t="s">
        <v>650</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1851</v>
      </c>
      <c r="B26" s="782" t="s">
        <v>682</v>
      </c>
      <c r="C26" s="53">
        <f ca="1">ROUND(IF('数据-取费表'!B22&lt;=1,F23*F26*F25/2,F23*(POWER((1+F26),F25/2)-1)),4)</f>
        <v>1.4E-3</v>
      </c>
      <c r="D26" s="2589" t="str">
        <f>IF(F25&lt;=1,"销售费用×利率×(建设周期÷2)","销售费用×((1+利率)^(建设周期÷2)-1)")</f>
        <v>销售费用×((1+利率)^(建设周期÷2)-1)</v>
      </c>
      <c r="E26" s="782" t="s">
        <v>683</v>
      </c>
      <c r="F26" s="817">
        <f ca="1">'数据-取费表'!B40</f>
        <v>4.7500000000000001E-2</v>
      </c>
      <c r="G26" s="1591"/>
      <c r="H26" s="801" t="s">
        <v>1881</v>
      </c>
      <c r="I26" s="782" t="s">
        <v>667</v>
      </c>
      <c r="J26" s="53">
        <f ca="1">ROUND(J7*M26,0)</f>
        <v>0</v>
      </c>
      <c r="K26" s="1974" t="s">
        <v>684</v>
      </c>
      <c r="L26" s="782" t="s">
        <v>650</v>
      </c>
      <c r="M26" s="792">
        <f ca="1">INDIRECT("'数据-取费表'!Am"&amp;$G$1)</f>
        <v>0</v>
      </c>
      <c r="N26" s="2060"/>
      <c r="O26" s="2060"/>
      <c r="P26" s="2060"/>
      <c r="Q26" s="2060"/>
      <c r="R26" s="2060"/>
      <c r="S26" s="2060"/>
      <c r="T26" s="2060"/>
      <c r="U26" s="2060"/>
      <c r="V26" s="2060"/>
      <c r="W26" s="2060"/>
      <c r="X26" s="2060"/>
      <c r="Y26" s="2060"/>
    </row>
    <row r="27" spans="1:25" ht="18" customHeight="1">
      <c r="A27" s="801" t="s">
        <v>1883</v>
      </c>
      <c r="B27" s="782" t="s">
        <v>685</v>
      </c>
      <c r="C27" s="53"/>
      <c r="D27" s="261" t="s">
        <v>686</v>
      </c>
      <c r="E27" s="1979"/>
      <c r="F27" s="56"/>
      <c r="G27" s="1590"/>
      <c r="H27" s="795" t="s">
        <v>1830</v>
      </c>
      <c r="I27" s="2974" t="s">
        <v>2827</v>
      </c>
      <c r="J27" s="797">
        <f ca="1">J7-J18</f>
        <v>0</v>
      </c>
      <c r="K27" s="1976" t="s">
        <v>701</v>
      </c>
      <c r="L27" s="1978"/>
      <c r="M27" s="818"/>
    </row>
    <row r="28" spans="1:25" ht="18" customHeight="1">
      <c r="A28" s="801" t="s">
        <v>1877</v>
      </c>
      <c r="B28" s="782" t="s">
        <v>2439</v>
      </c>
      <c r="C28" s="53">
        <f ca="1">ROUND((C21+C22)*F28,0)</f>
        <v>0</v>
      </c>
      <c r="D28" s="810" t="s">
        <v>702</v>
      </c>
      <c r="E28" s="793" t="s">
        <v>703</v>
      </c>
      <c r="F28" s="792">
        <f ca="1">INDIRECT("'数据-取费表'!q"&amp;$G$1)</f>
        <v>0</v>
      </c>
      <c r="G28" s="1590"/>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0"/>
      <c r="H29" s="784"/>
      <c r="I29" s="785"/>
      <c r="J29" s="786"/>
      <c r="K29" s="819" t="s">
        <v>708</v>
      </c>
      <c r="L29" s="782" t="s">
        <v>709</v>
      </c>
      <c r="M29" s="820">
        <f ca="1">INDIRECT("'数据-取费表'!ag"&amp;$G$1)</f>
        <v>0</v>
      </c>
    </row>
    <row r="30" spans="1:25" s="2061" customFormat="1" ht="18" customHeight="1">
      <c r="A30" s="801" t="s">
        <v>1884</v>
      </c>
      <c r="B30" s="782" t="s">
        <v>688</v>
      </c>
      <c r="C30" s="53">
        <f>ROUND(F30/(1+'数据-取费表'!C42),4)</f>
        <v>5.9400000000000001E-2</v>
      </c>
      <c r="D30" s="810" t="s">
        <v>710</v>
      </c>
      <c r="E30" s="782" t="s">
        <v>650</v>
      </c>
      <c r="F30" s="807">
        <f>'数据-取费表'!B41</f>
        <v>6.2719999999999998E-2</v>
      </c>
      <c r="G30" s="1591"/>
      <c r="H30" s="788"/>
      <c r="I30" s="789"/>
      <c r="J30" s="790"/>
      <c r="K30" s="814"/>
      <c r="L30" s="782" t="s">
        <v>711</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78" t="s">
        <v>1885</v>
      </c>
      <c r="B31" s="2560" t="s">
        <v>2828</v>
      </c>
      <c r="C31" s="2562">
        <f ca="1">ROUND((C21+C22+C25+C28)/(1-F23-C26-C29-C30),0)</f>
        <v>0</v>
      </c>
      <c r="D31" s="2563"/>
      <c r="E31" s="2564"/>
      <c r="F31" s="2565"/>
      <c r="G31" s="1591"/>
      <c r="H31" s="821" t="s">
        <v>1874</v>
      </c>
      <c r="I31" s="2975" t="s">
        <v>2829</v>
      </c>
      <c r="J31" s="823">
        <f ca="1">ROUND(J28/(1+F45)^F46,0)</f>
        <v>0</v>
      </c>
      <c r="K31" s="824" t="s">
        <v>689</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0">
        <f ca="1">ROUND(C33+C38+C39+C40,0)</f>
        <v>0</v>
      </c>
      <c r="D32" s="1818" t="s">
        <v>653</v>
      </c>
      <c r="E32" s="2508"/>
      <c r="F32" s="2512"/>
      <c r="G32" s="2059"/>
      <c r="H32" s="2062"/>
      <c r="I32" s="2063"/>
      <c r="J32" s="2064"/>
      <c r="K32" s="2065"/>
      <c r="L32" s="2066"/>
      <c r="M32" s="2067"/>
    </row>
    <row r="33" spans="1:18" ht="18" customHeight="1">
      <c r="A33" s="801" t="s">
        <v>1878</v>
      </c>
      <c r="B33" s="782" t="s">
        <v>657</v>
      </c>
      <c r="C33" s="53">
        <f ca="1">ROUND(IF(项目基本情况!B11="自然人",C7*F33,C34+C35+C36),1)</f>
        <v>0</v>
      </c>
      <c r="D33" s="1976" t="s">
        <v>658</v>
      </c>
      <c r="E33" s="1974" t="s">
        <v>691</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1877</v>
      </c>
      <c r="B34" s="782" t="s">
        <v>661</v>
      </c>
      <c r="C34" s="53">
        <f ca="1">ROUND(C7*F34/1.05,1)</f>
        <v>0</v>
      </c>
      <c r="D34" s="1974" t="s">
        <v>662</v>
      </c>
      <c r="E34" s="782" t="s">
        <v>650</v>
      </c>
      <c r="F34" s="807">
        <f>'数据-取费表'!B41</f>
        <v>6.2719999999999998E-2</v>
      </c>
      <c r="G34" s="2059"/>
      <c r="H34" s="2068"/>
      <c r="I34" s="2069"/>
      <c r="J34" s="2070"/>
      <c r="K34" s="2071"/>
      <c r="L34" s="2072"/>
      <c r="M34" s="2073"/>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9"/>
      <c r="H35" s="2074"/>
      <c r="I35" s="2074"/>
      <c r="J35" s="2074"/>
      <c r="K35" s="2075"/>
      <c r="L35" s="2074"/>
      <c r="M35" s="2074"/>
    </row>
    <row r="36" spans="1:18" ht="18" customHeight="1">
      <c r="A36" s="811" t="s">
        <v>1882</v>
      </c>
      <c r="B36" s="341" t="s">
        <v>669</v>
      </c>
      <c r="C36" s="54">
        <f ca="1">ROUND(F36*F37/10000,1)</f>
        <v>0</v>
      </c>
      <c r="D36" s="812" t="s">
        <v>670</v>
      </c>
      <c r="E36" s="782" t="s">
        <v>671</v>
      </c>
      <c r="F36" s="638">
        <f>'数据-取费表'!B52</f>
        <v>6</v>
      </c>
      <c r="G36" s="2059"/>
      <c r="H36" s="2062"/>
      <c r="I36" s="3346"/>
      <c r="J36" s="2076"/>
      <c r="K36" s="2077"/>
      <c r="L36" s="2076"/>
      <c r="M36" s="2076"/>
    </row>
    <row r="37" spans="1:18" ht="18" customHeight="1">
      <c r="A37" s="813"/>
      <c r="B37" s="791"/>
      <c r="C37" s="69"/>
      <c r="D37" s="814"/>
      <c r="E37" s="782" t="s">
        <v>675</v>
      </c>
      <c r="F37" s="783">
        <f ca="1">INDIRECT("'数据-取费表'!r"&amp;$G$1)</f>
        <v>0</v>
      </c>
      <c r="G37" s="2059"/>
      <c r="H37" s="2062"/>
      <c r="I37" s="3346"/>
      <c r="J37" s="2074"/>
      <c r="K37" s="2075"/>
      <c r="L37" s="2074"/>
      <c r="M37" s="2074"/>
    </row>
    <row r="38" spans="1:18" ht="18" customHeight="1">
      <c r="A38" s="801" t="s">
        <v>1879</v>
      </c>
      <c r="B38" s="782" t="s">
        <v>677</v>
      </c>
      <c r="C38" s="53">
        <f ca="1">ROUND(C31*F38,1)</f>
        <v>0</v>
      </c>
      <c r="D38" s="1974" t="s">
        <v>692</v>
      </c>
      <c r="E38" s="782" t="s">
        <v>650</v>
      </c>
      <c r="F38" s="815">
        <f ca="1">INDIRECT("'数据-取费表'!Ak"&amp;$G$1)</f>
        <v>0</v>
      </c>
      <c r="G38" s="2059"/>
      <c r="H38" s="2074"/>
      <c r="I38" s="2078"/>
      <c r="J38" s="1985"/>
      <c r="K38" s="2079"/>
      <c r="L38" s="2074"/>
      <c r="M38" s="2074"/>
    </row>
    <row r="39" spans="1:18" ht="18" customHeight="1">
      <c r="A39" s="801" t="s">
        <v>1880</v>
      </c>
      <c r="B39" s="782" t="s">
        <v>680</v>
      </c>
      <c r="C39" s="53">
        <f ca="1">ROUND(C15*F39,1)</f>
        <v>0</v>
      </c>
      <c r="D39" s="1974" t="s">
        <v>681</v>
      </c>
      <c r="E39" s="782" t="s">
        <v>650</v>
      </c>
      <c r="F39" s="816">
        <f ca="1">INDIRECT("'数据-取费表'!Al"&amp;$G$1)</f>
        <v>0</v>
      </c>
      <c r="G39" s="2059"/>
      <c r="H39" s="2074"/>
      <c r="I39" s="2078"/>
      <c r="J39" s="1985"/>
      <c r="K39" s="2079"/>
      <c r="L39" s="2074"/>
      <c r="M39" s="2074"/>
    </row>
    <row r="40" spans="1:18" ht="18" customHeight="1" thickBot="1">
      <c r="A40" s="2578" t="s">
        <v>1881</v>
      </c>
      <c r="B40" s="2564" t="s">
        <v>667</v>
      </c>
      <c r="C40" s="2562">
        <f ca="1">ROUND(C7*F40,1)</f>
        <v>0</v>
      </c>
      <c r="D40" s="2563" t="s">
        <v>684</v>
      </c>
      <c r="E40" s="2564" t="s">
        <v>650</v>
      </c>
      <c r="F40" s="2561">
        <f ca="1">INDIRECT("'数据-取费表'!Am"&amp;$G$1)</f>
        <v>0</v>
      </c>
      <c r="G40" s="2059"/>
      <c r="H40" s="2074"/>
      <c r="I40" s="2078"/>
      <c r="J40" s="1985"/>
      <c r="K40" s="2080"/>
      <c r="L40" s="2074"/>
      <c r="M40" s="2074"/>
    </row>
    <row r="41" spans="1:18" ht="18" customHeight="1" thickTop="1">
      <c r="A41" s="1826">
        <v>4</v>
      </c>
      <c r="B41" s="1824" t="s">
        <v>693</v>
      </c>
      <c r="C41" s="1351"/>
      <c r="D41" s="1352"/>
      <c r="E41" s="1352"/>
      <c r="F41" s="1353"/>
      <c r="G41" s="2059"/>
      <c r="H41" s="2059"/>
      <c r="I41" s="2059"/>
      <c r="J41" s="2059"/>
      <c r="K41" s="2080"/>
      <c r="L41" s="2059"/>
      <c r="M41" s="2059"/>
    </row>
    <row r="42" spans="1:18" ht="18" customHeight="1">
      <c r="A42" s="801" t="s">
        <v>1878</v>
      </c>
      <c r="B42" s="833" t="s">
        <v>694</v>
      </c>
      <c r="C42" s="827">
        <f ca="1">C7-C32</f>
        <v>0</v>
      </c>
      <c r="D42" s="1976" t="s">
        <v>695</v>
      </c>
      <c r="E42" s="1978"/>
      <c r="F42" s="818"/>
      <c r="G42" s="2059"/>
      <c r="H42" s="2059"/>
      <c r="I42" s="2059"/>
      <c r="J42" s="2059"/>
      <c r="K42" s="2080"/>
      <c r="L42" s="2059"/>
      <c r="M42" s="2059"/>
    </row>
    <row r="43" spans="1:18" ht="18" customHeight="1">
      <c r="A43" s="801" t="s">
        <v>1879</v>
      </c>
      <c r="B43" s="833" t="s">
        <v>712</v>
      </c>
      <c r="C43" s="834">
        <f ca="1">ROUND(C15*F43,0)</f>
        <v>0</v>
      </c>
      <c r="D43" s="1354" t="s">
        <v>713</v>
      </c>
      <c r="E43" s="3085" t="s">
        <v>2969</v>
      </c>
      <c r="F43" s="3086">
        <f ca="1">INDIRECT("'数据-取费表'!j"&amp;$G$1)</f>
        <v>0</v>
      </c>
      <c r="G43" s="2059"/>
      <c r="H43" s="2059"/>
      <c r="I43" s="2059"/>
      <c r="J43" s="2059"/>
      <c r="K43" s="2080"/>
      <c r="L43" s="2059"/>
      <c r="M43" s="2059"/>
    </row>
    <row r="44" spans="1:18" ht="18" customHeight="1">
      <c r="A44" s="801" t="s">
        <v>1880</v>
      </c>
      <c r="B44" s="833" t="s">
        <v>714</v>
      </c>
      <c r="C44" s="1355">
        <f ca="1">C42-C43</f>
        <v>0</v>
      </c>
      <c r="D44" s="463" t="s">
        <v>715</v>
      </c>
      <c r="E44" s="464"/>
      <c r="F44" s="465"/>
      <c r="G44" s="2059"/>
      <c r="H44" s="2059"/>
      <c r="I44" s="2059"/>
      <c r="J44" s="2059"/>
      <c r="K44" s="2080"/>
      <c r="L44" s="2059"/>
      <c r="M44" s="2059"/>
    </row>
    <row r="45" spans="1:18" ht="18" customHeight="1">
      <c r="A45" s="801" t="s">
        <v>1881</v>
      </c>
      <c r="B45" s="1354" t="s">
        <v>716</v>
      </c>
      <c r="C45" s="2995">
        <f ca="1">ROUND(-PV(F45,F46,C44,0),0)</f>
        <v>0</v>
      </c>
      <c r="D45" s="1356" t="s">
        <v>717</v>
      </c>
      <c r="E45" s="804" t="s">
        <v>718</v>
      </c>
      <c r="F45" s="828">
        <f ca="1">INDIRECT("'数据-取费表'!h"&amp;$G$1)</f>
        <v>0</v>
      </c>
      <c r="G45" s="2059"/>
      <c r="H45" s="2059"/>
      <c r="I45" s="2059"/>
      <c r="J45" s="2059"/>
      <c r="K45" s="2080"/>
      <c r="L45" s="2059"/>
      <c r="M45" s="2059"/>
    </row>
    <row r="46" spans="1:18" ht="18" customHeight="1" thickBot="1">
      <c r="A46" s="829"/>
      <c r="B46" s="1357"/>
      <c r="C46" s="1358"/>
      <c r="D46" s="1359"/>
      <c r="E46" s="3087" t="s">
        <v>2972</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0</v>
      </c>
      <c r="M48" s="3082"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351"/>
      <c r="L54" s="3352"/>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059" t="s">
        <v>2356</v>
      </c>
      <c r="J56" s="3083"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082" t="s">
        <v>1680</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084"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061" t="s">
        <v>2948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062">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063">
        <v>0</v>
      </c>
      <c r="O65" s="2425" t="s">
        <v>2416</v>
      </c>
      <c r="P65" s="1590"/>
      <c r="Q65" s="1602"/>
      <c r="R65" s="1590"/>
    </row>
    <row r="66" spans="1:18" s="2056" customFormat="1" ht="15.75" thickBot="1">
      <c r="A66" s="2093"/>
      <c r="B66" s="2094"/>
      <c r="C66" s="2094"/>
      <c r="I66" s="2406" t="s">
        <v>2373</v>
      </c>
      <c r="J66" s="2407">
        <v>40</v>
      </c>
      <c r="K66" s="2407">
        <v>30</v>
      </c>
      <c r="L66" s="2407">
        <v>50</v>
      </c>
      <c r="M66" s="3062">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355" t="s">
        <v>2579</v>
      </c>
      <c r="C1" s="3355"/>
      <c r="D1" s="3355"/>
      <c r="E1" s="3355"/>
      <c r="F1" s="3355"/>
      <c r="G1" s="3354" t="s">
        <v>2580</v>
      </c>
      <c r="H1" s="3354"/>
      <c r="I1" s="3354"/>
      <c r="J1" s="3354"/>
      <c r="K1" s="3354"/>
      <c r="L1" s="3354"/>
      <c r="N1" s="3354" t="s">
        <v>2581</v>
      </c>
      <c r="O1" s="3354"/>
      <c r="P1" s="3354"/>
      <c r="Q1" s="3354"/>
      <c r="R1" s="2673"/>
      <c r="S1" s="3354" t="s">
        <v>2582</v>
      </c>
      <c r="T1" s="3354"/>
      <c r="U1" s="3354"/>
      <c r="V1" s="3354"/>
      <c r="X1" s="3353" t="s">
        <v>2643</v>
      </c>
      <c r="Y1" s="3354"/>
      <c r="Z1" s="3354"/>
      <c r="AA1" s="3354"/>
      <c r="AB1" s="3354"/>
      <c r="AD1" s="3353" t="s">
        <v>2648</v>
      </c>
      <c r="AE1" s="3354"/>
      <c r="AF1" s="3354"/>
      <c r="AG1" s="3354"/>
      <c r="AH1" s="3354"/>
    </row>
    <row r="2" spans="1:34" s="2775" customFormat="1" ht="14.25" thickBot="1">
      <c r="B2" s="2784" t="s">
        <v>2583</v>
      </c>
      <c r="C2" s="2784" t="s">
        <v>2646</v>
      </c>
      <c r="D2" s="2776" t="s">
        <v>1646</v>
      </c>
      <c r="E2" s="2776" t="s">
        <v>1953</v>
      </c>
      <c r="F2" s="2784" t="s">
        <v>2647</v>
      </c>
      <c r="G2" s="2779"/>
      <c r="H2" s="2778"/>
      <c r="I2" s="2784" t="s">
        <v>2963</v>
      </c>
      <c r="J2" s="2776" t="s">
        <v>2965</v>
      </c>
      <c r="K2" s="2776" t="s">
        <v>2966</v>
      </c>
      <c r="L2" s="2784" t="s">
        <v>2967</v>
      </c>
      <c r="N2" s="2784" t="s">
        <v>2583</v>
      </c>
      <c r="O2" s="2776" t="s">
        <v>2964</v>
      </c>
      <c r="P2" s="2776" t="s">
        <v>1953</v>
      </c>
      <c r="Q2" s="2784" t="s">
        <v>2647</v>
      </c>
      <c r="R2" s="2777"/>
      <c r="S2" s="2784" t="s">
        <v>2583</v>
      </c>
      <c r="T2" s="2776" t="s">
        <v>2964</v>
      </c>
      <c r="U2" s="2776" t="s">
        <v>1953</v>
      </c>
      <c r="V2" s="2784" t="s">
        <v>2647</v>
      </c>
      <c r="X2" s="2784" t="s">
        <v>2583</v>
      </c>
      <c r="Y2" s="2784" t="s">
        <v>2646</v>
      </c>
      <c r="Z2" s="2776" t="s">
        <v>1646</v>
      </c>
      <c r="AA2" s="2776" t="s">
        <v>1953</v>
      </c>
      <c r="AB2" s="2784" t="s">
        <v>2647</v>
      </c>
      <c r="AD2" s="2784" t="s">
        <v>2583</v>
      </c>
      <c r="AE2" s="2784" t="s">
        <v>2646</v>
      </c>
      <c r="AF2" s="2776" t="s">
        <v>1646</v>
      </c>
      <c r="AG2" s="2776" t="s">
        <v>1953</v>
      </c>
      <c r="AH2" s="2784" t="s">
        <v>2647</v>
      </c>
    </row>
    <row r="3" spans="1:34" s="2768" customFormat="1" ht="14.25">
      <c r="B3" s="2769"/>
      <c r="C3" s="2769"/>
      <c r="D3" s="2770"/>
      <c r="E3" s="2770"/>
      <c r="F3" s="2769"/>
      <c r="G3" s="2774"/>
      <c r="H3" s="2771"/>
      <c r="I3" s="3093"/>
      <c r="J3" s="3093"/>
      <c r="K3" s="3093"/>
      <c r="L3" s="3093"/>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2975</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2"/>
      <c r="S4" s="2774"/>
      <c r="T4" s="2772"/>
      <c r="U4" s="2772"/>
      <c r="V4" s="2772"/>
      <c r="X4" s="2773"/>
      <c r="Y4" s="2773"/>
      <c r="Z4" s="2773"/>
      <c r="AA4" s="2773"/>
      <c r="AB4" s="2773"/>
      <c r="AD4" s="2693"/>
      <c r="AE4" s="2693"/>
      <c r="AF4" s="2693"/>
      <c r="AG4" s="2693"/>
      <c r="AH4" s="2693"/>
    </row>
    <row r="5" spans="1:34" s="3076" customFormat="1">
      <c r="A5" s="3074" t="s">
        <v>2974</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362">
        <v>2017</v>
      </c>
      <c r="H5" s="3075">
        <v>4</v>
      </c>
      <c r="I5" s="3094">
        <f>ROUND(AVERAGE(I6:I20),2)</f>
        <v>2.4900000000000002</v>
      </c>
      <c r="J5" s="3094">
        <f>ROUND(AVERAGE(J6:J20),2)</f>
        <v>1.64</v>
      </c>
      <c r="K5" s="3094">
        <f>ROUND(AVERAGE(K6:K20),2)</f>
        <v>2.78</v>
      </c>
      <c r="L5" s="3094">
        <f>ROUND(AVERAGE(L6:L20),2)</f>
        <v>1.39</v>
      </c>
      <c r="N5" s="2781">
        <f t="shared" si="7"/>
        <v>2.4900000000000002E-2</v>
      </c>
      <c r="O5" s="2781">
        <f t="shared" ref="O5" si="15">J5/100</f>
        <v>1.6399999999999998E-2</v>
      </c>
      <c r="P5" s="2781">
        <f t="shared" ref="P5" si="16">K5/100</f>
        <v>2.7799999999999998E-2</v>
      </c>
      <c r="Q5" s="2781">
        <f t="shared" ref="Q5" si="17">L5/100</f>
        <v>1.3899999999999999E-2</v>
      </c>
      <c r="R5" s="3077"/>
      <c r="S5" s="3078"/>
      <c r="T5" s="3077"/>
      <c r="U5" s="3077"/>
      <c r="V5" s="3077"/>
      <c r="W5" s="2782" t="s">
        <v>2644</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4" t="s">
        <v>2584</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357"/>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7"/>
      <c r="S6" s="2677"/>
      <c r="T6" s="3090"/>
      <c r="U6" s="3090"/>
      <c r="V6" s="3090"/>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2585</v>
      </c>
      <c r="B7" s="2688">
        <f t="shared" si="18"/>
        <v>419.31181600000002</v>
      </c>
      <c r="C7" s="2688">
        <f t="shared" si="18"/>
        <v>313.95436800000004</v>
      </c>
      <c r="D7" s="2688">
        <f t="shared" si="3"/>
        <v>313.95436800000004</v>
      </c>
      <c r="E7" s="2688">
        <f t="shared" si="19"/>
        <v>596.63028431999999</v>
      </c>
      <c r="F7" s="2688">
        <f t="shared" si="19"/>
        <v>274.74220703999998</v>
      </c>
      <c r="G7" s="3357"/>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2586</v>
      </c>
      <c r="B8" s="2688">
        <f t="shared" si="18"/>
        <v>405.524</v>
      </c>
      <c r="C8" s="2688">
        <f t="shared" si="18"/>
        <v>307.79840000000002</v>
      </c>
      <c r="D8" s="2688">
        <f t="shared" si="3"/>
        <v>307.79840000000002</v>
      </c>
      <c r="E8" s="2688">
        <f t="shared" si="19"/>
        <v>574.67759999999998</v>
      </c>
      <c r="F8" s="2688">
        <f t="shared" si="19"/>
        <v>270.20280000000002</v>
      </c>
      <c r="G8" s="3358"/>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972</v>
      </c>
      <c r="B9" s="2680">
        <v>392</v>
      </c>
      <c r="C9" s="2680">
        <v>302</v>
      </c>
      <c r="D9" s="2680">
        <f t="shared" si="3"/>
        <v>302</v>
      </c>
      <c r="E9" s="2680">
        <v>553</v>
      </c>
      <c r="F9" s="2681">
        <v>266</v>
      </c>
      <c r="G9" s="3362">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971</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357"/>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961</v>
      </c>
      <c r="B11" s="2688">
        <f t="shared" si="27"/>
        <v>360.06949782209392</v>
      </c>
      <c r="C11" s="2688">
        <f t="shared" si="27"/>
        <v>289.84672674747821</v>
      </c>
      <c r="D11" s="2688">
        <f t="shared" si="28"/>
        <v>289.84672674747821</v>
      </c>
      <c r="E11" s="2688">
        <f t="shared" si="29"/>
        <v>501.06543001181495</v>
      </c>
      <c r="F11" s="2688">
        <f t="shared" si="29"/>
        <v>256.82882500744967</v>
      </c>
      <c r="G11" s="3357"/>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970</v>
      </c>
      <c r="B12" s="2688">
        <f t="shared" si="27"/>
        <v>346.720748986128</v>
      </c>
      <c r="C12" s="2688">
        <f t="shared" si="27"/>
        <v>284.30282172386285</v>
      </c>
      <c r="D12" s="2688">
        <f t="shared" si="28"/>
        <v>284.30282172386285</v>
      </c>
      <c r="E12" s="2688">
        <f t="shared" si="29"/>
        <v>479.58023546306947</v>
      </c>
      <c r="F12" s="2688">
        <f t="shared" si="29"/>
        <v>253.25788877571213</v>
      </c>
      <c r="G12" s="3358"/>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969</v>
      </c>
      <c r="B13" s="2680">
        <v>333</v>
      </c>
      <c r="C13" s="2680">
        <v>277</v>
      </c>
      <c r="D13" s="2680">
        <f t="shared" si="28"/>
        <v>277</v>
      </c>
      <c r="E13" s="2680">
        <v>459</v>
      </c>
      <c r="F13" s="2681">
        <v>249</v>
      </c>
      <c r="G13" s="3356">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968</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357"/>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967</v>
      </c>
      <c r="B15" s="2688">
        <f t="shared" si="31"/>
        <v>322.34053690220776</v>
      </c>
      <c r="C15" s="2688">
        <f t="shared" si="31"/>
        <v>271.46160770422546</v>
      </c>
      <c r="D15" s="2688">
        <f t="shared" si="28"/>
        <v>271.46160770422546</v>
      </c>
      <c r="E15" s="2688">
        <f t="shared" si="32"/>
        <v>442.69434542172456</v>
      </c>
      <c r="F15" s="2688">
        <f t="shared" si="32"/>
        <v>241.34030753190925</v>
      </c>
      <c r="G15" s="3357"/>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966</v>
      </c>
      <c r="B16" s="2688">
        <f t="shared" si="31"/>
        <v>319.87748030386797</v>
      </c>
      <c r="C16" s="2688">
        <f t="shared" si="31"/>
        <v>269.60135833173649</v>
      </c>
      <c r="D16" s="2688">
        <f t="shared" si="28"/>
        <v>269.60135833173649</v>
      </c>
      <c r="E16" s="2688">
        <f t="shared" si="32"/>
        <v>439.18089823583784</v>
      </c>
      <c r="F16" s="2688">
        <f t="shared" si="32"/>
        <v>239.23503918706311</v>
      </c>
      <c r="G16" s="3358"/>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965</v>
      </c>
      <c r="B17" s="2702">
        <v>318</v>
      </c>
      <c r="C17" s="2702">
        <v>268</v>
      </c>
      <c r="D17" s="2702">
        <f t="shared" si="28"/>
        <v>268</v>
      </c>
      <c r="E17" s="2702">
        <v>437</v>
      </c>
      <c r="F17" s="2703">
        <v>237</v>
      </c>
      <c r="G17" s="3356">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964</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357"/>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963</v>
      </c>
      <c r="B19" s="2688">
        <f t="shared" si="33"/>
        <v>314.72141172386546</v>
      </c>
      <c r="C19" s="2688">
        <f t="shared" si="33"/>
        <v>263.03901319069001</v>
      </c>
      <c r="D19" s="2688">
        <f t="shared" si="28"/>
        <v>263.03901319069001</v>
      </c>
      <c r="E19" s="2688">
        <f t="shared" si="34"/>
        <v>433.65745506782821</v>
      </c>
      <c r="F19" s="2688">
        <f t="shared" si="34"/>
        <v>233.23005080045735</v>
      </c>
      <c r="G19" s="3357"/>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962</v>
      </c>
      <c r="B20" s="2707">
        <f t="shared" si="33"/>
        <v>307.34512863658733</v>
      </c>
      <c r="C20" s="2707">
        <f t="shared" si="33"/>
        <v>257.80556031626975</v>
      </c>
      <c r="D20" s="2707">
        <f t="shared" si="28"/>
        <v>257.80556031626975</v>
      </c>
      <c r="E20" s="2707">
        <f t="shared" si="34"/>
        <v>422.70928459677179</v>
      </c>
      <c r="F20" s="2707">
        <f t="shared" si="34"/>
        <v>229.73803270336617</v>
      </c>
      <c r="G20" s="3358"/>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2645</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2587</v>
      </c>
      <c r="B21" s="2680">
        <v>299</v>
      </c>
      <c r="C21" s="2680">
        <v>252</v>
      </c>
      <c r="D21" s="2680">
        <f t="shared" si="28"/>
        <v>252</v>
      </c>
      <c r="E21" s="2680">
        <v>409</v>
      </c>
      <c r="F21" s="2681">
        <v>227</v>
      </c>
      <c r="G21" s="3359">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2588</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360"/>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2589</v>
      </c>
      <c r="B23" s="2688">
        <f t="shared" si="37"/>
        <v>288.2649053828776</v>
      </c>
      <c r="C23" s="2688">
        <f t="shared" si="37"/>
        <v>243.64564425013293</v>
      </c>
      <c r="D23" s="2688">
        <f t="shared" si="28"/>
        <v>243.64564425013293</v>
      </c>
      <c r="E23" s="2688">
        <f t="shared" si="38"/>
        <v>393.31080825986544</v>
      </c>
      <c r="F23" s="2688">
        <f t="shared" si="38"/>
        <v>223.07903790551154</v>
      </c>
      <c r="G23" s="3360"/>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2590</v>
      </c>
      <c r="B24" s="2688">
        <f t="shared" si="37"/>
        <v>282.50186729015837</v>
      </c>
      <c r="C24" s="2688">
        <f t="shared" si="37"/>
        <v>238.09796174155468</v>
      </c>
      <c r="D24" s="2688">
        <f t="shared" si="28"/>
        <v>238.09796174155468</v>
      </c>
      <c r="E24" s="2688">
        <f t="shared" si="38"/>
        <v>385.33438646014054</v>
      </c>
      <c r="F24" s="2688">
        <f t="shared" si="38"/>
        <v>221.55034055567739</v>
      </c>
      <c r="G24" s="3361"/>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2591</v>
      </c>
      <c r="B25" s="2718">
        <v>278</v>
      </c>
      <c r="C25" s="2718">
        <v>234</v>
      </c>
      <c r="D25" s="2718">
        <f t="shared" si="28"/>
        <v>234</v>
      </c>
      <c r="E25" s="2718">
        <v>379</v>
      </c>
      <c r="F25" s="2719">
        <v>220</v>
      </c>
      <c r="G25" s="3356">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2592</v>
      </c>
      <c r="B26" s="2688">
        <f>B25/(1+N25)</f>
        <v>275.49301357645425</v>
      </c>
      <c r="C26" s="2688">
        <f>C25/(1+O25)</f>
        <v>232.41954707985698</v>
      </c>
      <c r="D26" s="2688">
        <f t="shared" si="28"/>
        <v>232.41954707985698</v>
      </c>
      <c r="E26" s="2688">
        <f t="shared" ref="E26:F28" si="39">E25/(1+P25)</f>
        <v>375.32184591008121</v>
      </c>
      <c r="F26" s="2688">
        <f t="shared" si="39"/>
        <v>218.03766105054513</v>
      </c>
      <c r="G26" s="3357"/>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2593</v>
      </c>
      <c r="B27" s="2688">
        <f>B26/(1+N26)</f>
        <v>275.24529281292263</v>
      </c>
      <c r="C27" s="2688">
        <f>C26/(1+O26)</f>
        <v>231.74747938962707</v>
      </c>
      <c r="D27" s="2688">
        <f t="shared" si="28"/>
        <v>231.74747938962707</v>
      </c>
      <c r="E27" s="2688">
        <f t="shared" si="39"/>
        <v>375.35938184826603</v>
      </c>
      <c r="F27" s="2688">
        <f t="shared" si="39"/>
        <v>216.78033510692495</v>
      </c>
      <c r="G27" s="3357"/>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2594</v>
      </c>
      <c r="B28" s="2688">
        <f>B27/(1+N27)</f>
        <v>275.19025476197027</v>
      </c>
      <c r="C28" s="2720">
        <v>232</v>
      </c>
      <c r="D28" s="2720">
        <f t="shared" si="28"/>
        <v>232</v>
      </c>
      <c r="E28" s="2688">
        <f t="shared" si="39"/>
        <v>375.65990977608692</v>
      </c>
      <c r="F28" s="2688">
        <f t="shared" si="39"/>
        <v>214.12518283971252</v>
      </c>
      <c r="G28" s="3358"/>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2595</v>
      </c>
      <c r="B29" s="2680">
        <v>275</v>
      </c>
      <c r="C29" s="2680">
        <v>232</v>
      </c>
      <c r="D29" s="2680">
        <f t="shared" si="28"/>
        <v>232</v>
      </c>
      <c r="E29" s="2680">
        <v>376</v>
      </c>
      <c r="F29" s="2681">
        <v>213</v>
      </c>
      <c r="G29" s="3356">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2596</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357">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2597</v>
      </c>
      <c r="B31" s="2688">
        <f t="shared" si="40"/>
        <v>275.19335084830601</v>
      </c>
      <c r="C31" s="2688">
        <f t="shared" si="40"/>
        <v>230.18088050139744</v>
      </c>
      <c r="D31" s="2688">
        <f t="shared" si="28"/>
        <v>230.18088050139744</v>
      </c>
      <c r="E31" s="2688">
        <f t="shared" si="41"/>
        <v>377.58482925212331</v>
      </c>
      <c r="F31" s="2688">
        <f t="shared" si="41"/>
        <v>210.90687997847917</v>
      </c>
      <c r="G31" s="3357">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2598</v>
      </c>
      <c r="B32" s="2688">
        <f t="shared" si="40"/>
        <v>276.29854502841971</v>
      </c>
      <c r="C32" s="2688">
        <f t="shared" si="40"/>
        <v>229.79023709833027</v>
      </c>
      <c r="D32" s="2688">
        <f t="shared" si="28"/>
        <v>229.79023709833027</v>
      </c>
      <c r="E32" s="2688">
        <f t="shared" si="41"/>
        <v>379.78759731655936</v>
      </c>
      <c r="F32" s="2688">
        <f t="shared" si="41"/>
        <v>211.32953905659235</v>
      </c>
      <c r="G32" s="3358">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2599</v>
      </c>
      <c r="B33" s="2680">
        <v>269</v>
      </c>
      <c r="C33" s="2680">
        <v>221</v>
      </c>
      <c r="D33" s="2680">
        <f t="shared" si="28"/>
        <v>221</v>
      </c>
      <c r="E33" s="2680">
        <v>373</v>
      </c>
      <c r="F33" s="2681">
        <v>196</v>
      </c>
      <c r="G33" s="3356">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2600</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357">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2601</v>
      </c>
      <c r="B35" s="2688">
        <f t="shared" si="42"/>
        <v>242.95398227588385</v>
      </c>
      <c r="C35" s="2688">
        <f t="shared" si="42"/>
        <v>199.59137053614126</v>
      </c>
      <c r="D35" s="2688">
        <f t="shared" si="28"/>
        <v>199.59137053614126</v>
      </c>
      <c r="E35" s="2688">
        <f t="shared" si="43"/>
        <v>335.92189522342125</v>
      </c>
      <c r="F35" s="2688">
        <f t="shared" si="43"/>
        <v>183.10139991109489</v>
      </c>
      <c r="G35" s="3357">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2602</v>
      </c>
      <c r="B36" s="2688">
        <f t="shared" si="42"/>
        <v>232.06990378821649</v>
      </c>
      <c r="C36" s="2688">
        <f t="shared" si="42"/>
        <v>192.74878854286936</v>
      </c>
      <c r="D36" s="2688">
        <f t="shared" si="28"/>
        <v>192.74878854286936</v>
      </c>
      <c r="E36" s="2688">
        <f t="shared" si="43"/>
        <v>319.71247284992984</v>
      </c>
      <c r="F36" s="2688">
        <f t="shared" si="43"/>
        <v>175.67053622862409</v>
      </c>
      <c r="G36" s="3358">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2603</v>
      </c>
      <c r="B37" s="2680">
        <v>220</v>
      </c>
      <c r="C37" s="2680">
        <v>187</v>
      </c>
      <c r="D37" s="2680">
        <f t="shared" si="28"/>
        <v>187</v>
      </c>
      <c r="E37" s="2680">
        <v>301</v>
      </c>
      <c r="F37" s="2681">
        <v>168</v>
      </c>
      <c r="G37" s="3356">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2604</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357">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2605</v>
      </c>
      <c r="B39" s="2688">
        <f t="shared" si="44"/>
        <v>210.630522469011</v>
      </c>
      <c r="C39" s="2688">
        <f t="shared" si="44"/>
        <v>181.69567812247232</v>
      </c>
      <c r="D39" s="2688">
        <f t="shared" si="28"/>
        <v>181.69567812247232</v>
      </c>
      <c r="E39" s="2688">
        <f t="shared" si="45"/>
        <v>286.13517466736738</v>
      </c>
      <c r="F39" s="2688">
        <f t="shared" si="45"/>
        <v>165.47535084591149</v>
      </c>
      <c r="G39" s="3357">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2606</v>
      </c>
      <c r="B40" s="2688">
        <f t="shared" si="44"/>
        <v>208.83454537875372</v>
      </c>
      <c r="C40" s="2688">
        <f t="shared" si="44"/>
        <v>183.77230517090351</v>
      </c>
      <c r="D40" s="2688">
        <f t="shared" si="28"/>
        <v>183.77230517090351</v>
      </c>
      <c r="E40" s="2688">
        <f t="shared" si="45"/>
        <v>281.10342338870947</v>
      </c>
      <c r="F40" s="2688">
        <f t="shared" si="45"/>
        <v>168.97309388942256</v>
      </c>
      <c r="G40" s="3358">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2607</v>
      </c>
      <c r="B41" s="2718">
        <v>214</v>
      </c>
      <c r="C41" s="2718">
        <v>188</v>
      </c>
      <c r="D41" s="2718">
        <f t="shared" si="28"/>
        <v>188</v>
      </c>
      <c r="E41" s="2718">
        <v>289</v>
      </c>
      <c r="F41" s="2719">
        <v>166</v>
      </c>
      <c r="G41" s="3356">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2608</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357">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2609</v>
      </c>
      <c r="B43" s="2688">
        <f t="shared" si="46"/>
        <v>206.31694671589116</v>
      </c>
      <c r="C43" s="2688">
        <f t="shared" si="46"/>
        <v>183.61041121036101</v>
      </c>
      <c r="D43" s="2688">
        <f t="shared" si="28"/>
        <v>183.61041121036101</v>
      </c>
      <c r="E43" s="2688">
        <f t="shared" si="47"/>
        <v>276.66850301795557</v>
      </c>
      <c r="F43" s="2688">
        <f t="shared" si="47"/>
        <v>165.1360938278614</v>
      </c>
      <c r="G43" s="3357">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2610</v>
      </c>
      <c r="B44" s="2721">
        <f t="shared" si="46"/>
        <v>196.62341248059772</v>
      </c>
      <c r="C44" s="2721">
        <f t="shared" si="46"/>
        <v>170.99125648199012</v>
      </c>
      <c r="D44" s="2721">
        <f t="shared" si="28"/>
        <v>170.99125648199012</v>
      </c>
      <c r="E44" s="2721">
        <f t="shared" si="47"/>
        <v>266.07857570490052</v>
      </c>
      <c r="F44" s="2721">
        <f t="shared" si="47"/>
        <v>154.53499328828505</v>
      </c>
      <c r="G44" s="3358">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2611</v>
      </c>
      <c r="B45" s="2680">
        <v>188</v>
      </c>
      <c r="C45" s="2680">
        <v>165</v>
      </c>
      <c r="D45" s="2680">
        <f t="shared" si="28"/>
        <v>165</v>
      </c>
      <c r="E45" s="2680">
        <v>254</v>
      </c>
      <c r="F45" s="2681">
        <v>148</v>
      </c>
      <c r="G45" s="3356">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2612</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357">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2613</v>
      </c>
      <c r="B47" s="2688">
        <f t="shared" si="50"/>
        <v>168.82017748715555</v>
      </c>
      <c r="C47" s="2688">
        <f t="shared" si="50"/>
        <v>148.06267029972753</v>
      </c>
      <c r="D47" s="2688">
        <f t="shared" si="28"/>
        <v>148.06267029972753</v>
      </c>
      <c r="E47" s="2688">
        <f t="shared" si="51"/>
        <v>216.46288379323747</v>
      </c>
      <c r="F47" s="2688">
        <f t="shared" si="51"/>
        <v>134.23529411764704</v>
      </c>
      <c r="G47" s="3357">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2614</v>
      </c>
      <c r="B48" s="2688">
        <f t="shared" si="50"/>
        <v>163.84913591779542</v>
      </c>
      <c r="C48" s="2688">
        <f t="shared" si="50"/>
        <v>145.0283378746594</v>
      </c>
      <c r="D48" s="2688">
        <f t="shared" si="28"/>
        <v>145.0283378746594</v>
      </c>
      <c r="E48" s="2688">
        <f t="shared" si="51"/>
        <v>204.95180722891567</v>
      </c>
      <c r="F48" s="2688">
        <f t="shared" si="51"/>
        <v>125.95920303605313</v>
      </c>
      <c r="G48" s="3358">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2615</v>
      </c>
      <c r="B49" s="2702">
        <v>159</v>
      </c>
      <c r="C49" s="2702">
        <v>141</v>
      </c>
      <c r="D49" s="2702">
        <f t="shared" si="28"/>
        <v>141</v>
      </c>
      <c r="E49" s="2702">
        <v>195</v>
      </c>
      <c r="F49" s="2703">
        <v>122</v>
      </c>
      <c r="G49" s="3356">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2616</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357">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2617</v>
      </c>
      <c r="B51" s="2688">
        <f t="shared" si="54"/>
        <v>146.57412060301507</v>
      </c>
      <c r="C51" s="2688">
        <f t="shared" si="54"/>
        <v>136.46831955922866</v>
      </c>
      <c r="D51" s="2688">
        <f t="shared" si="28"/>
        <v>136.46831955922866</v>
      </c>
      <c r="E51" s="2688">
        <f t="shared" si="55"/>
        <v>166.73864894795128</v>
      </c>
      <c r="F51" s="2688">
        <f t="shared" si="55"/>
        <v>115.05882352941177</v>
      </c>
      <c r="G51" s="3357">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2618</v>
      </c>
      <c r="B52" s="2688">
        <f t="shared" si="54"/>
        <v>144.04145728643215</v>
      </c>
      <c r="C52" s="2688">
        <f t="shared" si="54"/>
        <v>136.12396694214877</v>
      </c>
      <c r="D52" s="2688">
        <f t="shared" si="28"/>
        <v>136.12396694214877</v>
      </c>
      <c r="E52" s="2688">
        <f t="shared" si="55"/>
        <v>158.32225913621264</v>
      </c>
      <c r="F52" s="2688">
        <f t="shared" si="55"/>
        <v>114.04278074866311</v>
      </c>
      <c r="G52" s="3358">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2619</v>
      </c>
      <c r="B53" s="2702">
        <v>138</v>
      </c>
      <c r="C53" s="2702">
        <v>131</v>
      </c>
      <c r="D53" s="2702">
        <f t="shared" si="28"/>
        <v>131</v>
      </c>
      <c r="E53" s="2702">
        <v>155</v>
      </c>
      <c r="F53" s="2703">
        <v>114</v>
      </c>
      <c r="G53" s="3356">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2620</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357">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2621</v>
      </c>
      <c r="B55" s="2688">
        <f t="shared" si="58"/>
        <v>124.29032258064517</v>
      </c>
      <c r="C55" s="2688">
        <f t="shared" si="58"/>
        <v>123.8968609865471</v>
      </c>
      <c r="D55" s="2688">
        <f t="shared" si="28"/>
        <v>123.8968609865471</v>
      </c>
      <c r="E55" s="2688">
        <f t="shared" si="59"/>
        <v>138.00507614213197</v>
      </c>
      <c r="F55" s="2688">
        <f t="shared" si="59"/>
        <v>107.96106557377048</v>
      </c>
      <c r="G55" s="3357">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2622</v>
      </c>
      <c r="B56" s="2688">
        <f t="shared" si="58"/>
        <v>122.57204301075269</v>
      </c>
      <c r="C56" s="2688">
        <f t="shared" si="58"/>
        <v>123.4932735426009</v>
      </c>
      <c r="D56" s="2688">
        <f t="shared" si="28"/>
        <v>123.4932735426009</v>
      </c>
      <c r="E56" s="2688">
        <f t="shared" si="59"/>
        <v>129.82233502538071</v>
      </c>
      <c r="F56" s="2688">
        <f t="shared" si="59"/>
        <v>107.39446721311475</v>
      </c>
      <c r="G56" s="3358">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2623</v>
      </c>
      <c r="B57" s="2718">
        <v>121</v>
      </c>
      <c r="C57" s="2718">
        <v>122</v>
      </c>
      <c r="D57" s="2718">
        <f t="shared" si="28"/>
        <v>122</v>
      </c>
      <c r="E57" s="2718">
        <v>124</v>
      </c>
      <c r="F57" s="2719">
        <v>107</v>
      </c>
      <c r="G57" s="3356">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2624</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357">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2625</v>
      </c>
      <c r="B59" s="2688">
        <f t="shared" si="62"/>
        <v>116.99099099099099</v>
      </c>
      <c r="C59" s="2688">
        <f t="shared" si="62"/>
        <v>118.84848484848486</v>
      </c>
      <c r="D59" s="2688">
        <f t="shared" si="28"/>
        <v>118.84848484848486</v>
      </c>
      <c r="E59" s="2688">
        <f t="shared" si="63"/>
        <v>117.60960960960961</v>
      </c>
      <c r="F59" s="2688">
        <f t="shared" si="63"/>
        <v>104</v>
      </c>
      <c r="G59" s="3357">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2626</v>
      </c>
      <c r="B60" s="2721">
        <f t="shared" si="62"/>
        <v>112.48648648648648</v>
      </c>
      <c r="C60" s="2721">
        <f t="shared" si="62"/>
        <v>115.21212121212122</v>
      </c>
      <c r="D60" s="2721">
        <f t="shared" si="28"/>
        <v>115.21212121212122</v>
      </c>
      <c r="E60" s="2721">
        <f t="shared" si="63"/>
        <v>110.4024024024024</v>
      </c>
      <c r="F60" s="2721">
        <f t="shared" si="63"/>
        <v>104</v>
      </c>
      <c r="G60" s="3358">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2627</v>
      </c>
      <c r="B61" s="2739">
        <v>111</v>
      </c>
      <c r="C61" s="2739">
        <v>114</v>
      </c>
      <c r="D61" s="2739">
        <f t="shared" si="28"/>
        <v>114</v>
      </c>
      <c r="E61" s="2739">
        <v>108</v>
      </c>
      <c r="F61" s="2740">
        <v>104</v>
      </c>
      <c r="G61" s="3356">
        <v>2003</v>
      </c>
      <c r="H61" s="2729">
        <v>4</v>
      </c>
      <c r="I61" s="2741"/>
      <c r="J61" s="2741"/>
      <c r="K61" s="2741"/>
      <c r="L61" s="2741"/>
      <c r="N61" s="2742"/>
      <c r="O61" s="2741"/>
      <c r="P61" s="2741"/>
      <c r="Q61" s="2741"/>
      <c r="S61" s="2742"/>
      <c r="T61" s="2741"/>
      <c r="U61" s="2741"/>
      <c r="V61" s="2741"/>
      <c r="X61" s="2733"/>
      <c r="Y61" s="2733"/>
      <c r="Z61" s="2733"/>
    </row>
    <row r="62" spans="1:26">
      <c r="A62" s="2674" t="s">
        <v>2628</v>
      </c>
      <c r="B62" s="2743">
        <f t="shared" ref="B62:C64" si="64">B63+(B$61-B$65)/4</f>
        <v>109.75</v>
      </c>
      <c r="C62" s="2743">
        <f t="shared" si="64"/>
        <v>112.25</v>
      </c>
      <c r="D62" s="2743">
        <f t="shared" si="28"/>
        <v>112.25</v>
      </c>
      <c r="E62" s="2743">
        <f t="shared" ref="E62:F64" si="65">E63+(E$61-E$65)/4</f>
        <v>107.25</v>
      </c>
      <c r="F62" s="2743">
        <f t="shared" si="65"/>
        <v>103.5</v>
      </c>
      <c r="G62" s="3357">
        <v>2003</v>
      </c>
      <c r="H62" s="2699">
        <v>3</v>
      </c>
      <c r="I62" s="2741"/>
      <c r="J62" s="2741"/>
      <c r="K62" s="2741"/>
      <c r="L62" s="2741"/>
      <c r="X62" s="2733"/>
      <c r="Y62" s="2733"/>
      <c r="Z62" s="2733"/>
    </row>
    <row r="63" spans="1:26">
      <c r="A63" s="2674" t="s">
        <v>2629</v>
      </c>
      <c r="B63" s="2743">
        <f t="shared" si="64"/>
        <v>108.5</v>
      </c>
      <c r="C63" s="2743">
        <f t="shared" si="64"/>
        <v>110.5</v>
      </c>
      <c r="D63" s="2743">
        <f t="shared" si="28"/>
        <v>110.5</v>
      </c>
      <c r="E63" s="2743">
        <f t="shared" si="65"/>
        <v>106.5</v>
      </c>
      <c r="F63" s="2743">
        <f t="shared" si="65"/>
        <v>103</v>
      </c>
      <c r="G63" s="3357">
        <v>2003</v>
      </c>
      <c r="H63" s="2679">
        <v>2</v>
      </c>
      <c r="I63" s="2741"/>
      <c r="J63" s="2741"/>
      <c r="K63" s="2741"/>
      <c r="L63" s="2741"/>
      <c r="X63" s="2733"/>
      <c r="Y63" s="2733"/>
      <c r="Z63" s="2733"/>
    </row>
    <row r="64" spans="1:26" ht="13.5" thickBot="1">
      <c r="A64" s="2674" t="s">
        <v>2630</v>
      </c>
      <c r="B64" s="2743">
        <f t="shared" si="64"/>
        <v>107.25</v>
      </c>
      <c r="C64" s="2743">
        <f t="shared" si="64"/>
        <v>108.75</v>
      </c>
      <c r="D64" s="2743">
        <f t="shared" si="28"/>
        <v>108.75</v>
      </c>
      <c r="E64" s="2743">
        <f t="shared" si="65"/>
        <v>105.75</v>
      </c>
      <c r="F64" s="2743">
        <f t="shared" si="65"/>
        <v>102.5</v>
      </c>
      <c r="G64" s="3358">
        <v>2003</v>
      </c>
      <c r="H64" s="2744">
        <v>1</v>
      </c>
      <c r="I64" s="2741"/>
      <c r="J64" s="2741"/>
      <c r="K64" s="2741"/>
      <c r="L64" s="2741"/>
      <c r="S64" s="2683"/>
      <c r="T64" s="2684"/>
      <c r="U64" s="2684"/>
      <c r="X64" s="2733"/>
      <c r="Y64" s="2733"/>
      <c r="Z64" s="2733"/>
    </row>
    <row r="65" spans="1:26" ht="13.5" thickBot="1">
      <c r="A65" s="2674" t="s">
        <v>2631</v>
      </c>
      <c r="B65" s="2745">
        <v>106</v>
      </c>
      <c r="C65" s="2745">
        <v>107</v>
      </c>
      <c r="D65" s="2745">
        <f t="shared" si="28"/>
        <v>107</v>
      </c>
      <c r="E65" s="2745">
        <v>105</v>
      </c>
      <c r="F65" s="2746">
        <v>102</v>
      </c>
      <c r="G65" s="3356">
        <v>2002</v>
      </c>
      <c r="H65" s="2694">
        <v>4</v>
      </c>
      <c r="I65" s="2741"/>
      <c r="J65" s="2741"/>
      <c r="K65" s="2741"/>
      <c r="L65" s="2741"/>
      <c r="N65" s="2742"/>
      <c r="O65" s="2741"/>
      <c r="P65" s="2741"/>
      <c r="Q65" s="2741"/>
      <c r="S65" s="2742"/>
      <c r="T65" s="2741"/>
      <c r="U65" s="2741"/>
      <c r="V65" s="2741"/>
      <c r="X65" s="2733"/>
      <c r="Y65" s="2733"/>
      <c r="Z65" s="2733"/>
    </row>
    <row r="66" spans="1:26">
      <c r="A66" s="2674" t="s">
        <v>2632</v>
      </c>
      <c r="B66" s="2743">
        <f t="shared" ref="B66:C68" si="66">B67+(B$65-B$69)/4</f>
        <v>105</v>
      </c>
      <c r="C66" s="2743">
        <f t="shared" si="66"/>
        <v>106</v>
      </c>
      <c r="D66" s="2743">
        <f t="shared" si="28"/>
        <v>106</v>
      </c>
      <c r="E66" s="2743">
        <f t="shared" ref="E66:F68" si="67">E67+(E$65-E$69)/4</f>
        <v>104.5</v>
      </c>
      <c r="F66" s="2743">
        <f t="shared" si="67"/>
        <v>101.5</v>
      </c>
      <c r="G66" s="3357">
        <v>2002</v>
      </c>
      <c r="H66" s="2699">
        <v>3</v>
      </c>
      <c r="I66" s="2741"/>
      <c r="J66" s="2741"/>
      <c r="K66" s="2741"/>
      <c r="L66" s="2741"/>
      <c r="X66" s="2733"/>
      <c r="Y66" s="2733"/>
      <c r="Z66" s="2733"/>
    </row>
    <row r="67" spans="1:26">
      <c r="A67" s="2674" t="s">
        <v>2633</v>
      </c>
      <c r="B67" s="2743">
        <f t="shared" si="66"/>
        <v>104</v>
      </c>
      <c r="C67" s="2743">
        <f t="shared" si="66"/>
        <v>105</v>
      </c>
      <c r="D67" s="2743">
        <f t="shared" si="28"/>
        <v>105</v>
      </c>
      <c r="E67" s="2743">
        <f t="shared" si="67"/>
        <v>104</v>
      </c>
      <c r="F67" s="2743">
        <f t="shared" si="67"/>
        <v>101</v>
      </c>
      <c r="G67" s="3357">
        <v>2002</v>
      </c>
      <c r="H67" s="2679">
        <v>2</v>
      </c>
      <c r="I67" s="2741"/>
      <c r="J67" s="2741"/>
      <c r="K67" s="2741"/>
      <c r="L67" s="2741"/>
      <c r="X67" s="2733"/>
      <c r="Y67" s="2733"/>
      <c r="Z67" s="2733"/>
    </row>
    <row r="68" spans="1:26" s="2710" customFormat="1" ht="13.5" thickBot="1">
      <c r="A68" s="2706" t="s">
        <v>2634</v>
      </c>
      <c r="B68" s="2747">
        <f t="shared" si="66"/>
        <v>103</v>
      </c>
      <c r="C68" s="2747">
        <f t="shared" si="66"/>
        <v>104</v>
      </c>
      <c r="D68" s="2747">
        <f t="shared" si="28"/>
        <v>104</v>
      </c>
      <c r="E68" s="2747">
        <f t="shared" si="67"/>
        <v>103.5</v>
      </c>
      <c r="F68" s="2747">
        <f t="shared" si="67"/>
        <v>100.5</v>
      </c>
      <c r="G68" s="3358">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2635</v>
      </c>
      <c r="G71" s="2757"/>
      <c r="N71" s="2757"/>
      <c r="S71" s="2757"/>
    </row>
    <row r="72" spans="1:26" s="2756" customFormat="1">
      <c r="A72" s="2756" t="s">
        <v>2636</v>
      </c>
      <c r="G72" s="2757"/>
      <c r="N72" s="2757"/>
      <c r="S72" s="2757"/>
    </row>
    <row r="73" spans="1:26" s="2756" customFormat="1">
      <c r="A73" s="2756" t="s">
        <v>2637</v>
      </c>
      <c r="G73" s="2757"/>
      <c r="I73" s="2758"/>
      <c r="J73" s="2758"/>
      <c r="K73" s="2758"/>
      <c r="L73" s="2758"/>
      <c r="N73" s="2759"/>
      <c r="O73" s="2758"/>
      <c r="P73" s="2758"/>
      <c r="Q73" s="2758"/>
      <c r="S73" s="2759"/>
      <c r="T73" s="2758"/>
      <c r="U73" s="2758"/>
      <c r="V73" s="2758"/>
    </row>
    <row r="74" spans="1:26" s="2756" customFormat="1">
      <c r="A74" s="2756" t="s">
        <v>2638</v>
      </c>
      <c r="G74" s="2757"/>
      <c r="N74" s="2757"/>
      <c r="S74" s="2757"/>
    </row>
    <row r="81" spans="7:22" ht="13.5" thickBot="1"/>
    <row r="82" spans="7:22">
      <c r="G82" s="2682"/>
      <c r="S82" s="2760" t="s">
        <v>2639</v>
      </c>
      <c r="T82" s="2761" t="s">
        <v>2640</v>
      </c>
      <c r="U82" s="2761" t="s">
        <v>2641</v>
      </c>
      <c r="V82" s="2761" t="s">
        <v>2642</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18.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18.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56.25">
      <c r="A7" s="1792" t="s">
        <v>2752</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2947</v>
      </c>
    </row>
    <row r="14" spans="1:4" ht="18.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18.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18.75">
      <c r="A21" s="1788" t="s">
        <v>2075</v>
      </c>
    </row>
    <row r="22" spans="1:1" ht="18.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23" spans="1:1" ht="18.75">
      <c r="A23" s="1788" t="str">
        <f>IF(项目基本情况!B16="出让","本次评估设定估价对象剩余土地使用年限为"&amp;项目基本情况!D20&amp;"。","")</f>
        <v>本次评估设定估价对象剩余土地使用年限为住宅70年、商业40年、办公40年、地下车库50年。</v>
      </c>
    </row>
    <row r="24" spans="1:1" ht="18.75">
      <c r="A24" s="1788" t="s">
        <v>2076</v>
      </c>
    </row>
    <row r="25" spans="1:1" ht="150">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93.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A4" sqref="A4:J7"/>
    </sheetView>
  </sheetViews>
  <sheetFormatPr defaultRowHeight="14.25"/>
  <cols>
    <col min="1" max="1" width="10.5" style="1335" customWidth="1"/>
    <col min="2" max="2" width="15.75" style="1335" customWidth="1"/>
    <col min="3" max="3" width="15.125" style="1335" customWidth="1"/>
    <col min="4" max="4" width="12.25" style="1335" customWidth="1"/>
    <col min="5" max="5" width="16" style="1335" customWidth="1"/>
    <col min="6" max="6" width="12.25" style="1335" customWidth="1"/>
    <col min="7" max="7" width="15.87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1" t="s">
        <v>720</v>
      </c>
      <c r="C1" s="2642" t="s">
        <v>721</v>
      </c>
      <c r="D1" s="2643" t="s">
        <v>924</v>
      </c>
      <c r="E1" s="264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467</v>
      </c>
      <c r="B2" s="2640">
        <f>ROUND(B3*D3/10000,0)</f>
        <v>303812</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520</v>
      </c>
      <c r="B3" s="849">
        <f>C49</f>
        <v>12707.8</v>
      </c>
      <c r="C3" s="850" t="s">
        <v>723</v>
      </c>
      <c r="D3" s="849">
        <f>SUMIF('数据-汇总表'!$C19:$C33,D1,'数据-汇总表'!$E19:$E33)</f>
        <v>239075.36</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522</v>
      </c>
      <c r="B4" s="511"/>
      <c r="C4" s="3293" t="s">
        <v>523</v>
      </c>
      <c r="D4" s="3294"/>
      <c r="E4" s="3317" t="s">
        <v>524</v>
      </c>
      <c r="F4" s="3318"/>
      <c r="G4" s="3293" t="s">
        <v>525</v>
      </c>
      <c r="H4" s="3294"/>
      <c r="I4" s="3293" t="s">
        <v>526</v>
      </c>
      <c r="J4" s="3294"/>
      <c r="K4" s="851" t="s">
        <v>527</v>
      </c>
      <c r="L4" s="2130"/>
      <c r="M4" s="2131"/>
      <c r="N4" s="2131"/>
      <c r="O4" s="2131"/>
      <c r="P4" s="3295" t="s">
        <v>528</v>
      </c>
      <c r="Q4" s="3296"/>
      <c r="R4" s="3281" t="s">
        <v>524</v>
      </c>
      <c r="S4" s="3282"/>
      <c r="T4" s="3281" t="s">
        <v>525</v>
      </c>
      <c r="U4" s="3282"/>
      <c r="V4" s="3301" t="s">
        <v>526</v>
      </c>
      <c r="W4" s="3301"/>
      <c r="X4" s="1565"/>
      <c r="Y4" s="3281" t="s">
        <v>528</v>
      </c>
      <c r="Z4" s="3282"/>
      <c r="AA4" s="3276" t="s">
        <v>524</v>
      </c>
      <c r="AB4" s="3276" t="s">
        <v>525</v>
      </c>
      <c r="AC4" s="3276" t="s">
        <v>526</v>
      </c>
    </row>
    <row r="5" spans="1:29" ht="15">
      <c r="A5" s="513"/>
      <c r="B5" s="514"/>
      <c r="C5" s="3304" t="s">
        <v>2933</v>
      </c>
      <c r="D5" s="3305"/>
      <c r="E5" s="3410" t="s">
        <v>3073</v>
      </c>
      <c r="F5" s="3411"/>
      <c r="G5" s="3402" t="s">
        <v>3074</v>
      </c>
      <c r="H5" s="3403"/>
      <c r="I5" s="3402" t="s">
        <v>3075</v>
      </c>
      <c r="J5" s="3403"/>
      <c r="K5" s="852"/>
      <c r="L5" s="2130"/>
      <c r="M5" s="2131"/>
      <c r="N5" s="2131"/>
      <c r="O5" s="2131"/>
      <c r="P5" s="3297"/>
      <c r="Q5" s="3298"/>
      <c r="R5" s="3283"/>
      <c r="S5" s="3284"/>
      <c r="T5" s="3283"/>
      <c r="U5" s="3284"/>
      <c r="V5" s="3301"/>
      <c r="W5" s="3301"/>
      <c r="X5" s="1565"/>
      <c r="Y5" s="3283"/>
      <c r="Z5" s="3284"/>
      <c r="AA5" s="3277"/>
      <c r="AB5" s="3277"/>
      <c r="AC5" s="3277"/>
    </row>
    <row r="6" spans="1:29" ht="15.75" thickBot="1">
      <c r="A6" s="515"/>
      <c r="B6" s="516"/>
      <c r="C6" s="3302" t="s">
        <v>2937</v>
      </c>
      <c r="D6" s="3303"/>
      <c r="E6" s="3412" t="s">
        <v>3076</v>
      </c>
      <c r="F6" s="3413"/>
      <c r="G6" s="3406" t="s">
        <v>3077</v>
      </c>
      <c r="H6" s="3407"/>
      <c r="I6" s="3406" t="s">
        <v>3078</v>
      </c>
      <c r="J6" s="3407"/>
      <c r="K6" s="852" t="s">
        <v>529</v>
      </c>
      <c r="L6" s="2130"/>
      <c r="M6" s="2131"/>
      <c r="N6" s="2131"/>
      <c r="O6" s="2131"/>
      <c r="P6" s="3299"/>
      <c r="Q6" s="3300"/>
      <c r="R6" s="3283"/>
      <c r="S6" s="3284"/>
      <c r="T6" s="3285"/>
      <c r="U6" s="3286"/>
      <c r="V6" s="3301"/>
      <c r="W6" s="3301"/>
      <c r="X6" s="1565"/>
      <c r="Y6" s="3285"/>
      <c r="Z6" s="3286"/>
      <c r="AA6" s="3278"/>
      <c r="AB6" s="3278"/>
      <c r="AC6" s="3278"/>
    </row>
    <row r="7" spans="1:29" s="1218" customFormat="1" ht="15.75" thickBot="1">
      <c r="A7" s="2875"/>
      <c r="B7" s="2882" t="s">
        <v>530</v>
      </c>
      <c r="C7" s="517">
        <f>'数据-取费表'!B2</f>
        <v>43054</v>
      </c>
      <c r="D7" s="518">
        <v>100</v>
      </c>
      <c r="E7" s="519">
        <f>C7</f>
        <v>43054</v>
      </c>
      <c r="F7" s="520">
        <f>SUMIF(58:58,YEAR(E7)&amp;"-"&amp;MONTH(E7),59:59)</f>
        <v>100</v>
      </c>
      <c r="G7" s="521">
        <f>C7</f>
        <v>43054</v>
      </c>
      <c r="H7" s="518">
        <f>SUMIF(58:58,YEAR(G7)&amp;"-"&amp;MONTH(G7),59:59)</f>
        <v>100</v>
      </c>
      <c r="I7" s="521">
        <f>C7</f>
        <v>43054</v>
      </c>
      <c r="J7" s="518">
        <f>SUMIF(58:58,YEAR(I7)&amp;"-"&amp;MONTH(I7),59:59)</f>
        <v>100</v>
      </c>
      <c r="K7" s="853"/>
      <c r="L7" s="2132"/>
      <c r="M7" s="2133"/>
      <c r="N7" s="2133"/>
      <c r="O7" s="2133"/>
      <c r="P7" s="3279" t="s">
        <v>531</v>
      </c>
      <c r="Q7" s="3288"/>
      <c r="R7" s="1566" t="s">
        <v>13</v>
      </c>
      <c r="S7" s="1567">
        <f t="shared" ref="S7:S15" si="0">F7</f>
        <v>100</v>
      </c>
      <c r="T7" s="1566" t="s">
        <v>13</v>
      </c>
      <c r="U7" s="1567">
        <f t="shared" ref="U7:U15" si="1">H7</f>
        <v>100</v>
      </c>
      <c r="V7" s="1566" t="s">
        <v>13</v>
      </c>
      <c r="W7" s="1567">
        <f t="shared" ref="W7:W15" si="2">J7</f>
        <v>100</v>
      </c>
      <c r="X7" s="1568"/>
      <c r="Y7" s="3279" t="s">
        <v>531</v>
      </c>
      <c r="Z7" s="3280"/>
      <c r="AA7" s="1569">
        <f>D7/F7</f>
        <v>1</v>
      </c>
      <c r="AB7" s="1569">
        <f>D7/H7</f>
        <v>1</v>
      </c>
      <c r="AC7" s="1569">
        <f>D7/J7</f>
        <v>1</v>
      </c>
    </row>
    <row r="8" spans="1:29" s="1218" customFormat="1" ht="15.75" thickBot="1">
      <c r="A8" s="2876"/>
      <c r="B8" s="2883" t="s">
        <v>532</v>
      </c>
      <c r="C8" s="523" t="s">
        <v>577</v>
      </c>
      <c r="D8" s="518">
        <v>100</v>
      </c>
      <c r="E8" s="854" t="s">
        <v>3031</v>
      </c>
      <c r="F8" s="520">
        <f>SUMIF(61:61,E8,62:62)-SUMIF(61:61,C8,62:62)+100</f>
        <v>100</v>
      </c>
      <c r="G8" s="523" t="s">
        <v>3031</v>
      </c>
      <c r="H8" s="518">
        <f>SUMIF(61:61,G8,62:62)-SUMIF(61:61,C8,62:62)+100</f>
        <v>100</v>
      </c>
      <c r="I8" s="854" t="s">
        <v>3031</v>
      </c>
      <c r="J8" s="518">
        <f>SUMIF(61:61,I8,62:62)-SUMIF(61:61,C8,62:62)+100</f>
        <v>100</v>
      </c>
      <c r="K8" s="853"/>
      <c r="L8" s="2132"/>
      <c r="M8" s="2133"/>
      <c r="N8" s="2133"/>
      <c r="O8" s="2133"/>
      <c r="P8" s="3279" t="s">
        <v>534</v>
      </c>
      <c r="Q8" s="3280"/>
      <c r="R8" s="1566" t="s">
        <v>13</v>
      </c>
      <c r="S8" s="1567">
        <f t="shared" si="0"/>
        <v>100</v>
      </c>
      <c r="T8" s="1566" t="s">
        <v>13</v>
      </c>
      <c r="U8" s="1567">
        <f t="shared" si="1"/>
        <v>100</v>
      </c>
      <c r="V8" s="1566" t="s">
        <v>13</v>
      </c>
      <c r="W8" s="1567">
        <f t="shared" si="2"/>
        <v>100</v>
      </c>
      <c r="X8" s="1568"/>
      <c r="Y8" s="3279" t="s">
        <v>534</v>
      </c>
      <c r="Z8" s="3280"/>
      <c r="AA8" s="1569">
        <f t="shared" ref="AA8:AA46" si="3">D8/F8</f>
        <v>1</v>
      </c>
      <c r="AB8" s="1569">
        <f t="shared" ref="AB8:AB46" si="4">D8/H8</f>
        <v>1</v>
      </c>
      <c r="AC8" s="1569">
        <f t="shared" ref="AC8:AC46" si="5">D8/J8</f>
        <v>1</v>
      </c>
    </row>
    <row r="9" spans="1:29" s="1218" customFormat="1" ht="15">
      <c r="A9" s="2877"/>
      <c r="B9" s="2884" t="s">
        <v>2761</v>
      </c>
      <c r="C9" s="3414" t="s">
        <v>3079</v>
      </c>
      <c r="D9" s="254">
        <v>100</v>
      </c>
      <c r="E9" s="856" t="s">
        <v>924</v>
      </c>
      <c r="F9" s="857">
        <f>SUMIF(63:63,E9,64:64)-SUMIF(63:63,C9,64:64)+100</f>
        <v>100</v>
      </c>
      <c r="G9" s="858" t="s">
        <v>924</v>
      </c>
      <c r="H9" s="254">
        <f>SUMIF(63:63,G9,64:64)-SUMIF(63:63,C9,64:64)+100</f>
        <v>100</v>
      </c>
      <c r="I9" s="858" t="s">
        <v>924</v>
      </c>
      <c r="J9" s="254">
        <f>SUMIF(63:63,I9,64:64)-SUMIF(63:63,C9,64:64)+100</f>
        <v>100</v>
      </c>
      <c r="K9" s="853"/>
      <c r="L9" s="2132"/>
      <c r="M9" s="2133"/>
      <c r="N9" s="2133"/>
      <c r="O9" s="2134"/>
      <c r="P9" s="3287" t="s">
        <v>536</v>
      </c>
      <c r="Q9" s="1149" t="str">
        <f t="shared" ref="Q9:Q15" si="6">B9</f>
        <v>用途</v>
      </c>
      <c r="R9" s="1566" t="s">
        <v>8</v>
      </c>
      <c r="S9" s="1567">
        <f t="shared" si="0"/>
        <v>100</v>
      </c>
      <c r="T9" s="1566" t="s">
        <v>8</v>
      </c>
      <c r="U9" s="1567">
        <f t="shared" si="1"/>
        <v>100</v>
      </c>
      <c r="V9" s="1566" t="s">
        <v>8</v>
      </c>
      <c r="W9" s="1567">
        <f t="shared" si="2"/>
        <v>100</v>
      </c>
      <c r="X9" s="1568"/>
      <c r="Y9" s="3244" t="s">
        <v>537</v>
      </c>
      <c r="Z9" s="1148" t="str">
        <f t="shared" ref="Z9:Z15" si="7">Q9</f>
        <v>用途</v>
      </c>
      <c r="AA9" s="1569">
        <f t="shared" si="3"/>
        <v>1</v>
      </c>
      <c r="AB9" s="1569">
        <f t="shared" si="4"/>
        <v>1</v>
      </c>
      <c r="AC9" s="1569">
        <f t="shared" si="5"/>
        <v>1</v>
      </c>
    </row>
    <row r="10" spans="1:29" s="1336" customFormat="1" ht="27">
      <c r="A10" s="2878"/>
      <c r="B10" s="2883" t="s">
        <v>2762</v>
      </c>
      <c r="C10" s="859" t="s">
        <v>3080</v>
      </c>
      <c r="D10" s="255">
        <v>100</v>
      </c>
      <c r="E10" s="860" t="s">
        <v>3080</v>
      </c>
      <c r="F10" s="861">
        <f>SUMIF(65:65,E10,66:66)-SUMIF(65:65,C10,66:66)+100</f>
        <v>100</v>
      </c>
      <c r="G10" s="859" t="s">
        <v>3080</v>
      </c>
      <c r="H10" s="255">
        <f>SUMIF(65:65,G10,66:66)-SUMIF(65:65,C10,66:66)+100</f>
        <v>100</v>
      </c>
      <c r="I10" s="859" t="s">
        <v>3080</v>
      </c>
      <c r="J10" s="255">
        <f>SUMIF(65:65,I10,66:66)-SUMIF(65:65,C10,66:66)+100</f>
        <v>100</v>
      </c>
      <c r="K10" s="862"/>
      <c r="L10" s="2135"/>
      <c r="M10" s="2175"/>
      <c r="N10" s="2175"/>
      <c r="O10" s="2136"/>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75" thickBot="1">
      <c r="A11" s="2879"/>
      <c r="B11" s="2883" t="s">
        <v>2763</v>
      </c>
      <c r="C11" s="531">
        <f>'比较法-住宅、综合'!C13</f>
        <v>2.0699999999999998</v>
      </c>
      <c r="D11" s="255">
        <v>100</v>
      </c>
      <c r="E11" s="532">
        <v>1.99</v>
      </c>
      <c r="F11" s="861">
        <f>LOOKUP(E11,68:68,69:69)-LOOKUP(C11,68:68,69:69)+100</f>
        <v>101</v>
      </c>
      <c r="G11" s="531">
        <v>2.1</v>
      </c>
      <c r="H11" s="255">
        <f>LOOKUP(G11,68:68,69:69)-LOOKUP(C11,68:68,69:69)+100</f>
        <v>100</v>
      </c>
      <c r="I11" s="531">
        <v>2.59</v>
      </c>
      <c r="J11" s="255">
        <f>LOOKUP(I11,68:68,69:69)-LOOKUP(C11,68:68,69:69)+100</f>
        <v>100</v>
      </c>
      <c r="K11" s="862">
        <v>1</v>
      </c>
      <c r="L11" s="2137"/>
      <c r="M11" s="2131"/>
      <c r="N11" s="2131"/>
      <c r="O11" s="2138"/>
      <c r="P11" s="3287"/>
      <c r="Q11" s="1149" t="str">
        <f t="shared" si="6"/>
        <v>容积率</v>
      </c>
      <c r="R11" s="1566" t="s">
        <v>11</v>
      </c>
      <c r="S11" s="1567">
        <f t="shared" si="0"/>
        <v>101</v>
      </c>
      <c r="T11" s="1566" t="s">
        <v>11</v>
      </c>
      <c r="U11" s="1567">
        <f t="shared" si="1"/>
        <v>100</v>
      </c>
      <c r="V11" s="1566" t="s">
        <v>11</v>
      </c>
      <c r="W11" s="1567">
        <f t="shared" si="2"/>
        <v>100</v>
      </c>
      <c r="X11" s="1568"/>
      <c r="Y11" s="3244"/>
      <c r="Z11" s="1148" t="str">
        <f t="shared" si="7"/>
        <v>容积率</v>
      </c>
      <c r="AA11" s="1569">
        <f t="shared" si="3"/>
        <v>0.99009900990099009</v>
      </c>
      <c r="AB11" s="1569">
        <f t="shared" si="4"/>
        <v>1</v>
      </c>
      <c r="AC11" s="1569">
        <f t="shared" si="5"/>
        <v>1</v>
      </c>
    </row>
    <row r="12" spans="1:29" s="1218" customFormat="1" ht="15" hidden="1">
      <c r="A12" s="2880"/>
      <c r="B12" s="2886">
        <v>111</v>
      </c>
      <c r="C12" s="526"/>
      <c r="D12" s="536">
        <v>100</v>
      </c>
      <c r="E12" s="526"/>
      <c r="F12" s="861">
        <f>SUMIF(70:70,E12,71:71)-SUMIF(70:70,C12,71:71)+100</f>
        <v>100</v>
      </c>
      <c r="G12" s="526"/>
      <c r="H12" s="255">
        <f>SUMIF(70:70,G12,71:71)-SUMIF(70:70,C12,71:71)+100</f>
        <v>100</v>
      </c>
      <c r="I12" s="526"/>
      <c r="J12" s="255">
        <f>SUMIF(70:70,I12,71:71)-SUMIF(70:70,C12,71:71)+100</f>
        <v>100</v>
      </c>
      <c r="K12" s="863"/>
      <c r="L12" s="2132"/>
      <c r="M12" s="2133"/>
      <c r="N12" s="2133"/>
      <c r="O12" s="2134"/>
      <c r="P12" s="3287"/>
      <c r="Q12" s="1149">
        <f t="shared" si="6"/>
        <v>111</v>
      </c>
      <c r="R12" s="1566" t="s">
        <v>11</v>
      </c>
      <c r="S12" s="1567">
        <f t="shared" si="0"/>
        <v>100</v>
      </c>
      <c r="T12" s="1566" t="s">
        <v>11</v>
      </c>
      <c r="U12" s="1567">
        <f t="shared" si="1"/>
        <v>100</v>
      </c>
      <c r="V12" s="1566" t="s">
        <v>11</v>
      </c>
      <c r="W12" s="1567">
        <f t="shared" si="2"/>
        <v>100</v>
      </c>
      <c r="X12" s="1568"/>
      <c r="Y12" s="3244"/>
      <c r="Z12" s="1148">
        <f t="shared" si="7"/>
        <v>111</v>
      </c>
      <c r="AA12" s="1569">
        <f>D12/F12</f>
        <v>1</v>
      </c>
      <c r="AB12" s="1569">
        <f>D12/H12</f>
        <v>1</v>
      </c>
      <c r="AC12" s="1569">
        <f>D12/J12</f>
        <v>1</v>
      </c>
    </row>
    <row r="13" spans="1:29" ht="15" hidden="1">
      <c r="A13" s="2880"/>
      <c r="B13" s="2886">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287"/>
      <c r="Q13" s="1149">
        <f t="shared" si="6"/>
        <v>111</v>
      </c>
      <c r="R13" s="1566" t="s">
        <v>11</v>
      </c>
      <c r="S13" s="1567">
        <f t="shared" si="0"/>
        <v>100</v>
      </c>
      <c r="T13" s="1566" t="s">
        <v>11</v>
      </c>
      <c r="U13" s="1567">
        <f t="shared" si="1"/>
        <v>100</v>
      </c>
      <c r="V13" s="1566" t="s">
        <v>11</v>
      </c>
      <c r="W13" s="1567">
        <f t="shared" si="2"/>
        <v>100</v>
      </c>
      <c r="X13" s="1568"/>
      <c r="Y13" s="3244"/>
      <c r="Z13" s="1148">
        <f t="shared" si="7"/>
        <v>111</v>
      </c>
      <c r="AA13" s="1569">
        <f t="shared" si="3"/>
        <v>1</v>
      </c>
      <c r="AB13" s="1569">
        <f t="shared" si="4"/>
        <v>1</v>
      </c>
      <c r="AC13" s="1569">
        <f t="shared" si="5"/>
        <v>1</v>
      </c>
    </row>
    <row r="14" spans="1:29" ht="15.75" hidden="1" thickBot="1">
      <c r="A14" s="2881"/>
      <c r="B14" s="2887">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287"/>
      <c r="Q14" s="1149">
        <f t="shared" si="6"/>
        <v>111</v>
      </c>
      <c r="R14" s="1566" t="s">
        <v>11</v>
      </c>
      <c r="S14" s="1567">
        <f t="shared" si="0"/>
        <v>100</v>
      </c>
      <c r="T14" s="1566" t="s">
        <v>11</v>
      </c>
      <c r="U14" s="1567">
        <f t="shared" si="1"/>
        <v>100</v>
      </c>
      <c r="V14" s="1566" t="s">
        <v>11</v>
      </c>
      <c r="W14" s="1567">
        <f t="shared" si="2"/>
        <v>100</v>
      </c>
      <c r="X14" s="1568"/>
      <c r="Y14" s="3244"/>
      <c r="Z14" s="1148">
        <f t="shared" si="7"/>
        <v>111</v>
      </c>
      <c r="AA14" s="1569">
        <f t="shared" si="3"/>
        <v>1</v>
      </c>
      <c r="AB14" s="1569">
        <f t="shared" si="4"/>
        <v>1</v>
      </c>
      <c r="AC14" s="1569">
        <f t="shared" si="5"/>
        <v>1</v>
      </c>
    </row>
    <row r="15" spans="1:29" ht="99.75">
      <c r="A15" s="2873" t="s">
        <v>2759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97</v>
      </c>
      <c r="G15" s="550"/>
      <c r="H15" s="547">
        <f>SUMIF(76:76,G16,77:77)-SUMIF(76:76,C16,77:77)+100</f>
        <v>94</v>
      </c>
      <c r="I15" s="548"/>
      <c r="J15" s="547">
        <f>SUMIF(76:76,I16,77:77)-SUMIF(76:76,C16,77:77)+100</f>
        <v>97</v>
      </c>
      <c r="K15" s="866">
        <f>'比较法-住宅、综合'!K17</f>
        <v>3</v>
      </c>
      <c r="L15" s="2139"/>
      <c r="M15" s="2131"/>
      <c r="N15" s="2131"/>
      <c r="O15" s="2138"/>
      <c r="P15" s="3289" t="s">
        <v>541</v>
      </c>
      <c r="Q15" s="1570" t="str">
        <f t="shared" si="6"/>
        <v>居住社区成熟度</v>
      </c>
      <c r="R15" s="1571" t="s">
        <v>11</v>
      </c>
      <c r="S15" s="1572">
        <f t="shared" si="0"/>
        <v>97</v>
      </c>
      <c r="T15" s="1571" t="s">
        <v>11</v>
      </c>
      <c r="U15" s="1572">
        <f t="shared" si="1"/>
        <v>94</v>
      </c>
      <c r="V15" s="1571" t="s">
        <v>11</v>
      </c>
      <c r="W15" s="1572">
        <f t="shared" si="2"/>
        <v>97</v>
      </c>
      <c r="X15" s="1565"/>
      <c r="Y15" s="3289" t="s">
        <v>541</v>
      </c>
      <c r="Z15" s="1573" t="str">
        <f t="shared" si="7"/>
        <v>居住社区成熟度</v>
      </c>
      <c r="AA15" s="1574">
        <f t="shared" si="3"/>
        <v>1.0309278350515463</v>
      </c>
      <c r="AB15" s="1574">
        <f t="shared" si="4"/>
        <v>1.0638297872340425</v>
      </c>
      <c r="AC15" s="1574">
        <f t="shared" si="5"/>
        <v>1.0309278350515463</v>
      </c>
    </row>
    <row r="16" spans="1:29" ht="15">
      <c r="A16" s="530"/>
      <c r="B16" s="867"/>
      <c r="C16" s="574" t="s">
        <v>3040</v>
      </c>
      <c r="D16" s="553"/>
      <c r="E16" s="554" t="s">
        <v>3041</v>
      </c>
      <c r="F16" s="555"/>
      <c r="G16" s="556" t="s">
        <v>3042</v>
      </c>
      <c r="H16" s="557"/>
      <c r="I16" s="554" t="s">
        <v>3041</v>
      </c>
      <c r="J16" s="553"/>
      <c r="K16" s="868"/>
      <c r="L16" s="2139"/>
      <c r="M16" s="2131"/>
      <c r="N16" s="2131"/>
      <c r="O16" s="2138"/>
      <c r="P16" s="3290"/>
      <c r="Q16" s="1570"/>
      <c r="R16" s="1571"/>
      <c r="S16" s="1572"/>
      <c r="T16" s="1571"/>
      <c r="U16" s="1572"/>
      <c r="V16" s="1571"/>
      <c r="W16" s="1572"/>
      <c r="X16" s="1565"/>
      <c r="Y16" s="3290"/>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2</v>
      </c>
      <c r="L17" s="2139"/>
      <c r="M17" s="2131"/>
      <c r="N17" s="2131"/>
      <c r="O17" s="2138"/>
      <c r="P17" s="3290"/>
      <c r="Q17" s="1570" t="str">
        <f>B17</f>
        <v>交通便捷度</v>
      </c>
      <c r="R17" s="1571" t="s">
        <v>11</v>
      </c>
      <c r="S17" s="1572">
        <f>F17</f>
        <v>100</v>
      </c>
      <c r="T17" s="1571" t="s">
        <v>11</v>
      </c>
      <c r="U17" s="1572">
        <f>H17</f>
        <v>100</v>
      </c>
      <c r="V17" s="1571" t="s">
        <v>11</v>
      </c>
      <c r="W17" s="1572">
        <f>J17</f>
        <v>100</v>
      </c>
      <c r="X17" s="1565"/>
      <c r="Y17" s="3290"/>
      <c r="Z17" s="1573" t="str">
        <f>Q17</f>
        <v>交通便捷度</v>
      </c>
      <c r="AA17" s="1574">
        <f t="shared" si="3"/>
        <v>1</v>
      </c>
      <c r="AB17" s="1574">
        <f t="shared" si="4"/>
        <v>1</v>
      </c>
      <c r="AC17" s="1574">
        <f t="shared" si="5"/>
        <v>1</v>
      </c>
    </row>
    <row r="18" spans="1:29" ht="15">
      <c r="A18" s="530"/>
      <c r="B18" s="593"/>
      <c r="C18" s="871" t="s">
        <v>3040</v>
      </c>
      <c r="D18" s="557"/>
      <c r="E18" s="566" t="s">
        <v>3040</v>
      </c>
      <c r="F18" s="561"/>
      <c r="G18" s="567" t="s">
        <v>3040</v>
      </c>
      <c r="H18" s="553"/>
      <c r="I18" s="566" t="s">
        <v>3040</v>
      </c>
      <c r="J18" s="553"/>
      <c r="K18" s="868"/>
      <c r="L18" s="2139"/>
      <c r="M18" s="2131"/>
      <c r="N18" s="2131"/>
      <c r="O18" s="2138"/>
      <c r="P18" s="3290"/>
      <c r="Q18" s="1570"/>
      <c r="R18" s="1571"/>
      <c r="S18" s="1572"/>
      <c r="T18" s="1571"/>
      <c r="U18" s="1572"/>
      <c r="V18" s="1571"/>
      <c r="W18" s="1572"/>
      <c r="X18" s="1565"/>
      <c r="Y18" s="3290"/>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98</v>
      </c>
      <c r="G19" s="570"/>
      <c r="H19" s="557">
        <f>SUMIF(80:80,G20,81:81)-SUMIF(80:80,C20,81:81)+100</f>
        <v>96</v>
      </c>
      <c r="I19" s="568"/>
      <c r="J19" s="557">
        <f>SUMIF(80:80,I20,81:81)-SUMIF(80:80,C20,81:81)+100</f>
        <v>98</v>
      </c>
      <c r="K19" s="866">
        <f>'比较法-住宅、综合'!K29</f>
        <v>2</v>
      </c>
      <c r="L19" s="2139"/>
      <c r="M19" s="2131"/>
      <c r="N19" s="2131"/>
      <c r="O19" s="2138"/>
      <c r="P19" s="3290"/>
      <c r="Q19" s="1570" t="str">
        <f>B19</f>
        <v>公共配套设施</v>
      </c>
      <c r="R19" s="1571" t="s">
        <v>11</v>
      </c>
      <c r="S19" s="1572">
        <f>F19</f>
        <v>98</v>
      </c>
      <c r="T19" s="1571" t="s">
        <v>11</v>
      </c>
      <c r="U19" s="1572">
        <f>H19</f>
        <v>96</v>
      </c>
      <c r="V19" s="1571" t="s">
        <v>11</v>
      </c>
      <c r="W19" s="1572">
        <f>J19</f>
        <v>98</v>
      </c>
      <c r="X19" s="1565"/>
      <c r="Y19" s="3290"/>
      <c r="Z19" s="1573" t="str">
        <f>Q19</f>
        <v>公共配套设施</v>
      </c>
      <c r="AA19" s="1574">
        <f t="shared" si="3"/>
        <v>1.0204081632653061</v>
      </c>
      <c r="AB19" s="1574">
        <f t="shared" si="4"/>
        <v>1.0416666666666667</v>
      </c>
      <c r="AC19" s="1574">
        <f t="shared" si="5"/>
        <v>1.0204081632653061</v>
      </c>
    </row>
    <row r="20" spans="1:29" ht="15">
      <c r="A20" s="530"/>
      <c r="B20" s="593"/>
      <c r="C20" s="574" t="s">
        <v>3040</v>
      </c>
      <c r="D20" s="553"/>
      <c r="E20" s="554" t="s">
        <v>3041</v>
      </c>
      <c r="F20" s="555"/>
      <c r="G20" s="556" t="s">
        <v>3042</v>
      </c>
      <c r="H20" s="553"/>
      <c r="I20" s="554" t="s">
        <v>3041</v>
      </c>
      <c r="J20" s="553"/>
      <c r="K20" s="868"/>
      <c r="L20" s="2139"/>
      <c r="M20" s="2131"/>
      <c r="N20" s="2131"/>
      <c r="O20" s="2138"/>
      <c r="P20" s="3290"/>
      <c r="Q20" s="1570"/>
      <c r="R20" s="1571"/>
      <c r="S20" s="1572"/>
      <c r="T20" s="1571"/>
      <c r="U20" s="1572"/>
      <c r="V20" s="1571"/>
      <c r="W20" s="1572"/>
      <c r="X20" s="1565"/>
      <c r="Y20" s="3290"/>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39"/>
      <c r="M21" s="2131"/>
      <c r="N21" s="2131"/>
      <c r="O21" s="2138"/>
      <c r="P21" s="3290"/>
      <c r="Q21" s="2597" t="str">
        <f>B21</f>
        <v>基础设施水平</v>
      </c>
      <c r="R21" s="1571" t="s">
        <v>11</v>
      </c>
      <c r="S21" s="1572">
        <f>F21</f>
        <v>100</v>
      </c>
      <c r="T21" s="1571" t="s">
        <v>11</v>
      </c>
      <c r="U21" s="1572">
        <f>H21</f>
        <v>100</v>
      </c>
      <c r="V21" s="1571" t="s">
        <v>11</v>
      </c>
      <c r="W21" s="1572">
        <f>J21</f>
        <v>100</v>
      </c>
      <c r="X21" s="2599"/>
      <c r="Y21" s="3290"/>
      <c r="Z21" s="2598" t="str">
        <f>Q21</f>
        <v>基础设施水平</v>
      </c>
      <c r="AA21" s="1574">
        <f t="shared" ref="AA21" si="8">D21/F21</f>
        <v>1</v>
      </c>
      <c r="AB21" s="1574">
        <f t="shared" ref="AB21" si="9">D21/H21</f>
        <v>1</v>
      </c>
      <c r="AC21" s="1574">
        <f t="shared" ref="AC21" si="10">D21/J21</f>
        <v>1</v>
      </c>
    </row>
    <row r="22" spans="1:29" ht="15">
      <c r="A22" s="530"/>
      <c r="B22" s="920"/>
      <c r="C22" s="871" t="s">
        <v>3043</v>
      </c>
      <c r="D22" s="553"/>
      <c r="E22" s="574" t="s">
        <v>3043</v>
      </c>
      <c r="F22" s="555"/>
      <c r="G22" s="574" t="s">
        <v>3043</v>
      </c>
      <c r="H22" s="553"/>
      <c r="I22" s="574" t="s">
        <v>3043</v>
      </c>
      <c r="J22" s="553"/>
      <c r="K22" s="2617"/>
      <c r="L22" s="2139"/>
      <c r="M22" s="2131"/>
      <c r="N22" s="2131"/>
      <c r="O22" s="2138"/>
      <c r="P22" s="3290"/>
      <c r="Q22" s="2597"/>
      <c r="R22" s="1571"/>
      <c r="S22" s="1572"/>
      <c r="T22" s="1571"/>
      <c r="U22" s="1572"/>
      <c r="V22" s="1571"/>
      <c r="W22" s="1572"/>
      <c r="X22" s="2599"/>
      <c r="Y22" s="3290"/>
      <c r="Z22" s="2598"/>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97</v>
      </c>
      <c r="G23" s="562"/>
      <c r="H23" s="557">
        <f>SUMIF(84:84,G24,85:85)-SUMIF(84:84,C24,85:85)+100</f>
        <v>94</v>
      </c>
      <c r="I23" s="560"/>
      <c r="J23" s="557">
        <f>SUMIF(84:84,I24,85:85)-SUMIF(84:84,C24,85:85)+100</f>
        <v>97</v>
      </c>
      <c r="K23" s="866">
        <f>'比较法-住宅、综合'!K27</f>
        <v>3</v>
      </c>
      <c r="L23" s="2139"/>
      <c r="M23" s="2131"/>
      <c r="N23" s="2131"/>
      <c r="O23" s="2138"/>
      <c r="P23" s="3290"/>
      <c r="Q23" s="1570" t="str">
        <f>B23</f>
        <v>自然及人文环境</v>
      </c>
      <c r="R23" s="1571" t="s">
        <v>11</v>
      </c>
      <c r="S23" s="1572">
        <f>F23</f>
        <v>97</v>
      </c>
      <c r="T23" s="1571" t="s">
        <v>11</v>
      </c>
      <c r="U23" s="1572">
        <f>H23</f>
        <v>94</v>
      </c>
      <c r="V23" s="1571" t="s">
        <v>11</v>
      </c>
      <c r="W23" s="1572">
        <f>J23</f>
        <v>97</v>
      </c>
      <c r="X23" s="1565"/>
      <c r="Y23" s="3290"/>
      <c r="Z23" s="1573" t="str">
        <f>Q23</f>
        <v>自然及人文环境</v>
      </c>
      <c r="AA23" s="1574">
        <f t="shared" si="3"/>
        <v>1.0309278350515463</v>
      </c>
      <c r="AB23" s="1574">
        <f t="shared" si="4"/>
        <v>1.0638297872340425</v>
      </c>
      <c r="AC23" s="1574">
        <f t="shared" si="5"/>
        <v>1.0309278350515463</v>
      </c>
    </row>
    <row r="24" spans="1:29" ht="15">
      <c r="A24" s="530"/>
      <c r="B24" s="593"/>
      <c r="C24" s="574" t="s">
        <v>3040</v>
      </c>
      <c r="D24" s="553"/>
      <c r="E24" s="554" t="s">
        <v>3041</v>
      </c>
      <c r="F24" s="555"/>
      <c r="G24" s="556" t="s">
        <v>3042</v>
      </c>
      <c r="H24" s="553"/>
      <c r="I24" s="554" t="s">
        <v>3041</v>
      </c>
      <c r="J24" s="553"/>
      <c r="K24" s="868"/>
      <c r="L24" s="2139"/>
      <c r="M24" s="2131"/>
      <c r="N24" s="2131"/>
      <c r="O24" s="2138"/>
      <c r="P24" s="3290"/>
      <c r="Q24" s="1570"/>
      <c r="R24" s="1571"/>
      <c r="S24" s="1572"/>
      <c r="T24" s="1571"/>
      <c r="U24" s="1572"/>
      <c r="V24" s="1571"/>
      <c r="W24" s="1572"/>
      <c r="X24" s="1565"/>
      <c r="Y24" s="3290"/>
      <c r="Z24" s="1573"/>
      <c r="AA24" s="1574">
        <v>1</v>
      </c>
      <c r="AB24" s="1574">
        <v>1</v>
      </c>
      <c r="AC24" s="1574">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290"/>
      <c r="Q25" s="1570" t="str">
        <f t="shared" ref="Q25:Q46" si="11">B25</f>
        <v>楼层-1</v>
      </c>
      <c r="R25" s="1571" t="s">
        <v>11</v>
      </c>
      <c r="S25" s="1572">
        <f>F25</f>
        <v>100</v>
      </c>
      <c r="T25" s="1571" t="s">
        <v>11</v>
      </c>
      <c r="U25" s="1572">
        <f>H25</f>
        <v>100</v>
      </c>
      <c r="V25" s="1571" t="s">
        <v>11</v>
      </c>
      <c r="W25" s="1572">
        <f>J25</f>
        <v>100</v>
      </c>
      <c r="X25" s="1565"/>
      <c r="Y25" s="3290"/>
      <c r="Z25" s="1573" t="str">
        <f>Q25</f>
        <v>楼层-1</v>
      </c>
      <c r="AA25" s="1574">
        <f t="shared" si="3"/>
        <v>1</v>
      </c>
      <c r="AB25" s="1574">
        <f t="shared" si="4"/>
        <v>1</v>
      </c>
      <c r="AC25" s="1574">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290"/>
      <c r="Q26" s="1570" t="str">
        <f t="shared" si="11"/>
        <v>朝向</v>
      </c>
      <c r="R26" s="1571" t="s">
        <v>11</v>
      </c>
      <c r="S26" s="1572">
        <f>F26</f>
        <v>100</v>
      </c>
      <c r="T26" s="1571" t="s">
        <v>11</v>
      </c>
      <c r="U26" s="1572">
        <f>H26</f>
        <v>100</v>
      </c>
      <c r="V26" s="1571" t="s">
        <v>11</v>
      </c>
      <c r="W26" s="1572">
        <f>J26</f>
        <v>100</v>
      </c>
      <c r="X26" s="1565"/>
      <c r="Y26" s="3290"/>
      <c r="Z26" s="1573" t="str">
        <f>Q26</f>
        <v>朝向</v>
      </c>
      <c r="AA26" s="1574">
        <f t="shared" si="3"/>
        <v>1</v>
      </c>
      <c r="AB26" s="1574">
        <f t="shared" si="4"/>
        <v>1</v>
      </c>
      <c r="AC26" s="1574">
        <f t="shared" si="5"/>
        <v>1</v>
      </c>
    </row>
    <row r="27" spans="1:29" s="1218" customFormat="1" ht="15.75" thickBot="1">
      <c r="A27" s="534"/>
      <c r="B27" s="535" t="s">
        <v>725</v>
      </c>
      <c r="C27" s="3415" t="s">
        <v>3081</v>
      </c>
      <c r="D27" s="873">
        <v>100</v>
      </c>
      <c r="E27" s="3416" t="s">
        <v>3082</v>
      </c>
      <c r="F27" s="874">
        <f>SUMIF(90:90,E27,91:91)-SUMIF(90:90,C27,91:91)+100</f>
        <v>99</v>
      </c>
      <c r="G27" s="3417" t="s">
        <v>3083</v>
      </c>
      <c r="H27" s="873">
        <f>SUMIF(90:90,G27,91:91)-SUMIF(90:90,C27,91:91)+100</f>
        <v>101</v>
      </c>
      <c r="I27" s="3416" t="s">
        <v>3081</v>
      </c>
      <c r="J27" s="873">
        <f>SUMIF(90:90,I27,91:91)-SUMIF(90:90,C27,91:91)+100</f>
        <v>100</v>
      </c>
      <c r="K27" s="863"/>
      <c r="L27" s="2132"/>
      <c r="M27" s="2133"/>
      <c r="N27" s="2133"/>
      <c r="O27" s="2134"/>
      <c r="P27" s="3290"/>
      <c r="Q27" s="1149" t="str">
        <f t="shared" si="11"/>
        <v>道路级别</v>
      </c>
      <c r="R27" s="1566" t="s">
        <v>11</v>
      </c>
      <c r="S27" s="1567">
        <f>F27</f>
        <v>99</v>
      </c>
      <c r="T27" s="1566" t="s">
        <v>11</v>
      </c>
      <c r="U27" s="1567">
        <f>H27</f>
        <v>101</v>
      </c>
      <c r="V27" s="1566" t="s">
        <v>11</v>
      </c>
      <c r="W27" s="1567">
        <f>J27</f>
        <v>100</v>
      </c>
      <c r="X27" s="1568"/>
      <c r="Y27" s="3290"/>
      <c r="Z27" s="1148" t="str">
        <f>Q27</f>
        <v>道路级别</v>
      </c>
      <c r="AA27" s="1574">
        <f>D27/F27</f>
        <v>1.0101010101010102</v>
      </c>
      <c r="AB27" s="1574">
        <f>D27/H27</f>
        <v>0.99009900990099009</v>
      </c>
      <c r="AC27" s="1574">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290"/>
      <c r="Q28" s="1570">
        <f t="shared" si="11"/>
        <v>111</v>
      </c>
      <c r="R28" s="1571" t="s">
        <v>11</v>
      </c>
      <c r="S28" s="1572">
        <f t="shared" ref="S28:S46" si="12">F28</f>
        <v>100</v>
      </c>
      <c r="T28" s="1571" t="s">
        <v>11</v>
      </c>
      <c r="U28" s="1572">
        <f t="shared" ref="U28:U46" si="13">H28</f>
        <v>100</v>
      </c>
      <c r="V28" s="1571" t="s">
        <v>11</v>
      </c>
      <c r="W28" s="1572">
        <f t="shared" ref="W28:W46" si="14">J28</f>
        <v>100</v>
      </c>
      <c r="X28" s="1565"/>
      <c r="Y28" s="3290"/>
      <c r="Z28" s="1573">
        <f t="shared" ref="Z28:Z46" si="15">Q28</f>
        <v>111</v>
      </c>
      <c r="AA28" s="1574">
        <f t="shared" si="3"/>
        <v>1</v>
      </c>
      <c r="AB28" s="1574">
        <f t="shared" si="4"/>
        <v>1</v>
      </c>
      <c r="AC28" s="1574">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290"/>
      <c r="Q29" s="1570">
        <f t="shared" si="11"/>
        <v>111</v>
      </c>
      <c r="R29" s="1571" t="s">
        <v>11</v>
      </c>
      <c r="S29" s="1572">
        <f t="shared" si="12"/>
        <v>100</v>
      </c>
      <c r="T29" s="1571" t="s">
        <v>11</v>
      </c>
      <c r="U29" s="1572">
        <f t="shared" si="13"/>
        <v>100</v>
      </c>
      <c r="V29" s="1571" t="s">
        <v>11</v>
      </c>
      <c r="W29" s="1572">
        <f t="shared" si="14"/>
        <v>100</v>
      </c>
      <c r="X29" s="1565"/>
      <c r="Y29" s="3290"/>
      <c r="Z29" s="1573">
        <f t="shared" si="15"/>
        <v>111</v>
      </c>
      <c r="AA29" s="1574">
        <f t="shared" si="3"/>
        <v>1</v>
      </c>
      <c r="AB29" s="1574">
        <f t="shared" si="4"/>
        <v>1</v>
      </c>
      <c r="AC29" s="1574">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290"/>
      <c r="Q30" s="1570">
        <f t="shared" si="11"/>
        <v>111</v>
      </c>
      <c r="R30" s="1571" t="s">
        <v>11</v>
      </c>
      <c r="S30" s="1572">
        <f t="shared" si="12"/>
        <v>100</v>
      </c>
      <c r="T30" s="1571" t="s">
        <v>11</v>
      </c>
      <c r="U30" s="1572">
        <f t="shared" si="13"/>
        <v>100</v>
      </c>
      <c r="V30" s="1571" t="s">
        <v>11</v>
      </c>
      <c r="W30" s="1572">
        <f t="shared" si="14"/>
        <v>100</v>
      </c>
      <c r="X30" s="1565"/>
      <c r="Y30" s="3290"/>
      <c r="Z30" s="1573">
        <f t="shared" si="15"/>
        <v>111</v>
      </c>
      <c r="AA30" s="1574">
        <f t="shared" si="3"/>
        <v>1</v>
      </c>
      <c r="AB30" s="1574">
        <f t="shared" si="4"/>
        <v>1</v>
      </c>
      <c r="AC30" s="157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290"/>
      <c r="Q31" s="1570">
        <f t="shared" si="11"/>
        <v>111</v>
      </c>
      <c r="R31" s="1571" t="s">
        <v>11</v>
      </c>
      <c r="S31" s="1572">
        <f t="shared" si="12"/>
        <v>100</v>
      </c>
      <c r="T31" s="1571" t="s">
        <v>11</v>
      </c>
      <c r="U31" s="1572">
        <f t="shared" si="13"/>
        <v>100</v>
      </c>
      <c r="V31" s="1571" t="s">
        <v>11</v>
      </c>
      <c r="W31" s="1572">
        <f t="shared" si="14"/>
        <v>100</v>
      </c>
      <c r="X31" s="1565"/>
      <c r="Y31" s="3290"/>
      <c r="Z31" s="1573">
        <f t="shared" si="15"/>
        <v>111</v>
      </c>
      <c r="AA31" s="1574">
        <f t="shared" si="3"/>
        <v>1</v>
      </c>
      <c r="AB31" s="1574">
        <f t="shared" si="4"/>
        <v>1</v>
      </c>
      <c r="AC31" s="1574">
        <f t="shared" si="5"/>
        <v>1</v>
      </c>
    </row>
    <row r="32" spans="1:29" ht="15">
      <c r="A32" s="2870" t="s">
        <v>2760</v>
      </c>
      <c r="B32" s="172" t="s">
        <v>726</v>
      </c>
      <c r="C32" s="876" t="s">
        <v>3093</v>
      </c>
      <c r="D32" s="595">
        <v>100</v>
      </c>
      <c r="E32" s="877" t="s">
        <v>3093</v>
      </c>
      <c r="F32" s="573">
        <f>SUMIF(100:100,E32,101:101)-SUMIF(100:100,C32,101:101)+100</f>
        <v>100</v>
      </c>
      <c r="G32" s="876" t="s">
        <v>3093</v>
      </c>
      <c r="H32" s="595">
        <f>SUMIF(100:100,G32,101:101)-SUMIF(100:100,C32,101:101)+100</f>
        <v>100</v>
      </c>
      <c r="I32" s="877" t="s">
        <v>3093</v>
      </c>
      <c r="J32" s="538">
        <f>SUMIF(100:100,I32,101:101)-SUMIF(100:100,C32,101:101)+100</f>
        <v>100</v>
      </c>
      <c r="K32" s="862"/>
      <c r="L32" s="2139"/>
      <c r="M32" s="2131"/>
      <c r="N32" s="2131"/>
      <c r="O32" s="2138"/>
      <c r="P32" s="3291" t="s">
        <v>551</v>
      </c>
      <c r="Q32" s="1570" t="str">
        <f t="shared" si="11"/>
        <v>建筑类型</v>
      </c>
      <c r="R32" s="1571" t="s">
        <v>11</v>
      </c>
      <c r="S32" s="1572">
        <f t="shared" si="12"/>
        <v>100</v>
      </c>
      <c r="T32" s="1571" t="s">
        <v>11</v>
      </c>
      <c r="U32" s="1572">
        <f t="shared" si="13"/>
        <v>100</v>
      </c>
      <c r="V32" s="1571" t="s">
        <v>11</v>
      </c>
      <c r="W32" s="1572">
        <f t="shared" si="14"/>
        <v>100</v>
      </c>
      <c r="X32" s="1565"/>
      <c r="Y32" s="3292" t="s">
        <v>551</v>
      </c>
      <c r="Z32" s="1573" t="str">
        <f t="shared" si="15"/>
        <v>建筑类型</v>
      </c>
      <c r="AA32" s="1574">
        <f t="shared" si="3"/>
        <v>1</v>
      </c>
      <c r="AB32" s="1574">
        <f t="shared" si="4"/>
        <v>1</v>
      </c>
      <c r="AC32" s="1574">
        <f t="shared" si="5"/>
        <v>1</v>
      </c>
    </row>
    <row r="33" spans="1:29" s="1337" customFormat="1" ht="15">
      <c r="A33" s="601"/>
      <c r="B33" s="525" t="s">
        <v>727</v>
      </c>
      <c r="C33" s="878">
        <f>'数据-汇总表'!E3</f>
        <v>537479.47</v>
      </c>
      <c r="D33" s="255">
        <v>100</v>
      </c>
      <c r="E33" s="532">
        <v>323610</v>
      </c>
      <c r="F33" s="861">
        <f>LOOKUP(E33,103:103,104:104)-LOOKUP(C33,103:103,104:104)+100</f>
        <v>99</v>
      </c>
      <c r="G33" s="531">
        <v>5618437</v>
      </c>
      <c r="H33" s="255">
        <f>LOOKUP(G33,103:103,104:104)-LOOKUP(C33,103:103,104:104)+100</f>
        <v>100</v>
      </c>
      <c r="I33" s="532">
        <v>367715</v>
      </c>
      <c r="J33" s="255">
        <f>LOOKUP(I33,103:103,104:104)-LOOKUP(C33,103:103,104:104)+100</f>
        <v>99</v>
      </c>
      <c r="K33" s="863"/>
      <c r="L33" s="2137"/>
      <c r="M33" s="2168"/>
      <c r="N33" s="2168"/>
      <c r="O33" s="2140"/>
      <c r="P33" s="3292"/>
      <c r="Q33" s="1603" t="str">
        <f t="shared" si="11"/>
        <v>项目建筑规模</v>
      </c>
      <c r="R33" s="1575" t="s">
        <v>11</v>
      </c>
      <c r="S33" s="1576">
        <f t="shared" si="12"/>
        <v>99</v>
      </c>
      <c r="T33" s="1575" t="s">
        <v>11</v>
      </c>
      <c r="U33" s="1576">
        <f t="shared" si="13"/>
        <v>100</v>
      </c>
      <c r="V33" s="1575" t="s">
        <v>11</v>
      </c>
      <c r="W33" s="1576">
        <f t="shared" si="14"/>
        <v>99</v>
      </c>
      <c r="X33" s="1577"/>
      <c r="Y33" s="3292"/>
      <c r="Z33" s="1578" t="str">
        <f t="shared" si="15"/>
        <v>项目建筑规模</v>
      </c>
      <c r="AA33" s="1574">
        <f t="shared" si="3"/>
        <v>1.0101010101010102</v>
      </c>
      <c r="AB33" s="1574">
        <f t="shared" si="4"/>
        <v>1</v>
      </c>
      <c r="AC33" s="1574">
        <f t="shared" si="5"/>
        <v>1.0101010101010102</v>
      </c>
    </row>
    <row r="34" spans="1:29" ht="15">
      <c r="A34" s="592"/>
      <c r="B34" s="525" t="s">
        <v>728</v>
      </c>
      <c r="C34" s="879" t="s">
        <v>3115</v>
      </c>
      <c r="D34" s="538">
        <v>100</v>
      </c>
      <c r="E34" s="880" t="s">
        <v>3115</v>
      </c>
      <c r="F34" s="573">
        <f>SUMIF(105:105,E34,106:106)-SUMIF(105:105,C34,106:106)+100</f>
        <v>100</v>
      </c>
      <c r="G34" s="879" t="s">
        <v>3115</v>
      </c>
      <c r="H34" s="538">
        <f>SUMIF(105:105,G34,106:106)-SUMIF(105:105,C34,106:106)+100</f>
        <v>100</v>
      </c>
      <c r="I34" s="880" t="s">
        <v>3115</v>
      </c>
      <c r="J34" s="538">
        <f>SUMIF(105:105,I34,106:106)-SUMIF(105:105,C34,106:106)+100</f>
        <v>100</v>
      </c>
      <c r="K34" s="862"/>
      <c r="L34" s="2139"/>
      <c r="M34" s="2131"/>
      <c r="N34" s="2131"/>
      <c r="O34" s="2138"/>
      <c r="P34" s="3292"/>
      <c r="Q34" s="1570" t="str">
        <f t="shared" si="11"/>
        <v>建筑结构</v>
      </c>
      <c r="R34" s="1571" t="s">
        <v>11</v>
      </c>
      <c r="S34" s="1572">
        <f t="shared" si="12"/>
        <v>100</v>
      </c>
      <c r="T34" s="1571" t="s">
        <v>11</v>
      </c>
      <c r="U34" s="1572">
        <f t="shared" si="13"/>
        <v>100</v>
      </c>
      <c r="V34" s="1571" t="s">
        <v>11</v>
      </c>
      <c r="W34" s="1572">
        <f t="shared" si="14"/>
        <v>100</v>
      </c>
      <c r="X34" s="1565"/>
      <c r="Y34" s="3292"/>
      <c r="Z34" s="1573" t="str">
        <f t="shared" si="15"/>
        <v>建筑结构</v>
      </c>
      <c r="AA34" s="1574">
        <f t="shared" si="3"/>
        <v>1</v>
      </c>
      <c r="AB34" s="1574">
        <f t="shared" si="4"/>
        <v>1</v>
      </c>
      <c r="AC34" s="1574">
        <f t="shared" si="5"/>
        <v>1</v>
      </c>
    </row>
    <row r="35" spans="1:29" ht="15">
      <c r="A35" s="592"/>
      <c r="B35" s="525" t="s">
        <v>729</v>
      </c>
      <c r="C35" s="597" t="s">
        <v>3116</v>
      </c>
      <c r="D35" s="538">
        <v>100</v>
      </c>
      <c r="E35" s="872" t="s">
        <v>3116</v>
      </c>
      <c r="F35" s="573">
        <f>SUMIF(107:107,E35,108:108)-SUMIF(107:107,C35,108:108)+100</f>
        <v>100</v>
      </c>
      <c r="G35" s="597" t="s">
        <v>3116</v>
      </c>
      <c r="H35" s="538">
        <f>SUMIF(107:107,G35,108:108)-SUMIF(107:107,C35,108:108)+100</f>
        <v>100</v>
      </c>
      <c r="I35" s="872" t="s">
        <v>3116</v>
      </c>
      <c r="J35" s="538">
        <f>SUMIF(107:107,I35,108:108)-SUMIF(107:107,C35,108:108)+100</f>
        <v>100</v>
      </c>
      <c r="K35" s="862"/>
      <c r="L35" s="2139"/>
      <c r="M35" s="2131"/>
      <c r="N35" s="2131"/>
      <c r="O35" s="2138"/>
      <c r="P35" s="3292"/>
      <c r="Q35" s="1570" t="str">
        <f t="shared" si="11"/>
        <v>建筑品质</v>
      </c>
      <c r="R35" s="1571" t="s">
        <v>11</v>
      </c>
      <c r="S35" s="1572">
        <f t="shared" si="12"/>
        <v>100</v>
      </c>
      <c r="T35" s="1571" t="s">
        <v>11</v>
      </c>
      <c r="U35" s="1572">
        <f t="shared" si="13"/>
        <v>100</v>
      </c>
      <c r="V35" s="1571" t="s">
        <v>11</v>
      </c>
      <c r="W35" s="1572">
        <f t="shared" si="14"/>
        <v>100</v>
      </c>
      <c r="X35" s="1565"/>
      <c r="Y35" s="3292"/>
      <c r="Z35" s="1573" t="str">
        <f t="shared" si="15"/>
        <v>建筑品质</v>
      </c>
      <c r="AA35" s="1574">
        <f t="shared" si="3"/>
        <v>1</v>
      </c>
      <c r="AB35" s="1574">
        <f t="shared" si="4"/>
        <v>1</v>
      </c>
      <c r="AC35" s="1574">
        <f t="shared" si="5"/>
        <v>1</v>
      </c>
    </row>
    <row r="36" spans="1:29" ht="15">
      <c r="A36" s="592"/>
      <c r="B36" s="525" t="s">
        <v>730</v>
      </c>
      <c r="C36" s="597" t="s">
        <v>3117</v>
      </c>
      <c r="D36" s="538">
        <v>100</v>
      </c>
      <c r="E36" s="872" t="s">
        <v>3117</v>
      </c>
      <c r="F36" s="573">
        <f>SUMIF(109:109,E36,110:110)-SUMIF(109:109,C36,110:110)+100</f>
        <v>100</v>
      </c>
      <c r="G36" s="597" t="s">
        <v>3117</v>
      </c>
      <c r="H36" s="538">
        <f>SUMIF(109:109,G36,110:110)-SUMIF(109:109,C36,110:110)+100</f>
        <v>100</v>
      </c>
      <c r="I36" s="872" t="s">
        <v>3117</v>
      </c>
      <c r="J36" s="538">
        <f>SUMIF(109:109,I36,110:110)-SUMIF(109:109,C36,110:110)+100</f>
        <v>100</v>
      </c>
      <c r="K36" s="862"/>
      <c r="L36" s="2139"/>
      <c r="M36" s="2131"/>
      <c r="N36" s="2131"/>
      <c r="O36" s="2138"/>
      <c r="P36" s="3292"/>
      <c r="Q36" s="1570" t="str">
        <f t="shared" si="11"/>
        <v>公共部分装修</v>
      </c>
      <c r="R36" s="1571" t="s">
        <v>11</v>
      </c>
      <c r="S36" s="1572">
        <f t="shared" si="12"/>
        <v>100</v>
      </c>
      <c r="T36" s="1571" t="s">
        <v>11</v>
      </c>
      <c r="U36" s="1572">
        <f t="shared" si="13"/>
        <v>100</v>
      </c>
      <c r="V36" s="1571" t="s">
        <v>11</v>
      </c>
      <c r="W36" s="1572">
        <f t="shared" si="14"/>
        <v>100</v>
      </c>
      <c r="X36" s="1565"/>
      <c r="Y36" s="3292"/>
      <c r="Z36" s="1573" t="str">
        <f t="shared" si="15"/>
        <v>公共部分装修</v>
      </c>
      <c r="AA36" s="1574">
        <f t="shared" si="3"/>
        <v>1</v>
      </c>
      <c r="AB36" s="1574">
        <f t="shared" si="4"/>
        <v>1</v>
      </c>
      <c r="AC36" s="1574">
        <f t="shared" si="5"/>
        <v>1</v>
      </c>
    </row>
    <row r="37" spans="1:29" s="1218" customFormat="1" ht="15">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2"/>
      <c r="M37" s="2133"/>
      <c r="N37" s="2133"/>
      <c r="O37" s="2134"/>
      <c r="P37" s="3292"/>
      <c r="Q37" s="1149" t="str">
        <f t="shared" si="11"/>
        <v>成新度</v>
      </c>
      <c r="R37" s="1566" t="s">
        <v>11</v>
      </c>
      <c r="S37" s="1567">
        <f t="shared" si="12"/>
        <v>100</v>
      </c>
      <c r="T37" s="1566" t="s">
        <v>11</v>
      </c>
      <c r="U37" s="1567">
        <f t="shared" si="13"/>
        <v>100</v>
      </c>
      <c r="V37" s="1566" t="s">
        <v>11</v>
      </c>
      <c r="W37" s="1567">
        <f t="shared" si="14"/>
        <v>100</v>
      </c>
      <c r="X37" s="1568"/>
      <c r="Y37" s="3292"/>
      <c r="Z37" s="1148" t="str">
        <f t="shared" si="15"/>
        <v>成新度</v>
      </c>
      <c r="AA37" s="1569">
        <f t="shared" si="3"/>
        <v>1</v>
      </c>
      <c r="AB37" s="1569">
        <f t="shared" si="4"/>
        <v>1</v>
      </c>
      <c r="AC37" s="1569">
        <f t="shared" si="5"/>
        <v>1</v>
      </c>
    </row>
    <row r="38" spans="1:29" ht="15">
      <c r="A38" s="592"/>
      <c r="B38" s="525" t="s">
        <v>732</v>
      </c>
      <c r="C38" s="597" t="s">
        <v>3118</v>
      </c>
      <c r="D38" s="538">
        <v>100</v>
      </c>
      <c r="E38" s="872" t="s">
        <v>3118</v>
      </c>
      <c r="F38" s="573">
        <f>SUMIF(114:114,E38,115:115)-SUMIF(114:114,C38,115:115)+100</f>
        <v>100</v>
      </c>
      <c r="G38" s="597" t="s">
        <v>3118</v>
      </c>
      <c r="H38" s="538">
        <f>SUMIF(114:114,G38,115:115)-SUMIF(114:114,C38,115:115)+100</f>
        <v>100</v>
      </c>
      <c r="I38" s="872" t="s">
        <v>3118</v>
      </c>
      <c r="J38" s="538">
        <f>SUMIF(114:114,I38,115:115)-SUMIF(114:114,C38,115:115)+100</f>
        <v>100</v>
      </c>
      <c r="K38" s="862"/>
      <c r="L38" s="2139"/>
      <c r="M38" s="2131"/>
      <c r="N38" s="2131"/>
      <c r="O38" s="2138"/>
      <c r="P38" s="3292" t="s">
        <v>551</v>
      </c>
      <c r="Q38" s="1570" t="str">
        <f t="shared" si="11"/>
        <v>物业管理</v>
      </c>
      <c r="R38" s="1571" t="s">
        <v>11</v>
      </c>
      <c r="S38" s="1572">
        <f t="shared" si="12"/>
        <v>100</v>
      </c>
      <c r="T38" s="1571" t="s">
        <v>11</v>
      </c>
      <c r="U38" s="1572">
        <f t="shared" si="13"/>
        <v>100</v>
      </c>
      <c r="V38" s="1571" t="s">
        <v>11</v>
      </c>
      <c r="W38" s="1572">
        <f t="shared" si="14"/>
        <v>100</v>
      </c>
      <c r="X38" s="1565"/>
      <c r="Y38" s="3292" t="s">
        <v>551</v>
      </c>
      <c r="Z38" s="1573" t="str">
        <f t="shared" si="15"/>
        <v>物业管理</v>
      </c>
      <c r="AA38" s="1574">
        <f t="shared" si="3"/>
        <v>1</v>
      </c>
      <c r="AB38" s="1574">
        <f t="shared" si="4"/>
        <v>1</v>
      </c>
      <c r="AC38" s="1574">
        <f t="shared" si="5"/>
        <v>1</v>
      </c>
    </row>
    <row r="39" spans="1:29" ht="15">
      <c r="A39" s="592"/>
      <c r="B39" s="1892" t="s">
        <v>2567</v>
      </c>
      <c r="C39" s="597" t="s">
        <v>3043</v>
      </c>
      <c r="D39" s="538">
        <v>100</v>
      </c>
      <c r="E39" s="872" t="s">
        <v>3043</v>
      </c>
      <c r="F39" s="573">
        <f>SUMIF(116:116,E39,117:117)-SUMIF(116:116,C39,117:117)+100</f>
        <v>100</v>
      </c>
      <c r="G39" s="597" t="s">
        <v>3043</v>
      </c>
      <c r="H39" s="538">
        <f>SUMIF(116:116,G39,117:117)-SUMIF(116:116,C39,117:117)+100</f>
        <v>100</v>
      </c>
      <c r="I39" s="872" t="s">
        <v>3043</v>
      </c>
      <c r="J39" s="538">
        <f>SUMIF(116:116,I39,117:117)-SUMIF(116:116,C39,117:117)+100</f>
        <v>100</v>
      </c>
      <c r="K39" s="862"/>
      <c r="L39" s="2139"/>
      <c r="M39" s="2131"/>
      <c r="N39" s="2131"/>
      <c r="O39" s="2138"/>
      <c r="P39" s="3292"/>
      <c r="Q39" s="1570" t="str">
        <f t="shared" si="11"/>
        <v>市政基础设施</v>
      </c>
      <c r="R39" s="1571" t="s">
        <v>11</v>
      </c>
      <c r="S39" s="1572">
        <f t="shared" si="12"/>
        <v>100</v>
      </c>
      <c r="T39" s="1571" t="s">
        <v>11</v>
      </c>
      <c r="U39" s="1572">
        <f t="shared" si="13"/>
        <v>100</v>
      </c>
      <c r="V39" s="1571" t="s">
        <v>11</v>
      </c>
      <c r="W39" s="1572">
        <f t="shared" si="14"/>
        <v>100</v>
      </c>
      <c r="X39" s="1565"/>
      <c r="Y39" s="3292"/>
      <c r="Z39" s="1573" t="str">
        <f t="shared" si="15"/>
        <v>市政基础设施</v>
      </c>
      <c r="AA39" s="1574">
        <f t="shared" si="3"/>
        <v>1</v>
      </c>
      <c r="AB39" s="1574">
        <f t="shared" si="4"/>
        <v>1</v>
      </c>
      <c r="AC39" s="1574">
        <f t="shared" si="5"/>
        <v>1</v>
      </c>
    </row>
    <row r="40" spans="1:29" ht="15">
      <c r="A40" s="592"/>
      <c r="B40" s="525" t="s">
        <v>733</v>
      </c>
      <c r="C40" s="597" t="s">
        <v>3119</v>
      </c>
      <c r="D40" s="538">
        <v>100</v>
      </c>
      <c r="E40" s="872" t="s">
        <v>3119</v>
      </c>
      <c r="F40" s="573">
        <f>SUMIF(118:118,E40,119:119)-SUMIF(118:118,C40,119:119)+100</f>
        <v>100</v>
      </c>
      <c r="G40" s="597" t="s">
        <v>3119</v>
      </c>
      <c r="H40" s="538">
        <f>SUMIF(118:118,G40,119:119)-SUMIF(118:118,C40,119:119)+100</f>
        <v>100</v>
      </c>
      <c r="I40" s="872" t="s">
        <v>3119</v>
      </c>
      <c r="J40" s="538">
        <f>SUMIF(118:118,I40,119:119)-SUMIF(118:118,C40,119:119)+100</f>
        <v>100</v>
      </c>
      <c r="K40" s="862"/>
      <c r="L40" s="2139"/>
      <c r="M40" s="2131"/>
      <c r="N40" s="2131"/>
      <c r="O40" s="2138"/>
      <c r="P40" s="3292"/>
      <c r="Q40" s="1570" t="str">
        <f t="shared" si="11"/>
        <v>房型</v>
      </c>
      <c r="R40" s="1571" t="s">
        <v>11</v>
      </c>
      <c r="S40" s="1572">
        <f t="shared" si="12"/>
        <v>100</v>
      </c>
      <c r="T40" s="1571" t="s">
        <v>11</v>
      </c>
      <c r="U40" s="1572">
        <f t="shared" si="13"/>
        <v>100</v>
      </c>
      <c r="V40" s="1571" t="s">
        <v>11</v>
      </c>
      <c r="W40" s="1572">
        <f t="shared" si="14"/>
        <v>100</v>
      </c>
      <c r="X40" s="1565"/>
      <c r="Y40" s="3292"/>
      <c r="Z40" s="1573" t="str">
        <f t="shared" si="15"/>
        <v>房型</v>
      </c>
      <c r="AA40" s="1574">
        <f t="shared" si="3"/>
        <v>1</v>
      </c>
      <c r="AB40" s="1574">
        <f t="shared" si="4"/>
        <v>1</v>
      </c>
      <c r="AC40" s="1574">
        <f t="shared" si="5"/>
        <v>1</v>
      </c>
    </row>
    <row r="41" spans="1:29" s="1337" customFormat="1" ht="28.5">
      <c r="A41" s="601"/>
      <c r="B41" s="525" t="s">
        <v>734</v>
      </c>
      <c r="C41" s="878" t="s">
        <v>3114</v>
      </c>
      <c r="D41" s="255">
        <v>100</v>
      </c>
      <c r="E41" s="532" t="s">
        <v>3114</v>
      </c>
      <c r="F41" s="861">
        <f>SUMIF(120:120,E41,121:121)-SUMIF(120:120,C41,121:121)+100</f>
        <v>100</v>
      </c>
      <c r="G41" s="531" t="s">
        <v>3114</v>
      </c>
      <c r="H41" s="255">
        <f>SUMIF(120:120,G41,121:121)-SUMIF(120:120,C41,121:121)+100</f>
        <v>100</v>
      </c>
      <c r="I41" s="584" t="s">
        <v>3113</v>
      </c>
      <c r="J41" s="538">
        <f>SUMIF(120:120,I41,121:121)-SUMIF(120:120,C41,121:121)+100</f>
        <v>100</v>
      </c>
      <c r="K41" s="863"/>
      <c r="L41" s="2137"/>
      <c r="M41" s="2168"/>
      <c r="N41" s="2168"/>
      <c r="O41" s="2140"/>
      <c r="P41" s="3292"/>
      <c r="Q41" s="1603" t="str">
        <f t="shared" si="11"/>
        <v>单套/主力户型建筑面积</v>
      </c>
      <c r="R41" s="1575" t="s">
        <v>11</v>
      </c>
      <c r="S41" s="1576">
        <f t="shared" si="12"/>
        <v>100</v>
      </c>
      <c r="T41" s="1575" t="s">
        <v>11</v>
      </c>
      <c r="U41" s="1576">
        <f t="shared" si="13"/>
        <v>100</v>
      </c>
      <c r="V41" s="1575" t="s">
        <v>11</v>
      </c>
      <c r="W41" s="1576">
        <f t="shared" si="14"/>
        <v>100</v>
      </c>
      <c r="X41" s="1577"/>
      <c r="Y41" s="3292"/>
      <c r="Z41" s="1578" t="str">
        <f t="shared" si="15"/>
        <v>单套/主力户型建筑面积</v>
      </c>
      <c r="AA41" s="1574">
        <f t="shared" si="3"/>
        <v>1</v>
      </c>
      <c r="AB41" s="1574">
        <f t="shared" si="4"/>
        <v>1</v>
      </c>
      <c r="AC41" s="1574">
        <f t="shared" si="5"/>
        <v>1</v>
      </c>
    </row>
    <row r="42" spans="1:29" ht="15">
      <c r="A42" s="592"/>
      <c r="B42" s="525" t="s">
        <v>735</v>
      </c>
      <c r="C42" s="597" t="s">
        <v>3120</v>
      </c>
      <c r="D42" s="538">
        <v>100</v>
      </c>
      <c r="E42" s="872" t="s">
        <v>3120</v>
      </c>
      <c r="F42" s="573">
        <f>SUMIF(122:122,E42,123:123)-SUMIF(122:122,C42,123:123)+100</f>
        <v>100</v>
      </c>
      <c r="G42" s="597" t="s">
        <v>3120</v>
      </c>
      <c r="H42" s="538">
        <f>SUMIF(122:122,G42,123:123)-SUMIF(122:122,C42,123:123)+100</f>
        <v>100</v>
      </c>
      <c r="I42" s="872" t="s">
        <v>3120</v>
      </c>
      <c r="J42" s="538">
        <f>SUMIF(122:122,I42,123:123)-SUMIF(122:122,C42,123:123)+100</f>
        <v>100</v>
      </c>
      <c r="K42" s="862"/>
      <c r="L42" s="2139"/>
      <c r="M42" s="2131"/>
      <c r="N42" s="2131"/>
      <c r="O42" s="2138"/>
      <c r="P42" s="3292"/>
      <c r="Q42" s="1570" t="str">
        <f t="shared" si="11"/>
        <v>内部装修</v>
      </c>
      <c r="R42" s="1571" t="s">
        <v>11</v>
      </c>
      <c r="S42" s="1572">
        <f t="shared" si="12"/>
        <v>100</v>
      </c>
      <c r="T42" s="1571" t="s">
        <v>11</v>
      </c>
      <c r="U42" s="1572">
        <f t="shared" si="13"/>
        <v>100</v>
      </c>
      <c r="V42" s="1571" t="s">
        <v>11</v>
      </c>
      <c r="W42" s="1572">
        <f t="shared" si="14"/>
        <v>100</v>
      </c>
      <c r="X42" s="1565"/>
      <c r="Y42" s="3292"/>
      <c r="Z42" s="1573" t="str">
        <f t="shared" si="15"/>
        <v>内部装修</v>
      </c>
      <c r="AA42" s="1574">
        <f t="shared" si="3"/>
        <v>1</v>
      </c>
      <c r="AB42" s="1574">
        <f t="shared" si="4"/>
        <v>1</v>
      </c>
      <c r="AC42" s="1574">
        <f t="shared" si="5"/>
        <v>1</v>
      </c>
    </row>
    <row r="43" spans="1:29" ht="27.75" thickBot="1">
      <c r="A43" s="592"/>
      <c r="B43" s="525" t="s">
        <v>736</v>
      </c>
      <c r="C43" s="597" t="s">
        <v>3041</v>
      </c>
      <c r="D43" s="538">
        <v>100</v>
      </c>
      <c r="E43" s="872" t="s">
        <v>3041</v>
      </c>
      <c r="F43" s="573">
        <f>SUMIF(124:124,E43,125:125)-SUMIF(124:124,C43,125:125)+100</f>
        <v>100</v>
      </c>
      <c r="G43" s="597" t="s">
        <v>3041</v>
      </c>
      <c r="H43" s="538">
        <f>SUMIF(124:124,G43,125:125)-SUMIF(124:124,C43,125:125)+100</f>
        <v>100</v>
      </c>
      <c r="I43" s="872" t="s">
        <v>3041</v>
      </c>
      <c r="J43" s="538">
        <f>SUMIF(124:124,I43,125:125)-SUMIF(124:124,C43,125:125)+100</f>
        <v>100</v>
      </c>
      <c r="K43" s="862"/>
      <c r="L43" s="2139"/>
      <c r="M43" s="2131"/>
      <c r="N43" s="2131"/>
      <c r="O43" s="2138"/>
      <c r="P43" s="3292"/>
      <c r="Q43" s="1570" t="str">
        <f t="shared" si="11"/>
        <v>内部装修维护情况</v>
      </c>
      <c r="R43" s="1571" t="s">
        <v>11</v>
      </c>
      <c r="S43" s="1572">
        <f t="shared" si="12"/>
        <v>100</v>
      </c>
      <c r="T43" s="1571" t="s">
        <v>11</v>
      </c>
      <c r="U43" s="1572">
        <f t="shared" si="13"/>
        <v>100</v>
      </c>
      <c r="V43" s="1571" t="s">
        <v>11</v>
      </c>
      <c r="W43" s="1572">
        <f t="shared" si="14"/>
        <v>100</v>
      </c>
      <c r="X43" s="1565"/>
      <c r="Y43" s="3292"/>
      <c r="Z43" s="1573" t="str">
        <f t="shared" si="15"/>
        <v>内部装修维护情况</v>
      </c>
      <c r="AA43" s="1574">
        <f t="shared" si="3"/>
        <v>1</v>
      </c>
      <c r="AB43" s="1574">
        <f t="shared" si="4"/>
        <v>1</v>
      </c>
      <c r="AC43" s="1574">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2"/>
      <c r="M44" s="2133"/>
      <c r="N44" s="2133"/>
      <c r="O44" s="2134"/>
      <c r="P44" s="3292"/>
      <c r="Q44" s="1149">
        <f t="shared" si="11"/>
        <v>111</v>
      </c>
      <c r="R44" s="1566" t="s">
        <v>11</v>
      </c>
      <c r="S44" s="1567">
        <f t="shared" si="12"/>
        <v>100</v>
      </c>
      <c r="T44" s="1566" t="s">
        <v>11</v>
      </c>
      <c r="U44" s="1567">
        <f t="shared" si="13"/>
        <v>100</v>
      </c>
      <c r="V44" s="1566" t="s">
        <v>11</v>
      </c>
      <c r="W44" s="1567">
        <f t="shared" si="14"/>
        <v>100</v>
      </c>
      <c r="X44" s="1568"/>
      <c r="Y44" s="3292"/>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292"/>
      <c r="Q45" s="1570">
        <f t="shared" si="11"/>
        <v>111</v>
      </c>
      <c r="R45" s="1571" t="s">
        <v>11</v>
      </c>
      <c r="S45" s="1572">
        <f t="shared" si="12"/>
        <v>100</v>
      </c>
      <c r="T45" s="1571" t="s">
        <v>11</v>
      </c>
      <c r="U45" s="1572">
        <f t="shared" si="13"/>
        <v>100</v>
      </c>
      <c r="V45" s="1571" t="s">
        <v>11</v>
      </c>
      <c r="W45" s="1572">
        <f t="shared" si="14"/>
        <v>100</v>
      </c>
      <c r="X45" s="1565"/>
      <c r="Y45" s="3292"/>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388"/>
      <c r="Q46" s="1570">
        <f t="shared" si="11"/>
        <v>111</v>
      </c>
      <c r="R46" s="1571" t="s">
        <v>10</v>
      </c>
      <c r="S46" s="1572">
        <f t="shared" si="12"/>
        <v>100</v>
      </c>
      <c r="T46" s="1571" t="s">
        <v>10</v>
      </c>
      <c r="U46" s="1572">
        <f t="shared" si="13"/>
        <v>100</v>
      </c>
      <c r="V46" s="1571" t="s">
        <v>10</v>
      </c>
      <c r="W46" s="1572">
        <f t="shared" si="14"/>
        <v>100</v>
      </c>
      <c r="X46" s="1565"/>
      <c r="Y46" s="3388"/>
      <c r="Z46" s="1573">
        <f t="shared" si="15"/>
        <v>111</v>
      </c>
      <c r="AA46" s="1574">
        <f t="shared" si="3"/>
        <v>1</v>
      </c>
      <c r="AB46" s="1574">
        <f t="shared" si="4"/>
        <v>1</v>
      </c>
      <c r="AC46" s="1574">
        <f t="shared" si="5"/>
        <v>1</v>
      </c>
    </row>
    <row r="47" spans="1:29" ht="15">
      <c r="A47" s="605" t="s">
        <v>737</v>
      </c>
      <c r="B47" s="885"/>
      <c r="C47" s="2645" t="s">
        <v>9</v>
      </c>
      <c r="D47" s="2646"/>
      <c r="E47" s="2647">
        <f>ROUND(11500*0.98,0)</f>
        <v>11270</v>
      </c>
      <c r="F47" s="2648"/>
      <c r="G47" s="2649">
        <f>ROUND(12000*0.98,0)</f>
        <v>11760</v>
      </c>
      <c r="H47" s="2650"/>
      <c r="I47" s="2647">
        <v>11000</v>
      </c>
      <c r="J47" s="2650"/>
      <c r="K47" s="1604"/>
      <c r="L47" s="2141"/>
      <c r="M47" s="2142"/>
      <c r="N47" s="2131"/>
      <c r="O47" s="2142"/>
      <c r="P47" s="3287" t="str">
        <f>A47</f>
        <v>成交单价（元/平方米）</v>
      </c>
      <c r="Q47" s="3287"/>
      <c r="R47" s="3387">
        <f>E47</f>
        <v>11270</v>
      </c>
      <c r="S47" s="3387"/>
      <c r="T47" s="3387">
        <f>G47</f>
        <v>11760</v>
      </c>
      <c r="U47" s="3387"/>
      <c r="V47" s="3387">
        <f>I47</f>
        <v>11000</v>
      </c>
      <c r="W47" s="3387"/>
      <c r="X47" s="1557"/>
      <c r="Y47" s="1579"/>
      <c r="Z47" s="1557"/>
      <c r="AA47" s="1557"/>
      <c r="AB47" s="1557"/>
      <c r="AC47" s="1557"/>
    </row>
    <row r="48" spans="1:29" ht="15.75" thickBot="1">
      <c r="A48" s="613" t="s">
        <v>2765</v>
      </c>
      <c r="B48" s="886"/>
      <c r="C48" s="2651">
        <f>R49</f>
        <v>12707.8</v>
      </c>
      <c r="D48" s="2652"/>
      <c r="E48" s="2653">
        <f>R48</f>
        <v>12347</v>
      </c>
      <c r="F48" s="2653"/>
      <c r="G48" s="2651">
        <f>T48</f>
        <v>13726.5</v>
      </c>
      <c r="H48" s="2652"/>
      <c r="I48" s="2653">
        <f>V48</f>
        <v>12050</v>
      </c>
      <c r="J48" s="2652"/>
      <c r="K48" s="1605"/>
      <c r="L48" s="2141"/>
      <c r="M48" s="2142"/>
      <c r="N48" s="2142"/>
      <c r="O48" s="2142"/>
      <c r="P48" s="3287" t="str">
        <f>A48</f>
        <v>比较价格（元/平方米）</v>
      </c>
      <c r="Q48" s="3287"/>
      <c r="R48" s="3387">
        <f>IF(F1="售价",ROUND(PRODUCT(R47,AA7:AA46),0),ROUND(PRODUCT(R47,AA7:AA46),1))</f>
        <v>12347</v>
      </c>
      <c r="S48" s="3387"/>
      <c r="T48" s="3387">
        <f>IF(F1="售价",ROUND(PRODUCT(T47,AB7:AB46),0),ROUND(PRODUCT(T47,AB7:AB46),1))</f>
        <v>13726.5</v>
      </c>
      <c r="U48" s="3387"/>
      <c r="V48" s="3387">
        <f>IF(F1="售价",ROUND(PRODUCT(V47,AC7:AC46),0),ROUND(PRODUCT(V47,AC7:AC46),1))</f>
        <v>12050</v>
      </c>
      <c r="W48" s="3387"/>
      <c r="X48" s="1557"/>
      <c r="Y48" s="1557"/>
      <c r="Z48" s="1557"/>
      <c r="AA48" s="1557"/>
      <c r="AB48" s="1557"/>
      <c r="AC48" s="1557"/>
    </row>
    <row r="49" spans="1:29" ht="15.75" thickBot="1">
      <c r="A49" s="619" t="s">
        <v>2939</v>
      </c>
      <c r="B49" s="620"/>
      <c r="C49" s="2654">
        <f>R49</f>
        <v>12707.8</v>
      </c>
      <c r="D49" s="2654"/>
      <c r="E49" s="2654"/>
      <c r="F49" s="2654"/>
      <c r="G49" s="2654"/>
      <c r="H49" s="2654"/>
      <c r="I49" s="2654"/>
      <c r="J49" s="2654"/>
      <c r="K49" s="1606"/>
      <c r="L49" s="2141"/>
      <c r="M49" s="2142"/>
      <c r="N49" s="2142"/>
      <c r="O49" s="2142"/>
      <c r="P49" s="3308" t="str">
        <f>A49</f>
        <v>估价对象XX用房的比较价格（楼面单价，元/平方米）</v>
      </c>
      <c r="Q49" s="3309"/>
      <c r="R49" s="3386">
        <f>IF(F1="售价",ROUND(AVERAGE(R48:V48),0),ROUND(AVERAGE(R48:V48),1))</f>
        <v>12707.8</v>
      </c>
      <c r="S49" s="3386"/>
      <c r="T49" s="3386"/>
      <c r="U49" s="3386"/>
      <c r="V49" s="3386"/>
      <c r="W49" s="3386"/>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f>IF(E47&lt;E48,E48/E47-1,E47/E48-1)</f>
        <v>9.5563442768411777E-2</v>
      </c>
      <c r="F52" s="625" t="str">
        <f>IF(OR(E52&gt;=0.3,E52&lt;=-0.3),"超过30%","")</f>
        <v/>
      </c>
      <c r="G52" s="624">
        <f>IF(G47&lt;G48,G48/G47-1,G47/G48-1)</f>
        <v>0.16721938775510203</v>
      </c>
      <c r="H52" s="625" t="str">
        <f>IF(OR(G52&gt;=0.3,G52&lt;=-0.3),"超过30%","")</f>
        <v/>
      </c>
      <c r="I52" s="624">
        <f>IF(I47&lt;I48,I48/I47-1,I47/I48-1)</f>
        <v>9.5454545454545459E-2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f>IF(E48&lt;G48,G48/E48-1,E48/G48-1)</f>
        <v>0.11172754515266869</v>
      </c>
      <c r="F53" s="625" t="str">
        <f>IF(OR(E53&gt;=0.2,E53&lt;=-0.2),"超过20%","")</f>
        <v/>
      </c>
      <c r="G53" s="624">
        <f>IF(G48&lt;I48,I48/G48-1,G48/I48-1)</f>
        <v>0.13912863070539427</v>
      </c>
      <c r="H53" s="625" t="str">
        <f>IF(OR(G53&gt;=0.2,G53&lt;=-0.2),"超过20%","")</f>
        <v/>
      </c>
      <c r="I53" s="624">
        <f>IF(I48&lt;E48,E48/I48-1,I48/E48-1)</f>
        <v>2.4647302904564405E-2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f>IF(E47&lt;G47,G47/E47-1,E47/G47-1)</f>
        <v>4.3478260869565188E-2</v>
      </c>
      <c r="F54" s="625" t="str">
        <f>IF(OR(E54&gt;=0.3,E54&lt;=-0.3),"超过30%","")</f>
        <v/>
      </c>
      <c r="G54" s="624">
        <f>IF(G47&lt;I47,I47/G47-1,G47/I47-1)</f>
        <v>6.9090909090909092E-2</v>
      </c>
      <c r="H54" s="625" t="str">
        <f>IF(OR(G54&gt;=0.3,G54&lt;=-0.3),"超过30%","")</f>
        <v/>
      </c>
      <c r="I54" s="624">
        <f>IF(I47&lt;E47,E47/I47-1,I47/E47-1)</f>
        <v>2.4545454545454648E-2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578</v>
      </c>
      <c r="B63" s="663" t="s">
        <v>535</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0（含）-2</v>
      </c>
      <c r="D67" s="680" t="str">
        <f t="shared" ref="D67:L67" si="18">D68&amp;"（含）"&amp;"-"&amp;E68</f>
        <v>2（含）-4</v>
      </c>
      <c r="E67" s="680" t="str">
        <f t="shared" si="18"/>
        <v>4（含）-6</v>
      </c>
      <c r="F67" s="680" t="str">
        <f t="shared" si="18"/>
        <v>6（含）-8</v>
      </c>
      <c r="G67" s="680" t="str">
        <f t="shared" si="18"/>
        <v>8（含）-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2</v>
      </c>
      <c r="E68" s="539">
        <v>4</v>
      </c>
      <c r="F68" s="539">
        <v>6</v>
      </c>
      <c r="G68" s="539">
        <v>8</v>
      </c>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3"/>
      <c r="O69" s="2163"/>
      <c r="P69" s="2162"/>
      <c r="Q69" s="2155"/>
      <c r="R69" s="2142"/>
      <c r="S69" s="2142"/>
      <c r="T69" s="2142"/>
      <c r="U69" s="2142"/>
      <c r="V69" s="2142"/>
      <c r="W69" s="2142"/>
      <c r="X69" s="2142"/>
      <c r="Y69" s="2142"/>
      <c r="Z69" s="2142"/>
      <c r="AA69" s="2142"/>
      <c r="AB69" s="2142"/>
      <c r="AC69" s="2142"/>
    </row>
    <row r="70" spans="1:29" s="1337" customFormat="1" ht="15.75" hidden="1"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hidden="1"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hidden="1"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hidden="1"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hidden="1" thickTop="1">
      <c r="A88" s="707"/>
      <c r="B88" s="671" t="s">
        <v>747</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t="s">
        <v>3084</v>
      </c>
      <c r="D90" s="686" t="s">
        <v>3085</v>
      </c>
      <c r="E90" s="686" t="s">
        <v>3086</v>
      </c>
      <c r="F90" s="686" t="s">
        <v>3087</v>
      </c>
      <c r="G90" s="686" t="s">
        <v>3048</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552</v>
      </c>
      <c r="B100" s="663" t="s">
        <v>748</v>
      </c>
      <c r="C100" s="3409" t="s">
        <v>3088</v>
      </c>
      <c r="D100" s="596" t="s">
        <v>3089</v>
      </c>
      <c r="E100" s="3409" t="s">
        <v>3090</v>
      </c>
      <c r="F100" s="3409" t="s">
        <v>3091</v>
      </c>
      <c r="G100" s="3409" t="s">
        <v>3092</v>
      </c>
      <c r="H100" s="3409" t="s">
        <v>3093</v>
      </c>
      <c r="I100" s="3409" t="s">
        <v>3094</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0(含)-10000</v>
      </c>
      <c r="D102" s="706" t="str">
        <f t="shared" ref="D102:L102" si="23">D103&amp;"(含)"&amp;"-"&amp;E103</f>
        <v>10000(含)-50000</v>
      </c>
      <c r="E102" s="706" t="str">
        <f t="shared" si="23"/>
        <v>50000(含)-100000</v>
      </c>
      <c r="F102" s="706" t="str">
        <f t="shared" si="23"/>
        <v>100000(含)-200000</v>
      </c>
      <c r="G102" s="706" t="str">
        <f t="shared" si="23"/>
        <v>200000(含)-500000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10000</v>
      </c>
      <c r="E103" s="728">
        <v>50000</v>
      </c>
      <c r="F103" s="728">
        <v>100000</v>
      </c>
      <c r="G103" s="728">
        <v>200000</v>
      </c>
      <c r="H103" s="728">
        <v>500000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t="s">
        <v>3095</v>
      </c>
      <c r="D105" s="686" t="s">
        <v>3096</v>
      </c>
      <c r="E105" s="716" t="s">
        <v>3097</v>
      </c>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716" t="s">
        <v>3098</v>
      </c>
      <c r="D107" s="716" t="s">
        <v>3099</v>
      </c>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686" t="s">
        <v>3100</v>
      </c>
      <c r="D109" s="686" t="s">
        <v>3101</v>
      </c>
      <c r="E109" s="686" t="s">
        <v>3102</v>
      </c>
      <c r="F109" s="716" t="s">
        <v>3103</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754</v>
      </c>
      <c r="C114" s="686" t="s">
        <v>3104</v>
      </c>
      <c r="D114" s="686" t="s">
        <v>3105</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2559</v>
      </c>
      <c r="C116" s="686" t="s">
        <v>3106</v>
      </c>
      <c r="D116" s="686" t="s">
        <v>3107</v>
      </c>
      <c r="E116" s="686" t="s">
        <v>3108</v>
      </c>
      <c r="F116" s="686" t="s">
        <v>3109</v>
      </c>
      <c r="G116" s="686" t="s">
        <v>3110</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755</v>
      </c>
      <c r="C118" s="716" t="s">
        <v>3111</v>
      </c>
      <c r="D118" s="716" t="s">
        <v>3112</v>
      </c>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734</v>
      </c>
      <c r="C120" s="686" t="s">
        <v>3114</v>
      </c>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t="s">
        <v>3100</v>
      </c>
      <c r="D122" s="686" t="s">
        <v>3101</v>
      </c>
      <c r="E122" s="686" t="s">
        <v>3102</v>
      </c>
      <c r="F122" s="716" t="s">
        <v>3103</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hidden="1"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3020</v>
      </c>
      <c r="D1" s="3088" t="s">
        <v>3123</v>
      </c>
      <c r="E1" s="2408" t="s">
        <v>2375</v>
      </c>
      <c r="F1" s="2409">
        <f ca="1">J53</f>
        <v>37</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93428</v>
      </c>
      <c r="C2" s="2054"/>
      <c r="D2" s="2052"/>
      <c r="E2" s="2053"/>
      <c r="F2" s="2053"/>
      <c r="G2" s="1588"/>
      <c r="H2" s="2054"/>
      <c r="I2" s="2054"/>
      <c r="J2" s="2054"/>
      <c r="K2" s="2055"/>
      <c r="L2" s="2054"/>
      <c r="M2" s="2054"/>
    </row>
    <row r="3" spans="1:33" ht="18" customHeight="1" thickBot="1">
      <c r="A3" s="831" t="s">
        <v>1729</v>
      </c>
      <c r="B3" s="832">
        <f ca="1">IF(ISERROR(B2*10000/F43),0,ROUND(B2*10000/F43,0))</f>
        <v>12871</v>
      </c>
      <c r="C3" s="2054"/>
      <c r="D3" s="2052"/>
      <c r="E3" s="2053"/>
      <c r="F3" s="2053"/>
      <c r="G3" s="1588"/>
      <c r="H3" s="774" t="s">
        <v>696</v>
      </c>
      <c r="I3" s="1361"/>
      <c r="J3" s="1361"/>
      <c r="K3" s="1589"/>
      <c r="L3" s="1361"/>
      <c r="M3" s="1361"/>
    </row>
    <row r="4" spans="1:33" ht="18" customHeight="1">
      <c r="A4" s="3509" t="s">
        <v>1730</v>
      </c>
      <c r="B4" s="3510" t="s">
        <v>1731</v>
      </c>
      <c r="C4" s="3510" t="s">
        <v>1732</v>
      </c>
      <c r="D4" s="3510" t="s">
        <v>634</v>
      </c>
      <c r="E4" s="3511" t="s">
        <v>1733</v>
      </c>
      <c r="F4" s="3512"/>
      <c r="G4" s="1590"/>
      <c r="H4" s="775" t="s">
        <v>1734</v>
      </c>
      <c r="I4" s="776" t="s">
        <v>1735</v>
      </c>
      <c r="J4" s="776" t="s">
        <v>1736</v>
      </c>
      <c r="K4" s="776" t="s">
        <v>1737</v>
      </c>
      <c r="L4" s="777" t="s">
        <v>1738</v>
      </c>
      <c r="M4" s="778"/>
    </row>
    <row r="5" spans="1:33" ht="18" customHeight="1">
      <c r="A5" s="3513">
        <v>1</v>
      </c>
      <c r="B5" s="780" t="s">
        <v>2460</v>
      </c>
      <c r="C5" s="77">
        <f ca="1">C6+C10+C12</f>
        <v>4776</v>
      </c>
      <c r="D5" s="3514" t="s">
        <v>2463</v>
      </c>
      <c r="E5" s="3515"/>
      <c r="F5" s="2568"/>
      <c r="G5" s="1590"/>
      <c r="H5" s="779">
        <v>1</v>
      </c>
      <c r="I5" s="780" t="s">
        <v>2460</v>
      </c>
      <c r="J5" s="55">
        <f ca="1">J6+J10+J12</f>
        <v>0</v>
      </c>
      <c r="K5" s="2517" t="s">
        <v>2463</v>
      </c>
      <c r="L5" s="2511"/>
      <c r="M5" s="2512"/>
    </row>
    <row r="6" spans="1:33" ht="18" customHeight="1">
      <c r="A6" s="3516" t="s">
        <v>1826</v>
      </c>
      <c r="B6" s="3347" t="s">
        <v>2465</v>
      </c>
      <c r="C6" s="3517">
        <f ca="1">ROUND(F6*F8*F7*(1-F9)/10000,0)</f>
        <v>4769</v>
      </c>
      <c r="D6" s="2584" t="s">
        <v>2464</v>
      </c>
      <c r="E6" s="3099" t="s">
        <v>1740</v>
      </c>
      <c r="F6" s="3518">
        <f ca="1">INDIRECT("'数据-取费表'!u"&amp;$G$1)</f>
        <v>2</v>
      </c>
      <c r="G6" s="1590"/>
      <c r="H6" s="2524" t="s">
        <v>2471</v>
      </c>
      <c r="I6" s="3347" t="s">
        <v>2465</v>
      </c>
      <c r="J6" s="781">
        <f ca="1">ROUND(M6*M8*M7*(1-M9)/10000,0)</f>
        <v>0</v>
      </c>
      <c r="K6" s="341" t="s">
        <v>1739</v>
      </c>
      <c r="L6" s="782" t="s">
        <v>1740</v>
      </c>
      <c r="M6" s="783">
        <f ca="1">INDIRECT("'数据-取费表'!z"&amp;$G$1)</f>
        <v>0</v>
      </c>
    </row>
    <row r="7" spans="1:33" ht="18" customHeight="1">
      <c r="A7" s="3519"/>
      <c r="B7" s="3348"/>
      <c r="C7" s="3520"/>
      <c r="D7" s="3521"/>
      <c r="E7" s="3099" t="s">
        <v>1741</v>
      </c>
      <c r="F7" s="3518">
        <f ca="1">IF(INDIRECT("'数据-取费表'!ah"&amp;$G$1)="",INDIRECT("'数据-取费表'!k"&amp;$G$1),INDIRECT("'数据-取费表'!ah"&amp;$G$1))</f>
        <v>72588.709999999992</v>
      </c>
      <c r="G7" s="1590"/>
      <c r="H7" s="2510"/>
      <c r="I7" s="3348"/>
      <c r="J7" s="786"/>
      <c r="K7" s="787"/>
      <c r="L7" s="782" t="s">
        <v>1741</v>
      </c>
      <c r="M7" s="783">
        <f ca="1">F7</f>
        <v>72588.709999999992</v>
      </c>
    </row>
    <row r="8" spans="1:33" ht="18" customHeight="1">
      <c r="A8" s="3522"/>
      <c r="B8" s="3349"/>
      <c r="C8" s="3520"/>
      <c r="D8" s="3521"/>
      <c r="E8" s="3099" t="s">
        <v>1742</v>
      </c>
      <c r="F8" s="3518">
        <f ca="1">INDIRECT("'数据-取费表'!ai"&amp;$G$1)</f>
        <v>365</v>
      </c>
      <c r="G8" s="1590"/>
      <c r="H8" s="2510"/>
      <c r="I8" s="3349"/>
      <c r="J8" s="786"/>
      <c r="K8" s="787"/>
      <c r="L8" s="782" t="s">
        <v>1742</v>
      </c>
      <c r="M8" s="783">
        <f ca="1">INDIRECT("'数据-取费表'!ai"&amp;$G$1)</f>
        <v>365</v>
      </c>
    </row>
    <row r="9" spans="1:33" ht="18" customHeight="1">
      <c r="A9" s="3523"/>
      <c r="B9" s="3350"/>
      <c r="C9" s="3520"/>
      <c r="D9" s="3521"/>
      <c r="E9" s="3099" t="s">
        <v>1743</v>
      </c>
      <c r="F9" s="3524">
        <f ca="1">INDIRECT("'数据-取费表'!w"&amp;$G$1)</f>
        <v>0.1</v>
      </c>
      <c r="G9" s="1590"/>
      <c r="H9" s="2525"/>
      <c r="I9" s="3349"/>
      <c r="J9" s="786"/>
      <c r="K9" s="787"/>
      <c r="L9" s="793" t="s">
        <v>1743</v>
      </c>
      <c r="M9" s="794">
        <f ca="1">INDIRECT("'数据-取费表'!ab"&amp;$G$1)</f>
        <v>0</v>
      </c>
    </row>
    <row r="10" spans="1:33" ht="18" customHeight="1">
      <c r="A10" s="3516" t="s">
        <v>2469</v>
      </c>
      <c r="B10" s="2515" t="s">
        <v>2461</v>
      </c>
      <c r="C10" s="3525">
        <f ca="1">ROUND(IF(F10="押一",F6*F8*F7/12*F11,IF(F10="押二",F6*F8*F7/12*2*F11,IF(F10="押三",F6*F8*F7/12*3*F11,C11*F11)))/10000,0)</f>
        <v>7</v>
      </c>
      <c r="D10" s="2515" t="s">
        <v>2468</v>
      </c>
      <c r="E10" s="3526" t="s">
        <v>2466</v>
      </c>
      <c r="F10" s="3527" t="s">
        <v>3121</v>
      </c>
      <c r="G10" s="1590"/>
      <c r="H10" s="2579" t="s">
        <v>2472</v>
      </c>
      <c r="I10" s="2584" t="s">
        <v>2461</v>
      </c>
      <c r="J10" s="781">
        <f ca="1">ROUND(IF(M10="押一",M6*M8*M7/12*M11,IF(M10="押二",M6*M8*M7/12*2*M11,IF(M10="押三",M6*M8*M7/12*3*M11,J11*M11)))/10000,0)</f>
        <v>0</v>
      </c>
      <c r="K10" s="2521" t="s">
        <v>2468</v>
      </c>
      <c r="L10" s="2518" t="s">
        <v>2466</v>
      </c>
      <c r="M10" s="2639" t="s">
        <v>3121</v>
      </c>
    </row>
    <row r="11" spans="1:33" ht="18" customHeight="1">
      <c r="A11" s="3528"/>
      <c r="B11" s="2516" t="s">
        <v>2576</v>
      </c>
      <c r="C11" s="3529"/>
      <c r="D11" s="3521"/>
      <c r="E11" s="3526" t="s">
        <v>2467</v>
      </c>
      <c r="F11" s="3530">
        <f ca="1">'数据-取费表'!B39</f>
        <v>1.4999999999999999E-2</v>
      </c>
      <c r="G11" s="1590"/>
      <c r="H11" s="2580"/>
      <c r="I11" s="2516" t="s">
        <v>2576</v>
      </c>
      <c r="J11" s="2519"/>
      <c r="K11" s="2581"/>
      <c r="L11" s="2518" t="s">
        <v>2467</v>
      </c>
      <c r="M11" s="2513">
        <f ca="1">'数据-取费表'!B39</f>
        <v>1.4999999999999999E-2</v>
      </c>
    </row>
    <row r="12" spans="1:33" ht="18" customHeight="1" thickBot="1">
      <c r="A12" s="3531" t="s">
        <v>2470</v>
      </c>
      <c r="B12" s="2557" t="s">
        <v>2462</v>
      </c>
      <c r="C12" s="3532"/>
      <c r="D12" s="3533"/>
      <c r="E12" s="3534"/>
      <c r="F12" s="3535"/>
      <c r="G12" s="1590"/>
      <c r="H12" s="2569" t="s">
        <v>2473</v>
      </c>
      <c r="I12" s="2582" t="s">
        <v>2462</v>
      </c>
      <c r="J12" s="2583"/>
      <c r="K12" s="2559"/>
      <c r="L12" s="2560"/>
      <c r="M12" s="2572"/>
    </row>
    <row r="13" spans="1:33" ht="18" customHeight="1" thickTop="1">
      <c r="A13" s="3536">
        <v>2</v>
      </c>
      <c r="B13" s="3537" t="s">
        <v>1744</v>
      </c>
      <c r="C13" s="3538">
        <f ca="1">ROUND(C29*F13,0)</f>
        <v>24248</v>
      </c>
      <c r="D13" s="819" t="s">
        <v>2298</v>
      </c>
      <c r="E13" s="819" t="s">
        <v>1746</v>
      </c>
      <c r="F13" s="3539">
        <f ca="1">INDIRECT("'数据-取费表'!y"&amp;$G$1)</f>
        <v>1</v>
      </c>
      <c r="G13" s="1590"/>
      <c r="H13" s="1826">
        <v>2</v>
      </c>
      <c r="I13" s="1824" t="s">
        <v>1744</v>
      </c>
      <c r="J13" s="1816">
        <f ca="1">ROUND(J14*J15,0)</f>
        <v>0</v>
      </c>
      <c r="K13" s="1818" t="s">
        <v>1745</v>
      </c>
      <c r="L13" s="2570"/>
      <c r="M13" s="2571"/>
    </row>
    <row r="14" spans="1:33" ht="18" customHeight="1">
      <c r="A14" s="3540" t="s">
        <v>1886</v>
      </c>
      <c r="B14" s="3099" t="s">
        <v>646</v>
      </c>
      <c r="C14" s="3541">
        <f ca="1">INDIRECT("'数据-取费表'!m"&amp;$G$1)+INDIRECT("'数据-取费表'!t"&amp;$G$1)</f>
        <v>15080</v>
      </c>
      <c r="D14" s="3098" t="s">
        <v>1747</v>
      </c>
      <c r="E14" s="3097"/>
      <c r="F14" s="3542"/>
      <c r="G14" s="1590"/>
      <c r="H14" s="1646" t="s">
        <v>1832</v>
      </c>
      <c r="I14" s="2228" t="s">
        <v>2831</v>
      </c>
      <c r="J14" s="53">
        <f ca="1">C29</f>
        <v>24248</v>
      </c>
      <c r="K14" s="26"/>
      <c r="L14" s="799"/>
      <c r="M14" s="800"/>
    </row>
    <row r="15" spans="1:33" s="2061" customFormat="1" ht="18" customHeight="1" thickBot="1">
      <c r="A15" s="3540" t="s">
        <v>1887</v>
      </c>
      <c r="B15" s="3099" t="s">
        <v>648</v>
      </c>
      <c r="C15" s="17">
        <f ca="1">ROUND(C14*F15,0)</f>
        <v>452</v>
      </c>
      <c r="D15" s="814" t="s">
        <v>1748</v>
      </c>
      <c r="E15" s="814" t="s">
        <v>1749</v>
      </c>
      <c r="F15" s="3543">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540" t="s">
        <v>1888</v>
      </c>
      <c r="B16" s="3099" t="s">
        <v>651</v>
      </c>
      <c r="C16" s="17">
        <f ca="1">ROUND(INDIRECT("'数据-取费表'!m"&amp;$G$1)*F16,0)</f>
        <v>0</v>
      </c>
      <c r="D16" s="3099" t="s">
        <v>1748</v>
      </c>
      <c r="E16" s="3099" t="s">
        <v>1749</v>
      </c>
      <c r="F16" s="3544">
        <f ca="1">IF(INDIRECT("'数据-取费表'!c"&amp;$G$1)="住宅",'数据-取费表'!B34,0)</f>
        <v>0</v>
      </c>
      <c r="G16" s="1590"/>
      <c r="H16" s="1826" t="s">
        <v>1750</v>
      </c>
      <c r="I16" s="1824" t="s">
        <v>1751</v>
      </c>
      <c r="J16" s="790">
        <f ca="1">ROUND(J17+J22+J23+J24,0)</f>
        <v>218</v>
      </c>
      <c r="K16" s="1818" t="s">
        <v>1752</v>
      </c>
      <c r="L16" s="2507"/>
      <c r="M16" s="2512"/>
    </row>
    <row r="17" spans="1:33" s="2061" customFormat="1" ht="18" customHeight="1">
      <c r="A17" s="3540" t="s">
        <v>1889</v>
      </c>
      <c r="B17" s="3099" t="s">
        <v>654</v>
      </c>
      <c r="C17" s="17">
        <f ca="1">ROUND(F17*(F43+INDIRECT("'数据-取费表'!S"&amp;$G$1))/10000,0)</f>
        <v>1514</v>
      </c>
      <c r="D17" s="3099" t="s">
        <v>1753</v>
      </c>
      <c r="E17" s="3099" t="s">
        <v>1754</v>
      </c>
      <c r="F17" s="818">
        <f>'数据-取费表'!B35</f>
        <v>200</v>
      </c>
      <c r="G17" s="1591"/>
      <c r="H17" s="1646" t="s">
        <v>1832</v>
      </c>
      <c r="I17" s="782" t="s">
        <v>657</v>
      </c>
      <c r="J17" s="53">
        <f ca="1">ROUND(IF(项目基本情况!B11="自然人",J5*M17,J18+J19+J20),0)</f>
        <v>218</v>
      </c>
      <c r="K17" s="2506" t="s">
        <v>1755</v>
      </c>
      <c r="L17" s="2505"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540" t="s">
        <v>1890</v>
      </c>
      <c r="B18" s="3099" t="s">
        <v>660</v>
      </c>
      <c r="C18" s="17">
        <f ca="1">ROUND(C14*F18,0)</f>
        <v>226</v>
      </c>
      <c r="D18" s="3099" t="s">
        <v>1748</v>
      </c>
      <c r="E18" s="3099" t="s">
        <v>1749</v>
      </c>
      <c r="F18" s="3544">
        <f>'数据-取费表'!B36</f>
        <v>1.4999999999999999E-2</v>
      </c>
      <c r="G18" s="1591"/>
      <c r="H18" s="1645" t="s">
        <v>1886</v>
      </c>
      <c r="I18" s="782" t="s">
        <v>1757</v>
      </c>
      <c r="J18" s="53">
        <f ca="1">ROUND(J5*M18/1.05,1)</f>
        <v>0</v>
      </c>
      <c r="K18" s="2505"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545" t="s">
        <v>1832</v>
      </c>
      <c r="B19" s="3099" t="s">
        <v>663</v>
      </c>
      <c r="C19" s="17">
        <f ca="1">SUM(C14:C18)</f>
        <v>17272</v>
      </c>
      <c r="D19" s="3439" t="s">
        <v>1759</v>
      </c>
      <c r="E19" s="3096"/>
      <c r="F19" s="818"/>
      <c r="G19" s="1590"/>
      <c r="H19" s="1645" t="s">
        <v>1887</v>
      </c>
      <c r="I19" s="782" t="s">
        <v>1760</v>
      </c>
      <c r="J19" s="53">
        <f ca="1">IF(K19="按租金收入计税",ROUND(J5*M19,1),ROUND(C29*F33*0.7,1))</f>
        <v>203.7</v>
      </c>
      <c r="K19" s="809" t="s">
        <v>666</v>
      </c>
      <c r="L19" s="782" t="s">
        <v>1749</v>
      </c>
      <c r="M19" s="807">
        <f>IF(K19="按租金收入计税",'数据-取费表'!B51,'数据-取费表'!B50)</f>
        <v>1.2E-2</v>
      </c>
    </row>
    <row r="20" spans="1:33" s="2061" customFormat="1" ht="18" customHeight="1">
      <c r="A20" s="3545" t="s">
        <v>1891</v>
      </c>
      <c r="B20" s="3099" t="s">
        <v>667</v>
      </c>
      <c r="C20" s="17">
        <f ca="1">ROUND(C19*F20,0)</f>
        <v>173</v>
      </c>
      <c r="D20" s="810" t="s">
        <v>1761</v>
      </c>
      <c r="E20" s="3099" t="s">
        <v>1749</v>
      </c>
      <c r="F20" s="3544">
        <f>'数据-取费表'!B37</f>
        <v>0.01</v>
      </c>
      <c r="G20" s="1591"/>
      <c r="H20" s="1648" t="s">
        <v>1882</v>
      </c>
      <c r="I20" s="341" t="s">
        <v>1762</v>
      </c>
      <c r="J20" s="54">
        <f ca="1">ROUND(M20*M21/10000,0)</f>
        <v>14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545" t="s">
        <v>1892</v>
      </c>
      <c r="B21" s="3099" t="s">
        <v>1765</v>
      </c>
      <c r="C21" s="17" t="s">
        <v>1766</v>
      </c>
      <c r="D21" s="810" t="s">
        <v>2299</v>
      </c>
      <c r="E21" s="3099" t="s">
        <v>1767</v>
      </c>
      <c r="F21" s="3544">
        <f>'数据-取费表'!B38</f>
        <v>0.02</v>
      </c>
      <c r="G21" s="1591"/>
      <c r="H21" s="2526"/>
      <c r="I21" s="791"/>
      <c r="J21" s="69"/>
      <c r="K21" s="814"/>
      <c r="L21" s="782" t="s">
        <v>1768</v>
      </c>
      <c r="M21" s="783">
        <f ca="1">INDIRECT("'数据-取费表'!r"&amp;$G$1)</f>
        <v>24158.530000000002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545" t="s">
        <v>1893</v>
      </c>
      <c r="B22" s="3099" t="s">
        <v>1769</v>
      </c>
      <c r="C22" s="17"/>
      <c r="D22" s="3489"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0</v>
      </c>
      <c r="K22" s="2505" t="s">
        <v>1771</v>
      </c>
      <c r="L22" s="782" t="s">
        <v>1749</v>
      </c>
      <c r="M22" s="815">
        <f ca="1">INDIRECT("'数据-取费表'!Ak"&amp;$G$1)</f>
        <v>0</v>
      </c>
    </row>
    <row r="23" spans="1:33" s="2061" customFormat="1" ht="18" customHeight="1">
      <c r="A23" s="3540" t="s">
        <v>1833</v>
      </c>
      <c r="B23" s="3099" t="s">
        <v>2538</v>
      </c>
      <c r="C23" s="17">
        <f ca="1">ROUND(IF('数据-取费表'!B22&lt;=1,(C19+C20)*F24*F23/2,(C19+C20)*(POWER((1+F24),F23/2)-1)),0)</f>
        <v>1258</v>
      </c>
      <c r="D23" s="3546" t="str">
        <f>IF(F23&lt;=1,"(建造成本+管理费用)×利率×(建设周期÷2)","(建造成本+管理费用)×((1+利率)^(建设周期÷2)-1)")</f>
        <v>(建造成本+管理费用)×((1+利率)^(建设周期÷2)-1)</v>
      </c>
      <c r="E23" s="3099" t="s">
        <v>1772</v>
      </c>
      <c r="F23" s="3547">
        <f>'数据-取费表'!B20</f>
        <v>3</v>
      </c>
      <c r="G23" s="1591"/>
      <c r="H23" s="1646" t="s">
        <v>1892</v>
      </c>
      <c r="I23" s="782" t="s">
        <v>680</v>
      </c>
      <c r="J23" s="53">
        <f ca="1">ROUND(J13*M23,0)</f>
        <v>0</v>
      </c>
      <c r="K23" s="2505" t="s">
        <v>1773</v>
      </c>
      <c r="L23" s="782" t="s">
        <v>1749</v>
      </c>
      <c r="M23" s="816">
        <f ca="1">INDIRECT("'数据-取费表'!Al"&amp;$G$1)</f>
        <v>0</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540" t="s">
        <v>1834</v>
      </c>
      <c r="B24" s="3099" t="s">
        <v>1774</v>
      </c>
      <c r="C24" s="17">
        <f ca="1">ROUND(IF('数据-取费表'!B22&lt;=1,F21*F24*F23/2,F21*(POWER((1+F24),F23/2)-1)),4)</f>
        <v>1.4E-3</v>
      </c>
      <c r="D24" s="3546" t="str">
        <f>IF(F23&lt;=1,"销售费用×利率×(建设周期÷2)","销售费用×((1+利率)^(建设周期÷2)-1)")</f>
        <v>销售费用×((1+利率)^(建设周期÷2)-1)</v>
      </c>
      <c r="E24" s="3099" t="s">
        <v>1775</v>
      </c>
      <c r="F24" s="3548">
        <f ca="1">'数据-取费表'!B40</f>
        <v>4.7500000000000001E-2</v>
      </c>
      <c r="G24" s="1591"/>
      <c r="H24" s="2569" t="s">
        <v>1893</v>
      </c>
      <c r="I24" s="2564" t="s">
        <v>667</v>
      </c>
      <c r="J24" s="2562">
        <f ca="1">ROUND(J5*M24,0)</f>
        <v>0</v>
      </c>
      <c r="K24" s="2563" t="s">
        <v>1776</v>
      </c>
      <c r="L24" s="2564" t="s">
        <v>1749</v>
      </c>
      <c r="M24" s="2561">
        <f ca="1">INDIRECT("'数据-取费表'!Am"&amp;$G$1)</f>
        <v>0</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549" t="s">
        <v>1842</v>
      </c>
      <c r="B25" s="3099" t="s">
        <v>685</v>
      </c>
      <c r="C25" s="17"/>
      <c r="D25" s="3439" t="s">
        <v>1777</v>
      </c>
      <c r="E25" s="3096"/>
      <c r="F25" s="818"/>
      <c r="G25" s="1590"/>
      <c r="H25" s="1826" t="s">
        <v>1778</v>
      </c>
      <c r="I25" s="2973" t="s">
        <v>2827</v>
      </c>
      <c r="J25" s="790">
        <f ca="1">J5-J16</f>
        <v>-218</v>
      </c>
      <c r="K25" s="2566" t="s">
        <v>1779</v>
      </c>
      <c r="L25" s="2567"/>
      <c r="M25" s="2568"/>
    </row>
    <row r="26" spans="1:33" ht="18" customHeight="1">
      <c r="A26" s="3540" t="s">
        <v>1833</v>
      </c>
      <c r="B26" s="3099" t="s">
        <v>2439</v>
      </c>
      <c r="C26" s="17">
        <f ca="1">ROUND((C19+C20)*F26,0)</f>
        <v>3489</v>
      </c>
      <c r="D26" s="810" t="s">
        <v>1780</v>
      </c>
      <c r="E26" s="812" t="s">
        <v>1781</v>
      </c>
      <c r="F26" s="3524">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540" t="s">
        <v>1834</v>
      </c>
      <c r="B27" s="3099" t="s">
        <v>687</v>
      </c>
      <c r="C27" s="17">
        <f ca="1">ROUND(F21*F26,4)</f>
        <v>4.0000000000000001E-3</v>
      </c>
      <c r="D27" s="810" t="s">
        <v>1784</v>
      </c>
      <c r="E27" s="814"/>
      <c r="F27" s="3543"/>
      <c r="G27" s="1590"/>
      <c r="H27" s="2523"/>
      <c r="I27" s="785"/>
      <c r="J27" s="786"/>
      <c r="K27" s="819" t="s">
        <v>1785</v>
      </c>
      <c r="L27" s="782" t="s">
        <v>1786</v>
      </c>
      <c r="M27" s="820">
        <f ca="1">INDIRECT("'数据-取费表'!ag"&amp;$G$1)</f>
        <v>0</v>
      </c>
    </row>
    <row r="28" spans="1:33" s="2061" customFormat="1" ht="18" customHeight="1">
      <c r="A28" s="3549" t="s">
        <v>1843</v>
      </c>
      <c r="B28" s="3099" t="s">
        <v>688</v>
      </c>
      <c r="C28" s="17">
        <f>ROUND(F28/(1+'数据-取费表'!C42),4)</f>
        <v>5.9400000000000001E-2</v>
      </c>
      <c r="D28" s="810" t="s">
        <v>2300</v>
      </c>
      <c r="E28" s="3099" t="s">
        <v>1787</v>
      </c>
      <c r="F28" s="3544">
        <f>'数据-取费表'!B41</f>
        <v>6.2719999999999998E-2</v>
      </c>
      <c r="G28" s="1591"/>
      <c r="H28" s="1826"/>
      <c r="I28" s="789"/>
      <c r="J28" s="790"/>
      <c r="K28" s="814"/>
      <c r="L28" s="782" t="s">
        <v>1788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550" t="s">
        <v>1894</v>
      </c>
      <c r="B29" s="3534" t="s">
        <v>2301</v>
      </c>
      <c r="C29" s="3551">
        <f ca="1">ROUND((C19+C20+C23+C26)/(1-F21-C24-C27-C28),0)</f>
        <v>24248</v>
      </c>
      <c r="D29" s="2563"/>
      <c r="E29" s="2563"/>
      <c r="F29" s="3552"/>
      <c r="G29" s="1591"/>
      <c r="H29" s="821" t="s">
        <v>1789</v>
      </c>
      <c r="I29" s="822" t="s">
        <v>1790</v>
      </c>
      <c r="J29" s="823">
        <f ca="1">ROUND(J26/(1+F40)^F41,0)</f>
        <v>0</v>
      </c>
      <c r="K29" s="824" t="s">
        <v>1791</v>
      </c>
      <c r="L29" s="825"/>
      <c r="M29" s="826">
        <f ca="1">INDIRECT("'数据-取费表'!k"&amp;$G$1)</f>
        <v>72588.709999999992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536" t="s">
        <v>1895</v>
      </c>
      <c r="B30" s="3537" t="s">
        <v>1792</v>
      </c>
      <c r="C30" s="3538">
        <f ca="1">ROUND(C31+C36+C37+C38,0)</f>
        <v>504</v>
      </c>
      <c r="D30" s="2566" t="s">
        <v>1793</v>
      </c>
      <c r="E30" s="2567"/>
      <c r="F30" s="2568"/>
      <c r="G30" s="2059"/>
      <c r="H30" s="2062"/>
      <c r="I30" s="2063"/>
      <c r="J30" s="2064"/>
      <c r="K30" s="2065"/>
      <c r="L30" s="2066"/>
      <c r="M30" s="2067"/>
    </row>
    <row r="31" spans="1:33" ht="18" customHeight="1">
      <c r="A31" s="3545" t="s">
        <v>1832</v>
      </c>
      <c r="B31" s="3099" t="s">
        <v>657</v>
      </c>
      <c r="C31" s="17">
        <f ca="1">ROUND(IF(项目基本情况!B11="自然人",C5*F31,C32+C33+C34),1)</f>
        <v>503.5</v>
      </c>
      <c r="D31" s="3098" t="s">
        <v>1794</v>
      </c>
      <c r="E31" s="3099" t="s">
        <v>1795</v>
      </c>
      <c r="F31" s="808" t="str">
        <f ca="1">IF(项目基本情况!B11="企业","",IF(INDIRECT("'数据-取费表'!c"&amp;$G$1)="住宅",5%,IF(F6*F7*F8/12/(1+'数据-取费表'!C42)&gt;20000,12%,7%)))</f>
        <v/>
      </c>
      <c r="G31" s="2059"/>
      <c r="H31" s="2062"/>
      <c r="I31" s="2063"/>
      <c r="J31" s="2064"/>
      <c r="K31" s="2065"/>
      <c r="L31" s="2066"/>
      <c r="M31" s="2067"/>
    </row>
    <row r="32" spans="1:33" ht="18" customHeight="1">
      <c r="A32" s="3540" t="s">
        <v>1833</v>
      </c>
      <c r="B32" s="3099" t="s">
        <v>1796</v>
      </c>
      <c r="C32" s="17">
        <f ca="1">ROUND(C5*F32/1.05,1)</f>
        <v>285.3</v>
      </c>
      <c r="D32" s="3099" t="s">
        <v>1797</v>
      </c>
      <c r="E32" s="3099" t="s">
        <v>1798</v>
      </c>
      <c r="F32" s="3544">
        <f>'数据-取费表'!B41</f>
        <v>6.2719999999999998E-2</v>
      </c>
      <c r="G32" s="2059"/>
      <c r="H32" s="2068"/>
      <c r="I32" s="2069"/>
      <c r="J32" s="2070"/>
      <c r="K32" s="2071"/>
      <c r="L32" s="2072"/>
      <c r="M32" s="2073"/>
    </row>
    <row r="33" spans="1:18" ht="18" customHeight="1">
      <c r="A33" s="3540" t="s">
        <v>1834</v>
      </c>
      <c r="B33" s="3099" t="s">
        <v>1799</v>
      </c>
      <c r="C33" s="17">
        <f ca="1">IF(D33="按租金收入计税",ROUND(C5*F33,1),IF(D33="按房产原值计税",ROUND(C29*F33*0.7,1),INDIRECT("'数据-取费表'!Aj"&amp;$G$1)))</f>
        <v>203.7</v>
      </c>
      <c r="D33" s="809" t="s">
        <v>1682</v>
      </c>
      <c r="E33" s="3099" t="s">
        <v>1798</v>
      </c>
      <c r="F33" s="3544">
        <f>IF(D33="按租金收入计税",'数据-取费表'!B51,'数据-取费表'!B50)</f>
        <v>1.2E-2</v>
      </c>
      <c r="G33" s="2059"/>
      <c r="H33" s="2074"/>
      <c r="I33" s="2074"/>
      <c r="J33" s="2074"/>
      <c r="K33" s="2075"/>
      <c r="L33" s="2074"/>
      <c r="M33" s="2074"/>
    </row>
    <row r="34" spans="1:18" ht="18" customHeight="1">
      <c r="A34" s="3553" t="s">
        <v>1835</v>
      </c>
      <c r="B34" s="3554" t="s">
        <v>1800</v>
      </c>
      <c r="C34" s="41">
        <f ca="1">ROUND(F34*F35/10000,1)</f>
        <v>14.5</v>
      </c>
      <c r="D34" s="812" t="s">
        <v>1801</v>
      </c>
      <c r="E34" s="3099" t="s">
        <v>1802</v>
      </c>
      <c r="F34" s="3547">
        <f>'数据-取费表'!B52</f>
        <v>6</v>
      </c>
      <c r="G34" s="2059"/>
      <c r="H34" s="2062"/>
      <c r="I34" s="833" t="s">
        <v>1815</v>
      </c>
      <c r="J34" s="834"/>
      <c r="K34" s="2077"/>
      <c r="L34" s="2076"/>
      <c r="M34" s="2076"/>
    </row>
    <row r="35" spans="1:18" ht="18" customHeight="1">
      <c r="A35" s="3555"/>
      <c r="B35" s="3556"/>
      <c r="C35" s="73"/>
      <c r="D35" s="814"/>
      <c r="E35" s="3099" t="s">
        <v>1803</v>
      </c>
      <c r="F35" s="3518">
        <f ca="1">INDIRECT("'数据-取费表'!r"&amp;$G$1)</f>
        <v>24158.530000000002</v>
      </c>
      <c r="G35" s="2059"/>
      <c r="H35" s="2062"/>
      <c r="I35" s="835" t="s">
        <v>1816</v>
      </c>
      <c r="J35" s="836">
        <f ca="1">ROUND(C13*J36,0)</f>
        <v>2061</v>
      </c>
      <c r="K35" s="2075"/>
      <c r="L35" s="2074"/>
      <c r="M35" s="2074"/>
    </row>
    <row r="36" spans="1:18" ht="18" customHeight="1">
      <c r="A36" s="3545" t="s">
        <v>1891</v>
      </c>
      <c r="B36" s="3099" t="s">
        <v>1804</v>
      </c>
      <c r="C36" s="17">
        <f ca="1">ROUND(C29*F36,1)</f>
        <v>0</v>
      </c>
      <c r="D36" s="3099" t="s">
        <v>1805</v>
      </c>
      <c r="E36" s="3099" t="s">
        <v>1798</v>
      </c>
      <c r="F36" s="3557">
        <f ca="1">INDIRECT("'数据-取费表'!Ak"&amp;$G$1)</f>
        <v>0</v>
      </c>
      <c r="G36" s="2059"/>
      <c r="H36" s="2074"/>
      <c r="I36" s="837" t="s">
        <v>1817</v>
      </c>
      <c r="J36" s="838">
        <f ca="1">INDIRECT("'数据-取费表'!j"&amp;$G$1)</f>
        <v>8.5000000000000006E-2</v>
      </c>
      <c r="K36" s="2079"/>
      <c r="L36" s="2074"/>
      <c r="M36" s="2074"/>
    </row>
    <row r="37" spans="1:18" ht="18" customHeight="1">
      <c r="A37" s="3545" t="s">
        <v>1892</v>
      </c>
      <c r="B37" s="3099" t="s">
        <v>680</v>
      </c>
      <c r="C37" s="17">
        <f ca="1">ROUND(C13*F37,1)</f>
        <v>0</v>
      </c>
      <c r="D37" s="3099" t="s">
        <v>1806</v>
      </c>
      <c r="E37" s="3099" t="s">
        <v>1798</v>
      </c>
      <c r="F37" s="3558">
        <f ca="1">INDIRECT("'数据-取费表'!Al"&amp;$G$1)</f>
        <v>0</v>
      </c>
      <c r="G37" s="2059"/>
      <c r="H37" s="2074"/>
      <c r="I37" s="839" t="s">
        <v>1818</v>
      </c>
      <c r="J37" s="840"/>
      <c r="K37" s="2079"/>
      <c r="L37" s="2074"/>
      <c r="M37" s="2074"/>
    </row>
    <row r="38" spans="1:18" ht="18" customHeight="1" thickBot="1">
      <c r="A38" s="3559" t="s">
        <v>1893</v>
      </c>
      <c r="B38" s="2563" t="s">
        <v>667</v>
      </c>
      <c r="C38" s="3551">
        <f ca="1">ROUND(C5*F38,1)</f>
        <v>0</v>
      </c>
      <c r="D38" s="2563" t="s">
        <v>1807</v>
      </c>
      <c r="E38" s="2563" t="s">
        <v>1798</v>
      </c>
      <c r="F38" s="3535">
        <f ca="1">INDIRECT("'数据-取费表'!Am"&amp;$G$1)</f>
        <v>0</v>
      </c>
      <c r="G38" s="2059"/>
      <c r="H38" s="2074"/>
      <c r="I38" s="841" t="s">
        <v>1819</v>
      </c>
      <c r="J38" s="842"/>
      <c r="K38" s="2080"/>
      <c r="L38" s="2074"/>
      <c r="M38" s="2074"/>
    </row>
    <row r="39" spans="1:18" ht="24.6" customHeight="1" thickTop="1">
      <c r="A39" s="3536" t="s">
        <v>1896</v>
      </c>
      <c r="B39" s="2973" t="s">
        <v>2827</v>
      </c>
      <c r="C39" s="3538">
        <f ca="1">C5-C30</f>
        <v>4272</v>
      </c>
      <c r="D39" s="2566" t="s">
        <v>1808</v>
      </c>
      <c r="E39" s="2567"/>
      <c r="F39" s="2568"/>
      <c r="G39" s="2059"/>
      <c r="H39" s="2074"/>
      <c r="I39" s="835" t="s">
        <v>1820</v>
      </c>
      <c r="J39" s="843">
        <f ca="1">ROUND(J35/C39,3)</f>
        <v>0.48199999999999998</v>
      </c>
      <c r="K39" s="2080"/>
      <c r="L39" s="2074"/>
      <c r="M39" s="2074"/>
    </row>
    <row r="40" spans="1:18" ht="18" customHeight="1">
      <c r="A40" s="3513" t="s">
        <v>1897</v>
      </c>
      <c r="B40" s="2229" t="s">
        <v>2302</v>
      </c>
      <c r="C40" s="3517">
        <f ca="1">ROUND(C39*(1-((1+F42)/(1+F40))^F41)/(F40-F42),0)</f>
        <v>93428</v>
      </c>
      <c r="D40" s="812" t="s">
        <v>1809</v>
      </c>
      <c r="E40" s="3099" t="s">
        <v>2420</v>
      </c>
      <c r="F40" s="3524">
        <f ca="1">INDIRECT("'数据-取费表'!I"&amp;$G$1)</f>
        <v>5.5E-2</v>
      </c>
      <c r="G40" s="2059"/>
      <c r="H40" s="2059"/>
      <c r="I40" s="835" t="s">
        <v>1821</v>
      </c>
      <c r="J40" s="843">
        <f ca="1">1-J39</f>
        <v>0.51800000000000002</v>
      </c>
      <c r="K40" s="2080"/>
      <c r="L40" s="2059"/>
      <c r="M40" s="2059"/>
    </row>
    <row r="41" spans="1:18" ht="18" customHeight="1">
      <c r="A41" s="3523"/>
      <c r="B41" s="785"/>
      <c r="C41" s="3520"/>
      <c r="D41" s="819" t="s">
        <v>1810</v>
      </c>
      <c r="E41" s="3099" t="s">
        <v>2971</v>
      </c>
      <c r="F41" s="3560">
        <f ca="1">IF(INDIRECT("'数据-取费表'!af"&amp;$G$1)=0,INDIRECT("'数据-取费表'!ae"&amp;$G$1),INDIRECT("'数据-取费表'!af"&amp;$G$1))</f>
        <v>37</v>
      </c>
      <c r="G41" s="2059"/>
      <c r="H41" s="1985"/>
      <c r="I41" s="841" t="s">
        <v>1822</v>
      </c>
      <c r="J41" s="844"/>
      <c r="K41" s="2079"/>
      <c r="L41" s="1985"/>
      <c r="M41" s="1985"/>
    </row>
    <row r="42" spans="1:18" ht="18" customHeight="1">
      <c r="A42" s="3528"/>
      <c r="B42" s="789"/>
      <c r="C42" s="3538"/>
      <c r="D42" s="814"/>
      <c r="E42" s="3099" t="s">
        <v>1811</v>
      </c>
      <c r="F42" s="3524">
        <f ca="1">INDIRECT("'数据-取费表'!v"&amp;$G$1)</f>
        <v>2.5000000000000001E-2</v>
      </c>
      <c r="G42" s="2059"/>
      <c r="H42" s="1985"/>
      <c r="I42" s="845" t="s">
        <v>1823</v>
      </c>
      <c r="J42" s="843">
        <f ca="1">ROUND(C13/C40,3)</f>
        <v>0.26</v>
      </c>
      <c r="K42" s="2079"/>
      <c r="L42" s="1985"/>
      <c r="M42" s="1985"/>
    </row>
    <row r="43" spans="1:18" ht="18" customHeight="1" thickBot="1">
      <c r="A43" s="386" t="s">
        <v>1789</v>
      </c>
      <c r="B43" s="3561" t="s">
        <v>1812</v>
      </c>
      <c r="C43" s="408">
        <f ca="1">ROUND(C40*10000/F43,0)</f>
        <v>12871</v>
      </c>
      <c r="D43" s="3562" t="s">
        <v>1813</v>
      </c>
      <c r="E43" s="3102" t="s">
        <v>1814</v>
      </c>
      <c r="F43" s="3563">
        <f ca="1">INDIRECT("'数据-取费表'!k"&amp;$G$1)</f>
        <v>72588.709999999992</v>
      </c>
      <c r="G43" s="2059"/>
      <c r="H43" s="1985"/>
      <c r="I43" s="845" t="s">
        <v>1824</v>
      </c>
      <c r="J43" s="846">
        <f ca="1">1-J42</f>
        <v>0.74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-96845</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2540</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93428</v>
      </c>
      <c r="R48" s="2420" t="s">
        <v>2381</v>
      </c>
    </row>
    <row r="49" spans="1:18" s="2056" customFormat="1" ht="18" customHeight="1" thickBot="1">
      <c r="A49" s="784"/>
      <c r="B49" s="785"/>
      <c r="C49" s="786"/>
      <c r="D49" s="787"/>
      <c r="E49" s="782" t="s">
        <v>1741</v>
      </c>
      <c r="F49" s="783">
        <f ca="1">F7</f>
        <v>72588.709999999992</v>
      </c>
      <c r="G49" s="2087"/>
      <c r="H49" s="2090"/>
      <c r="I49" s="2380" t="s">
        <v>2346</v>
      </c>
      <c r="J49" s="2390">
        <v>2017</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24248</v>
      </c>
      <c r="R50" s="2420" t="s">
        <v>2381</v>
      </c>
    </row>
    <row r="51" spans="1:18" s="2056" customFormat="1" ht="18" customHeight="1" thickBot="1">
      <c r="A51" s="784"/>
      <c r="B51" s="785"/>
      <c r="C51" s="786"/>
      <c r="D51" s="787"/>
      <c r="E51" s="782" t="s">
        <v>641</v>
      </c>
      <c r="F51" s="2368"/>
      <c r="H51" s="2090"/>
      <c r="I51" s="2381" t="s">
        <v>2348</v>
      </c>
      <c r="J51" s="2394">
        <f>IF(J49="",J50,J49+J50-YEAR('数据-取费表'!B2))</f>
        <v>60</v>
      </c>
      <c r="K51" s="2380" t="s">
        <v>2355</v>
      </c>
      <c r="L51" s="2395">
        <f ca="1">ROUND(-PV(INDIRECT("'数据-取费表'!h"&amp;$G$1),L48,(C39-C13*J36),0),0)</f>
        <v>40684</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363" t="s">
        <v>2973</v>
      </c>
      <c r="L53" s="3364"/>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93428</v>
      </c>
      <c r="R54" s="2424" t="s">
        <v>2393</v>
      </c>
    </row>
    <row r="55" spans="1:18" s="2056" customFormat="1" ht="18" customHeight="1" thickTop="1" thickBot="1">
      <c r="A55" s="795">
        <v>2</v>
      </c>
      <c r="B55" s="796" t="s">
        <v>645</v>
      </c>
      <c r="C55" s="797">
        <f ca="1">C13</f>
        <v>24248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2303</v>
      </c>
      <c r="C56" s="53">
        <f ca="1">C29</f>
        <v>24248</v>
      </c>
      <c r="D56" s="2658"/>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218</v>
      </c>
      <c r="D57" s="26" t="s">
        <v>1752</v>
      </c>
      <c r="E57" s="2659"/>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93428</v>
      </c>
      <c r="R57" s="2420" t="s">
        <v>2381</v>
      </c>
    </row>
    <row r="58" spans="1:18" s="2056" customFormat="1" ht="28.5" customHeight="1" thickBot="1">
      <c r="A58" s="1646" t="s">
        <v>1826</v>
      </c>
      <c r="B58" s="782" t="s">
        <v>657</v>
      </c>
      <c r="C58" s="53">
        <f ca="1">ROUND(IF(项目基本情况!B11="自然人",C47*F58,C59+C60+C61),1)</f>
        <v>218.2</v>
      </c>
      <c r="D58" s="2657" t="s">
        <v>658</v>
      </c>
      <c r="E58" s="2658"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2658"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203.7</v>
      </c>
      <c r="D60" s="2658"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14.5</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24158.530000000002</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0</v>
      </c>
      <c r="D63" s="2658" t="s">
        <v>1805</v>
      </c>
      <c r="E63" s="782" t="s">
        <v>1749</v>
      </c>
      <c r="F63" s="815">
        <f t="shared" ca="1" si="0"/>
        <v>0</v>
      </c>
      <c r="I63" s="2406" t="s">
        <v>2371</v>
      </c>
      <c r="J63" s="2407">
        <v>70</v>
      </c>
      <c r="K63" s="2407">
        <v>50</v>
      </c>
      <c r="L63" s="2407">
        <v>80</v>
      </c>
      <c r="M63" s="3062">
        <v>0.02</v>
      </c>
      <c r="O63" s="2419" t="s">
        <v>2392</v>
      </c>
      <c r="P63" s="2420" t="s">
        <v>2409</v>
      </c>
      <c r="Q63" s="2421">
        <f ca="1">Q57+Q58</f>
        <v>93428</v>
      </c>
      <c r="R63" s="2424" t="s">
        <v>2393</v>
      </c>
    </row>
    <row r="64" spans="1:18" s="2056" customFormat="1" ht="16.5" thickBot="1">
      <c r="A64" s="1646" t="s">
        <v>1892</v>
      </c>
      <c r="B64" s="782" t="s">
        <v>680</v>
      </c>
      <c r="C64" s="53">
        <f ca="1">ROUND(C55*F64,1)</f>
        <v>0</v>
      </c>
      <c r="D64" s="2658" t="s">
        <v>681</v>
      </c>
      <c r="E64" s="782" t="s">
        <v>1749</v>
      </c>
      <c r="F64" s="816">
        <f t="shared" ca="1" si="0"/>
        <v>0</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2658" t="s">
        <v>684</v>
      </c>
      <c r="E65" s="782" t="s">
        <v>1749</v>
      </c>
      <c r="F65" s="792">
        <f t="shared" ca="1" si="0"/>
        <v>0</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-218</v>
      </c>
      <c r="D66" s="2657" t="s">
        <v>701</v>
      </c>
      <c r="E66" s="2656"/>
      <c r="F66" s="818"/>
      <c r="K66" s="2083"/>
      <c r="O66" s="2419" t="s">
        <v>2380</v>
      </c>
      <c r="P66" s="2420" t="s">
        <v>2410</v>
      </c>
      <c r="Q66" s="2421">
        <f ca="1">C40+J29</f>
        <v>93428</v>
      </c>
      <c r="R66" s="2420" t="s">
        <v>2381</v>
      </c>
    </row>
    <row r="67" spans="1:18" s="2056" customFormat="1" ht="20.25" thickBot="1">
      <c r="A67" s="779" t="s">
        <v>1782</v>
      </c>
      <c r="B67" s="2229" t="s">
        <v>2302</v>
      </c>
      <c r="C67" s="781">
        <f ca="1">ROUND(C66*(1-((1+F69)/(1+F67))^F68)/(F67-F69),0)</f>
        <v>-3417</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1786</v>
      </c>
      <c r="F68" s="820">
        <f ca="1">F41</f>
        <v>37</v>
      </c>
      <c r="O68" s="2422" t="s">
        <v>2384</v>
      </c>
      <c r="P68" s="2420" t="s">
        <v>2414</v>
      </c>
      <c r="Q68" s="2426">
        <f ca="1">L51</f>
        <v>40684</v>
      </c>
      <c r="R68" s="2427" t="s">
        <v>2417</v>
      </c>
    </row>
    <row r="69" spans="1:18" ht="20.25" thickBot="1">
      <c r="A69" s="788"/>
      <c r="B69" s="789"/>
      <c r="C69" s="790"/>
      <c r="D69" s="814"/>
      <c r="E69" s="782" t="s">
        <v>711</v>
      </c>
      <c r="F69" s="2368"/>
      <c r="O69" s="2422" t="s">
        <v>2385</v>
      </c>
      <c r="P69" s="2428" t="s">
        <v>2399</v>
      </c>
      <c r="Q69" s="2421">
        <f ca="1">ROUND(Q70-Q71*Q72,0)</f>
        <v>2211</v>
      </c>
      <c r="R69" s="2424"/>
    </row>
    <row r="70" spans="1:18" ht="15.75" thickBot="1">
      <c r="A70" s="821" t="s">
        <v>1789</v>
      </c>
      <c r="B70" s="822" t="s">
        <v>1812</v>
      </c>
      <c r="C70" s="823">
        <f ca="1">ROUND(C67*10000/F70,0)</f>
        <v>-471</v>
      </c>
      <c r="D70" s="824" t="s">
        <v>1813</v>
      </c>
      <c r="E70" s="825" t="s">
        <v>1814</v>
      </c>
      <c r="F70" s="826">
        <f ca="1">F43</f>
        <v>72588.709999999992</v>
      </c>
      <c r="O70" s="2422" t="s">
        <v>2400</v>
      </c>
      <c r="P70" s="2428" t="s">
        <v>2401</v>
      </c>
      <c r="Q70" s="2421">
        <f ca="1">C39</f>
        <v>4272</v>
      </c>
      <c r="R70" s="2420" t="s">
        <v>2381</v>
      </c>
    </row>
    <row r="71" spans="1:18" ht="15.75" thickBot="1">
      <c r="O71" s="2422" t="s">
        <v>2402</v>
      </c>
      <c r="P71" s="2428" t="s">
        <v>2403</v>
      </c>
      <c r="Q71" s="2421">
        <f ca="1">C13</f>
        <v>24248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93428</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A4" sqref="A4: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1679</v>
      </c>
      <c r="D1" s="3088" t="s">
        <v>3123</v>
      </c>
      <c r="E1" s="2408" t="s">
        <v>2375</v>
      </c>
      <c r="F1" s="2409">
        <f ca="1">J53</f>
        <v>37</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20532</v>
      </c>
      <c r="C2" s="2054"/>
      <c r="D2" s="2052"/>
      <c r="E2" s="2053"/>
      <c r="F2" s="2053"/>
      <c r="G2" s="1588"/>
      <c r="H2" s="2054"/>
      <c r="I2" s="2054"/>
      <c r="J2" s="2054"/>
      <c r="K2" s="2055"/>
      <c r="L2" s="2054"/>
      <c r="M2" s="2054"/>
    </row>
    <row r="3" spans="1:33" ht="18" customHeight="1" thickBot="1">
      <c r="A3" s="831" t="s">
        <v>1729</v>
      </c>
      <c r="B3" s="832">
        <f ca="1">IF(ISERROR(B2*10000/F43),0,ROUND(B2*10000/F43,0))</f>
        <v>10310</v>
      </c>
      <c r="C3" s="2054"/>
      <c r="D3" s="2052"/>
      <c r="E3" s="2053"/>
      <c r="F3" s="2053"/>
      <c r="G3" s="1588"/>
      <c r="H3" s="774" t="s">
        <v>696</v>
      </c>
      <c r="I3" s="1361"/>
      <c r="J3" s="1361"/>
      <c r="K3" s="1589"/>
      <c r="L3" s="1361"/>
      <c r="M3" s="1361"/>
    </row>
    <row r="4" spans="1:33" ht="18" customHeight="1">
      <c r="A4" s="3509" t="s">
        <v>1730</v>
      </c>
      <c r="B4" s="3510" t="s">
        <v>1731</v>
      </c>
      <c r="C4" s="3510" t="s">
        <v>1732</v>
      </c>
      <c r="D4" s="3510" t="s">
        <v>634</v>
      </c>
      <c r="E4" s="3511" t="s">
        <v>1733</v>
      </c>
      <c r="F4" s="3512"/>
      <c r="G4" s="1590"/>
      <c r="H4" s="775" t="s">
        <v>1734</v>
      </c>
      <c r="I4" s="776" t="s">
        <v>1735</v>
      </c>
      <c r="J4" s="776" t="s">
        <v>1736</v>
      </c>
      <c r="K4" s="776" t="s">
        <v>1737</v>
      </c>
      <c r="L4" s="777" t="s">
        <v>1738</v>
      </c>
      <c r="M4" s="778"/>
    </row>
    <row r="5" spans="1:33" ht="18" customHeight="1">
      <c r="A5" s="3513">
        <v>1</v>
      </c>
      <c r="B5" s="780" t="s">
        <v>2460</v>
      </c>
      <c r="C5" s="77">
        <f ca="1">C6+C10+C12</f>
        <v>982</v>
      </c>
      <c r="D5" s="3514" t="s">
        <v>2463</v>
      </c>
      <c r="E5" s="3515"/>
      <c r="F5" s="2568"/>
      <c r="G5" s="1590"/>
      <c r="H5" s="779">
        <v>1</v>
      </c>
      <c r="I5" s="780" t="s">
        <v>2460</v>
      </c>
      <c r="J5" s="55">
        <f ca="1">J6+J10+J12</f>
        <v>0</v>
      </c>
      <c r="K5" s="2517" t="s">
        <v>2463</v>
      </c>
      <c r="L5" s="2511"/>
      <c r="M5" s="2512"/>
    </row>
    <row r="6" spans="1:33" ht="18" customHeight="1">
      <c r="A6" s="3516" t="s">
        <v>1826</v>
      </c>
      <c r="B6" s="3347" t="s">
        <v>2465</v>
      </c>
      <c r="C6" s="3517">
        <f ca="1">ROUND(F6*F8*F7*(1-F9)/10000,0)</f>
        <v>981</v>
      </c>
      <c r="D6" s="2584" t="s">
        <v>2464</v>
      </c>
      <c r="E6" s="3099" t="s">
        <v>1740</v>
      </c>
      <c r="F6" s="3518">
        <f ca="1">INDIRECT("'数据-取费表'!u"&amp;$G$1)</f>
        <v>1.5</v>
      </c>
      <c r="G6" s="1590"/>
      <c r="H6" s="2524" t="s">
        <v>1826</v>
      </c>
      <c r="I6" s="3347" t="s">
        <v>2465</v>
      </c>
      <c r="J6" s="781">
        <f ca="1">ROUND(M6*M8*M7*(1-M9)/10000,0)</f>
        <v>0</v>
      </c>
      <c r="K6" s="341" t="s">
        <v>1739</v>
      </c>
      <c r="L6" s="782" t="s">
        <v>1740</v>
      </c>
      <c r="M6" s="783">
        <f ca="1">INDIRECT("'数据-取费表'!z"&amp;$G$1)</f>
        <v>0</v>
      </c>
    </row>
    <row r="7" spans="1:33" ht="18" customHeight="1">
      <c r="A7" s="3519"/>
      <c r="B7" s="3348"/>
      <c r="C7" s="3520"/>
      <c r="D7" s="3521"/>
      <c r="E7" s="3099" t="s">
        <v>1741</v>
      </c>
      <c r="F7" s="3518">
        <f ca="1">IF(INDIRECT("'数据-取费表'!ah"&amp;$G$1)="",INDIRECT("'数据-取费表'!k"&amp;$G$1),INDIRECT("'数据-取费表'!ah"&amp;$G$1))</f>
        <v>19914.97</v>
      </c>
      <c r="G7" s="1590"/>
      <c r="H7" s="2510"/>
      <c r="I7" s="3348"/>
      <c r="J7" s="786"/>
      <c r="K7" s="787"/>
      <c r="L7" s="782" t="s">
        <v>1741</v>
      </c>
      <c r="M7" s="783">
        <f ca="1">F7</f>
        <v>19914.97</v>
      </c>
    </row>
    <row r="8" spans="1:33" ht="18" customHeight="1">
      <c r="A8" s="3522"/>
      <c r="B8" s="3349"/>
      <c r="C8" s="3520"/>
      <c r="D8" s="3521"/>
      <c r="E8" s="3099" t="s">
        <v>1742</v>
      </c>
      <c r="F8" s="3518">
        <f ca="1">INDIRECT("'数据-取费表'!ai"&amp;$G$1)</f>
        <v>365</v>
      </c>
      <c r="G8" s="1590"/>
      <c r="H8" s="2510"/>
      <c r="I8" s="3349"/>
      <c r="J8" s="786"/>
      <c r="K8" s="787"/>
      <c r="L8" s="782" t="s">
        <v>1742</v>
      </c>
      <c r="M8" s="783">
        <f ca="1">INDIRECT("'数据-取费表'!ai"&amp;$G$1)</f>
        <v>365</v>
      </c>
    </row>
    <row r="9" spans="1:33" ht="18" customHeight="1">
      <c r="A9" s="3523"/>
      <c r="B9" s="3350"/>
      <c r="C9" s="3520"/>
      <c r="D9" s="3521"/>
      <c r="E9" s="3099" t="s">
        <v>1743</v>
      </c>
      <c r="F9" s="3524">
        <f ca="1">INDIRECT("'数据-取费表'!w"&amp;$G$1)</f>
        <v>0.1</v>
      </c>
      <c r="G9" s="1590"/>
      <c r="H9" s="2525"/>
      <c r="I9" s="3349"/>
      <c r="J9" s="786"/>
      <c r="K9" s="787"/>
      <c r="L9" s="793" t="s">
        <v>1743</v>
      </c>
      <c r="M9" s="794">
        <f ca="1">INDIRECT("'数据-取费表'!ab"&amp;$G$1)</f>
        <v>0</v>
      </c>
    </row>
    <row r="10" spans="1:33" ht="18" customHeight="1">
      <c r="A10" s="3516" t="s">
        <v>1827</v>
      </c>
      <c r="B10" s="2515" t="s">
        <v>2461</v>
      </c>
      <c r="C10" s="3525">
        <f ca="1">ROUND(IF(F10="押一",F6*F8*F7/12*F11,IF(F10="押二",F6*F8*F7/12*2*F11,IF(F10="押三",F6*F8*F7/12*3*F11,C11*F11)))/10000,0)</f>
        <v>1</v>
      </c>
      <c r="D10" s="2515" t="s">
        <v>2468</v>
      </c>
      <c r="E10" s="3526" t="s">
        <v>2466</v>
      </c>
      <c r="F10" s="3527"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528"/>
      <c r="B11" s="2516" t="s">
        <v>2576</v>
      </c>
      <c r="C11" s="3529"/>
      <c r="D11" s="3521"/>
      <c r="E11" s="3526" t="s">
        <v>2458</v>
      </c>
      <c r="F11" s="3530">
        <f ca="1">'数据-取费表'!B39</f>
        <v>1.4999999999999999E-2</v>
      </c>
      <c r="G11" s="1590"/>
      <c r="H11" s="2580"/>
      <c r="I11" s="2516" t="s">
        <v>2576</v>
      </c>
      <c r="J11" s="2519"/>
      <c r="K11" s="2581"/>
      <c r="L11" s="2518" t="s">
        <v>2458</v>
      </c>
      <c r="M11" s="2513">
        <f ca="1">'数据-取费表'!B39</f>
        <v>1.4999999999999999E-2</v>
      </c>
    </row>
    <row r="12" spans="1:33" ht="18" customHeight="1" thickBot="1">
      <c r="A12" s="3531" t="s">
        <v>2470</v>
      </c>
      <c r="B12" s="2557" t="s">
        <v>2462</v>
      </c>
      <c r="C12" s="3532"/>
      <c r="D12" s="3533"/>
      <c r="E12" s="3534"/>
      <c r="F12" s="3535"/>
      <c r="G12" s="1590"/>
      <c r="H12" s="2569" t="s">
        <v>2470</v>
      </c>
      <c r="I12" s="2582" t="s">
        <v>2462</v>
      </c>
      <c r="J12" s="2583"/>
      <c r="K12" s="2559"/>
      <c r="L12" s="2560"/>
      <c r="M12" s="2572"/>
    </row>
    <row r="13" spans="1:33" ht="18" customHeight="1" thickTop="1">
      <c r="A13" s="3536">
        <v>2</v>
      </c>
      <c r="B13" s="3537" t="s">
        <v>1744</v>
      </c>
      <c r="C13" s="3538">
        <f ca="1">ROUND(C29*F13,0)</f>
        <v>5823</v>
      </c>
      <c r="D13" s="819" t="s">
        <v>2298</v>
      </c>
      <c r="E13" s="819" t="s">
        <v>1746</v>
      </c>
      <c r="F13" s="3539">
        <f ca="1">INDIRECT("'数据-取费表'!y"&amp;$G$1)</f>
        <v>1</v>
      </c>
      <c r="G13" s="1590"/>
      <c r="H13" s="1826">
        <v>2</v>
      </c>
      <c r="I13" s="1824" t="s">
        <v>1744</v>
      </c>
      <c r="J13" s="1816">
        <f ca="1">ROUND(J14*J15,0)</f>
        <v>0</v>
      </c>
      <c r="K13" s="1818" t="s">
        <v>1745</v>
      </c>
      <c r="L13" s="2570"/>
      <c r="M13" s="2571"/>
    </row>
    <row r="14" spans="1:33" ht="18" customHeight="1">
      <c r="A14" s="3540" t="s">
        <v>1886</v>
      </c>
      <c r="B14" s="3099" t="s">
        <v>646</v>
      </c>
      <c r="C14" s="3541">
        <f ca="1">INDIRECT("'数据-取费表'!m"&amp;$G$1)+INDIRECT("'数据-取费表'!t"&amp;$G$1)</f>
        <v>3739</v>
      </c>
      <c r="D14" s="3098" t="s">
        <v>1747</v>
      </c>
      <c r="E14" s="3097"/>
      <c r="F14" s="3542"/>
      <c r="G14" s="1590"/>
      <c r="H14" s="1646" t="s">
        <v>1826</v>
      </c>
      <c r="I14" s="2228" t="s">
        <v>2830</v>
      </c>
      <c r="J14" s="53">
        <f ca="1">C29</f>
        <v>5823</v>
      </c>
      <c r="K14" s="26"/>
      <c r="L14" s="799"/>
      <c r="M14" s="800"/>
    </row>
    <row r="15" spans="1:33" s="2061" customFormat="1" ht="18" customHeight="1" thickBot="1">
      <c r="A15" s="3540" t="s">
        <v>1887</v>
      </c>
      <c r="B15" s="3099" t="s">
        <v>648</v>
      </c>
      <c r="C15" s="17">
        <f ca="1">ROUND(C14*F15,0)</f>
        <v>112</v>
      </c>
      <c r="D15" s="814" t="s">
        <v>1748</v>
      </c>
      <c r="E15" s="814" t="s">
        <v>1749</v>
      </c>
      <c r="F15" s="3543">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540" t="s">
        <v>1888</v>
      </c>
      <c r="B16" s="3099" t="s">
        <v>651</v>
      </c>
      <c r="C16" s="17">
        <f ca="1">ROUND(INDIRECT("'数据-取费表'!m"&amp;$G$1)*F16,0)</f>
        <v>0</v>
      </c>
      <c r="D16" s="3099" t="s">
        <v>1748</v>
      </c>
      <c r="E16" s="3099" t="s">
        <v>1749</v>
      </c>
      <c r="F16" s="3544">
        <f ca="1">IF(INDIRECT("'数据-取费表'!c"&amp;$G$1)="住宅",'数据-取费表'!B34,0)</f>
        <v>0</v>
      </c>
      <c r="G16" s="1590"/>
      <c r="H16" s="1826" t="s">
        <v>1750</v>
      </c>
      <c r="I16" s="1824" t="s">
        <v>1751</v>
      </c>
      <c r="J16" s="790">
        <f ca="1">ROUND(J17+J22+J23+J24,0)</f>
        <v>53</v>
      </c>
      <c r="K16" s="1818" t="s">
        <v>1752</v>
      </c>
      <c r="L16" s="3100"/>
      <c r="M16" s="2512"/>
    </row>
    <row r="17" spans="1:33" s="2061" customFormat="1" ht="18" customHeight="1">
      <c r="A17" s="3540" t="s">
        <v>1889</v>
      </c>
      <c r="B17" s="3099" t="s">
        <v>654</v>
      </c>
      <c r="C17" s="17">
        <f ca="1">ROUND(F17*(F43+INDIRECT("'数据-取费表'!S"&amp;$G$1))/10000,0)</f>
        <v>415</v>
      </c>
      <c r="D17" s="3099" t="s">
        <v>1753</v>
      </c>
      <c r="E17" s="3099" t="s">
        <v>1754</v>
      </c>
      <c r="F17" s="818">
        <f>'数据-取费表'!B35</f>
        <v>200</v>
      </c>
      <c r="G17" s="1591"/>
      <c r="H17" s="1646" t="s">
        <v>1826</v>
      </c>
      <c r="I17" s="782" t="s">
        <v>657</v>
      </c>
      <c r="J17" s="53">
        <f ca="1">ROUND(IF(项目基本情况!B11="自然人",J5*M17,J18+J19+J20),0)</f>
        <v>53</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540" t="s">
        <v>1890</v>
      </c>
      <c r="B18" s="3099" t="s">
        <v>660</v>
      </c>
      <c r="C18" s="17">
        <f ca="1">ROUND(C14*F18,0)</f>
        <v>56</v>
      </c>
      <c r="D18" s="3099" t="s">
        <v>1748</v>
      </c>
      <c r="E18" s="3099" t="s">
        <v>1749</v>
      </c>
      <c r="F18" s="3544">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545" t="s">
        <v>1826</v>
      </c>
      <c r="B19" s="3099" t="s">
        <v>663</v>
      </c>
      <c r="C19" s="17">
        <f ca="1">SUM(C14:C18)</f>
        <v>4322</v>
      </c>
      <c r="D19" s="3439" t="s">
        <v>1759</v>
      </c>
      <c r="E19" s="3096"/>
      <c r="F19" s="818"/>
      <c r="G19" s="1590"/>
      <c r="H19" s="1645" t="s">
        <v>1887</v>
      </c>
      <c r="I19" s="782" t="s">
        <v>1760</v>
      </c>
      <c r="J19" s="53">
        <f ca="1">IF(K19="按租金收入计税",ROUND(J5*M19,1),ROUND(C29*F33*0.7,1))</f>
        <v>48.9</v>
      </c>
      <c r="K19" s="809" t="s">
        <v>666</v>
      </c>
      <c r="L19" s="782" t="s">
        <v>1749</v>
      </c>
      <c r="M19" s="807">
        <f>IF(K19="按租金收入计税",'数据-取费表'!B51,'数据-取费表'!B50)</f>
        <v>1.2E-2</v>
      </c>
    </row>
    <row r="20" spans="1:33" s="2061" customFormat="1" ht="18" customHeight="1">
      <c r="A20" s="3545" t="s">
        <v>1891</v>
      </c>
      <c r="B20" s="3099" t="s">
        <v>667</v>
      </c>
      <c r="C20" s="17">
        <f ca="1">ROUND(C19*F20,0)</f>
        <v>43</v>
      </c>
      <c r="D20" s="810" t="s">
        <v>1761</v>
      </c>
      <c r="E20" s="3099" t="s">
        <v>1749</v>
      </c>
      <c r="F20" s="3544">
        <f>'数据-取费表'!B37</f>
        <v>0.01</v>
      </c>
      <c r="G20" s="1591"/>
      <c r="H20" s="1648" t="s">
        <v>1882</v>
      </c>
      <c r="I20" s="341" t="s">
        <v>1762</v>
      </c>
      <c r="J20" s="54">
        <f ca="1">ROUND(M20*M21/10000,0)</f>
        <v>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545" t="s">
        <v>1892</v>
      </c>
      <c r="B21" s="3099" t="s">
        <v>1765</v>
      </c>
      <c r="C21" s="17" t="s">
        <v>1766</v>
      </c>
      <c r="D21" s="810" t="s">
        <v>2299</v>
      </c>
      <c r="E21" s="3099" t="s">
        <v>1767</v>
      </c>
      <c r="F21" s="3544">
        <f>'数据-取费表'!B38</f>
        <v>0.02</v>
      </c>
      <c r="G21" s="1591"/>
      <c r="H21" s="2526"/>
      <c r="I21" s="791"/>
      <c r="J21" s="69"/>
      <c r="K21" s="814"/>
      <c r="L21" s="782" t="s">
        <v>1768</v>
      </c>
      <c r="M21" s="783">
        <f ca="1">INDIRECT("'数据-取费表'!r"&amp;$G$1)</f>
        <v>6627.9800000000005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545" t="s">
        <v>1893</v>
      </c>
      <c r="B22" s="3099" t="s">
        <v>1769</v>
      </c>
      <c r="C22" s="17"/>
      <c r="D22" s="3489"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0</v>
      </c>
      <c r="K22" s="3099" t="s">
        <v>1771</v>
      </c>
      <c r="L22" s="782" t="s">
        <v>1749</v>
      </c>
      <c r="M22" s="815">
        <f ca="1">INDIRECT("'数据-取费表'!Ak"&amp;$G$1)</f>
        <v>0</v>
      </c>
    </row>
    <row r="23" spans="1:33" s="2061" customFormat="1" ht="18" customHeight="1">
      <c r="A23" s="3540" t="s">
        <v>1833</v>
      </c>
      <c r="B23" s="3099" t="s">
        <v>2438</v>
      </c>
      <c r="C23" s="17">
        <f ca="1">ROUND(IF('数据-取费表'!B22&lt;=1,(C19+C20)*F24*F23/2,(C19+C20)*(POWER((1+F24),F23/2)-1)),0)</f>
        <v>315</v>
      </c>
      <c r="D23" s="3546" t="str">
        <f>IF(F23&lt;=1,"(建造成本+管理费用)×利率×(建设周期÷2)","(建造成本+管理费用)×((1+利率)^(建设周期÷2)-1)")</f>
        <v>(建造成本+管理费用)×((1+利率)^(建设周期÷2)-1)</v>
      </c>
      <c r="E23" s="3099" t="s">
        <v>1772</v>
      </c>
      <c r="F23" s="3547">
        <f>'数据-取费表'!B20</f>
        <v>3</v>
      </c>
      <c r="G23" s="1591"/>
      <c r="H23" s="1646" t="s">
        <v>1892</v>
      </c>
      <c r="I23" s="782" t="s">
        <v>680</v>
      </c>
      <c r="J23" s="53">
        <f ca="1">ROUND(J13*M23,0)</f>
        <v>0</v>
      </c>
      <c r="K23" s="3099" t="s">
        <v>1773</v>
      </c>
      <c r="L23" s="782" t="s">
        <v>1749</v>
      </c>
      <c r="M23" s="816">
        <f ca="1">INDIRECT("'数据-取费表'!Al"&amp;$G$1)</f>
        <v>0</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540" t="s">
        <v>1834</v>
      </c>
      <c r="B24" s="3099" t="s">
        <v>1774</v>
      </c>
      <c r="C24" s="17">
        <f ca="1">ROUND(IF('数据-取费表'!B22&lt;=1,F21*F24*F23/2,F21*(POWER((1+F24),F23/2)-1)),4)</f>
        <v>1.4E-3</v>
      </c>
      <c r="D24" s="3546" t="str">
        <f>IF(F23&lt;=1,"销售费用×利率×(建设周期÷2)","销售费用×((1+利率)^(建设周期÷2)-1)")</f>
        <v>销售费用×((1+利率)^(建设周期÷2)-1)</v>
      </c>
      <c r="E24" s="3099" t="s">
        <v>1775</v>
      </c>
      <c r="F24" s="3548">
        <f ca="1">'数据-取费表'!B40</f>
        <v>4.7500000000000001E-2</v>
      </c>
      <c r="G24" s="1591"/>
      <c r="H24" s="2569" t="s">
        <v>1893</v>
      </c>
      <c r="I24" s="2564" t="s">
        <v>667</v>
      </c>
      <c r="J24" s="2562">
        <f ca="1">ROUND(J5*M24,0)</f>
        <v>0</v>
      </c>
      <c r="K24" s="2563" t="s">
        <v>684</v>
      </c>
      <c r="L24" s="2564" t="s">
        <v>1749</v>
      </c>
      <c r="M24" s="2561">
        <f ca="1">INDIRECT("'数据-取费表'!Am"&amp;$G$1)</f>
        <v>0</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549" t="s">
        <v>1842</v>
      </c>
      <c r="B25" s="3099" t="s">
        <v>685</v>
      </c>
      <c r="C25" s="17"/>
      <c r="D25" s="3439" t="s">
        <v>686</v>
      </c>
      <c r="E25" s="3096"/>
      <c r="F25" s="818"/>
      <c r="G25" s="1590"/>
      <c r="H25" s="1826" t="s">
        <v>1778</v>
      </c>
      <c r="I25" s="2973" t="s">
        <v>2827</v>
      </c>
      <c r="J25" s="790">
        <f ca="1">J5-J16</f>
        <v>-53</v>
      </c>
      <c r="K25" s="2566" t="s">
        <v>1779</v>
      </c>
      <c r="L25" s="2567"/>
      <c r="M25" s="2568"/>
    </row>
    <row r="26" spans="1:33" ht="18" customHeight="1">
      <c r="A26" s="3540" t="s">
        <v>1833</v>
      </c>
      <c r="B26" s="3099" t="s">
        <v>2439</v>
      </c>
      <c r="C26" s="17">
        <f ca="1">ROUND((C19+C20)*F26,0)</f>
        <v>655</v>
      </c>
      <c r="D26" s="810" t="s">
        <v>1780</v>
      </c>
      <c r="E26" s="812" t="s">
        <v>1781</v>
      </c>
      <c r="F26" s="3524">
        <f ca="1">INDIRECT("'数据-取费表'!q"&amp;$G$1)</f>
        <v>0.15</v>
      </c>
      <c r="G26" s="1590"/>
      <c r="H26" s="2522" t="s">
        <v>1782</v>
      </c>
      <c r="I26" s="2229" t="s">
        <v>2832</v>
      </c>
      <c r="J26" s="781">
        <f ca="1">IF(J5&lt;&gt;0,ROUND(J25*(1-((1+M28)/(1+M26))^M27)/(M26-M28),0),0)</f>
        <v>0</v>
      </c>
      <c r="K26" s="812" t="s">
        <v>1783</v>
      </c>
      <c r="L26" s="782" t="s">
        <v>2420</v>
      </c>
      <c r="M26" s="792">
        <f ca="1">INDIRECT("'数据-取费表'!I"&amp;$G$1)</f>
        <v>0.05</v>
      </c>
    </row>
    <row r="27" spans="1:33" ht="18" customHeight="1">
      <c r="A27" s="3540" t="s">
        <v>1834</v>
      </c>
      <c r="B27" s="3099" t="s">
        <v>687</v>
      </c>
      <c r="C27" s="17">
        <f ca="1">ROUND(F21*F26,4)</f>
        <v>3.0000000000000001E-3</v>
      </c>
      <c r="D27" s="810" t="s">
        <v>1784</v>
      </c>
      <c r="E27" s="814"/>
      <c r="F27" s="3543"/>
      <c r="G27" s="1590"/>
      <c r="H27" s="2523"/>
      <c r="I27" s="785"/>
      <c r="J27" s="786"/>
      <c r="K27" s="819" t="s">
        <v>1785</v>
      </c>
      <c r="L27" s="782" t="s">
        <v>709</v>
      </c>
      <c r="M27" s="820">
        <f ca="1">INDIRECT("'数据-取费表'!ag"&amp;$G$1)</f>
        <v>0</v>
      </c>
    </row>
    <row r="28" spans="1:33" s="2061" customFormat="1" ht="18" customHeight="1">
      <c r="A28" s="3549" t="s">
        <v>1843</v>
      </c>
      <c r="B28" s="3099" t="s">
        <v>688</v>
      </c>
      <c r="C28" s="17">
        <f>ROUND(F28/(1+'数据-取费表'!C42),4)</f>
        <v>5.9400000000000001E-2</v>
      </c>
      <c r="D28" s="810" t="s">
        <v>2300</v>
      </c>
      <c r="E28" s="3099" t="s">
        <v>650</v>
      </c>
      <c r="F28" s="3544">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550" t="s">
        <v>1894</v>
      </c>
      <c r="B29" s="3534" t="s">
        <v>2301</v>
      </c>
      <c r="C29" s="3551">
        <f ca="1">ROUND((C19+C20+C23+C26)/(1-F21-C24-C27-C28),0)</f>
        <v>5823</v>
      </c>
      <c r="D29" s="2563"/>
      <c r="E29" s="2563"/>
      <c r="F29" s="3552"/>
      <c r="G29" s="1591"/>
      <c r="H29" s="821" t="s">
        <v>1789</v>
      </c>
      <c r="I29" s="822" t="s">
        <v>1790</v>
      </c>
      <c r="J29" s="823">
        <f ca="1">ROUND(J26/(1+F40)^F41,0)</f>
        <v>0</v>
      </c>
      <c r="K29" s="824" t="s">
        <v>1791</v>
      </c>
      <c r="L29" s="825"/>
      <c r="M29" s="826">
        <f ca="1">INDIRECT("'数据-取费表'!k"&amp;$G$1)</f>
        <v>19914.97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536" t="s">
        <v>1895</v>
      </c>
      <c r="B30" s="3537" t="s">
        <v>1792</v>
      </c>
      <c r="C30" s="3538">
        <f ca="1">ROUND(C31+C36+C37+C38,0)</f>
        <v>112</v>
      </c>
      <c r="D30" s="2566" t="s">
        <v>1793</v>
      </c>
      <c r="E30" s="2567"/>
      <c r="F30" s="2568"/>
      <c r="G30" s="2059"/>
      <c r="H30" s="2062"/>
      <c r="I30" s="2063"/>
      <c r="J30" s="2064"/>
      <c r="K30" s="2065"/>
      <c r="L30" s="2066"/>
      <c r="M30" s="2067"/>
    </row>
    <row r="31" spans="1:33" ht="18" customHeight="1">
      <c r="A31" s="3545" t="s">
        <v>1826</v>
      </c>
      <c r="B31" s="3099" t="s">
        <v>657</v>
      </c>
      <c r="C31" s="17">
        <f ca="1">ROUND(IF(项目基本情况!B11="自然人",C5*F31,C32+C33+C34),1)</f>
        <v>111.6</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540" t="s">
        <v>1833</v>
      </c>
      <c r="B32" s="3099" t="s">
        <v>1796</v>
      </c>
      <c r="C32" s="17">
        <f ca="1">ROUND(C5*F32/1.05,1)</f>
        <v>58.7</v>
      </c>
      <c r="D32" s="3099" t="s">
        <v>1797</v>
      </c>
      <c r="E32" s="3099" t="s">
        <v>650</v>
      </c>
      <c r="F32" s="3544">
        <f>'数据-取费表'!B41</f>
        <v>6.2719999999999998E-2</v>
      </c>
      <c r="G32" s="2059"/>
      <c r="H32" s="2068"/>
      <c r="I32" s="2069"/>
      <c r="J32" s="2070"/>
      <c r="K32" s="2071"/>
      <c r="L32" s="2072"/>
      <c r="M32" s="2073"/>
    </row>
    <row r="33" spans="1:18" ht="18" customHeight="1">
      <c r="A33" s="3540" t="s">
        <v>1834</v>
      </c>
      <c r="B33" s="3099" t="s">
        <v>1799</v>
      </c>
      <c r="C33" s="17">
        <f ca="1">IF(D33="按租金收入计税",ROUND(C5*F33,1),IF(D33="按房产原值计税",ROUND(C29*F33*0.7,1),INDIRECT("'数据-取费表'!Aj"&amp;$G$1)))</f>
        <v>48.9</v>
      </c>
      <c r="D33" s="809" t="s">
        <v>1682</v>
      </c>
      <c r="E33" s="3099" t="s">
        <v>650</v>
      </c>
      <c r="F33" s="3544">
        <f>IF(D33="按租金收入计税",'数据-取费表'!B51,'数据-取费表'!B50)</f>
        <v>1.2E-2</v>
      </c>
      <c r="G33" s="2059"/>
      <c r="H33" s="2074"/>
      <c r="I33" s="2074"/>
      <c r="J33" s="2074"/>
      <c r="K33" s="2075"/>
      <c r="L33" s="2074"/>
      <c r="M33" s="2074"/>
    </row>
    <row r="34" spans="1:18" ht="18" customHeight="1">
      <c r="A34" s="3553" t="s">
        <v>1835</v>
      </c>
      <c r="B34" s="3554" t="s">
        <v>1800</v>
      </c>
      <c r="C34" s="41">
        <f ca="1">ROUND(F34*F35/10000,1)</f>
        <v>4</v>
      </c>
      <c r="D34" s="812" t="s">
        <v>670</v>
      </c>
      <c r="E34" s="3099" t="s">
        <v>1802</v>
      </c>
      <c r="F34" s="3547">
        <f>'数据-取费表'!B52</f>
        <v>6</v>
      </c>
      <c r="G34" s="2059"/>
      <c r="H34" s="2062"/>
      <c r="I34" s="833" t="s">
        <v>1815</v>
      </c>
      <c r="J34" s="834"/>
      <c r="K34" s="2077"/>
      <c r="L34" s="2076"/>
      <c r="M34" s="2076"/>
    </row>
    <row r="35" spans="1:18" ht="18" customHeight="1">
      <c r="A35" s="3555"/>
      <c r="B35" s="3556"/>
      <c r="C35" s="73"/>
      <c r="D35" s="814"/>
      <c r="E35" s="3099" t="s">
        <v>1803</v>
      </c>
      <c r="F35" s="3518">
        <f ca="1">INDIRECT("'数据-取费表'!r"&amp;$G$1)</f>
        <v>6627.9800000000005</v>
      </c>
      <c r="G35" s="2059"/>
      <c r="H35" s="2062"/>
      <c r="I35" s="835" t="s">
        <v>1816</v>
      </c>
      <c r="J35" s="836">
        <f ca="1">ROUND(C13*J36,0)</f>
        <v>495</v>
      </c>
      <c r="K35" s="2075"/>
      <c r="L35" s="2074"/>
      <c r="M35" s="2074"/>
    </row>
    <row r="36" spans="1:18" ht="18" customHeight="1">
      <c r="A36" s="3545" t="s">
        <v>1891</v>
      </c>
      <c r="B36" s="3099" t="s">
        <v>1804</v>
      </c>
      <c r="C36" s="17">
        <f ca="1">ROUND(C29*F36,1)</f>
        <v>0</v>
      </c>
      <c r="D36" s="3099" t="s">
        <v>1805</v>
      </c>
      <c r="E36" s="3099" t="s">
        <v>650</v>
      </c>
      <c r="F36" s="3557">
        <f ca="1">INDIRECT("'数据-取费表'!Ak"&amp;$G$1)</f>
        <v>0</v>
      </c>
      <c r="G36" s="2059"/>
      <c r="H36" s="2074"/>
      <c r="I36" s="837" t="s">
        <v>1817</v>
      </c>
      <c r="J36" s="838">
        <f ca="1">INDIRECT("'数据-取费表'!j"&amp;$G$1)</f>
        <v>8.5000000000000006E-2</v>
      </c>
      <c r="K36" s="2079"/>
      <c r="L36" s="2074"/>
      <c r="M36" s="2074"/>
    </row>
    <row r="37" spans="1:18" ht="18" customHeight="1">
      <c r="A37" s="3545" t="s">
        <v>1892</v>
      </c>
      <c r="B37" s="3099" t="s">
        <v>680</v>
      </c>
      <c r="C37" s="17">
        <f ca="1">ROUND(C13*F37,1)</f>
        <v>0</v>
      </c>
      <c r="D37" s="3099" t="s">
        <v>1806</v>
      </c>
      <c r="E37" s="3099" t="s">
        <v>650</v>
      </c>
      <c r="F37" s="3558">
        <f ca="1">INDIRECT("'数据-取费表'!Al"&amp;$G$1)</f>
        <v>0</v>
      </c>
      <c r="G37" s="2059"/>
      <c r="H37" s="2074"/>
      <c r="I37" s="839" t="s">
        <v>1818</v>
      </c>
      <c r="J37" s="840"/>
      <c r="K37" s="2079"/>
      <c r="L37" s="2074"/>
      <c r="M37" s="2074"/>
    </row>
    <row r="38" spans="1:18" ht="18" customHeight="1" thickBot="1">
      <c r="A38" s="3559" t="s">
        <v>1893</v>
      </c>
      <c r="B38" s="2563" t="s">
        <v>667</v>
      </c>
      <c r="C38" s="3551">
        <f ca="1">ROUND(C5*F38,1)</f>
        <v>0</v>
      </c>
      <c r="D38" s="2563" t="s">
        <v>684</v>
      </c>
      <c r="E38" s="2563" t="s">
        <v>650</v>
      </c>
      <c r="F38" s="3535">
        <f ca="1">INDIRECT("'数据-取费表'!Am"&amp;$G$1)</f>
        <v>0</v>
      </c>
      <c r="G38" s="2059"/>
      <c r="H38" s="2074"/>
      <c r="I38" s="841" t="s">
        <v>1819</v>
      </c>
      <c r="J38" s="842"/>
      <c r="K38" s="2080"/>
      <c r="L38" s="2074"/>
      <c r="M38" s="2074"/>
    </row>
    <row r="39" spans="1:18" ht="24.6" customHeight="1" thickTop="1">
      <c r="A39" s="3536" t="s">
        <v>1778</v>
      </c>
      <c r="B39" s="2973" t="s">
        <v>2827</v>
      </c>
      <c r="C39" s="3538">
        <f ca="1">C5-C30</f>
        <v>870</v>
      </c>
      <c r="D39" s="2566" t="s">
        <v>1808</v>
      </c>
      <c r="E39" s="2567"/>
      <c r="F39" s="2568"/>
      <c r="G39" s="2059"/>
      <c r="H39" s="2074"/>
      <c r="I39" s="835" t="s">
        <v>1820</v>
      </c>
      <c r="J39" s="843">
        <f ca="1">ROUND(J35/C39,3)</f>
        <v>0.56899999999999995</v>
      </c>
      <c r="K39" s="2080"/>
      <c r="L39" s="2074"/>
      <c r="M39" s="2074"/>
    </row>
    <row r="40" spans="1:18" ht="18" customHeight="1">
      <c r="A40" s="3513" t="s">
        <v>1782</v>
      </c>
      <c r="B40" s="2229" t="s">
        <v>2302</v>
      </c>
      <c r="C40" s="3517">
        <f ca="1">ROUND(C39*(1-((1+F42)/(1+F40))^F41)/(F40-F42),0)</f>
        <v>20532</v>
      </c>
      <c r="D40" s="812" t="s">
        <v>1809</v>
      </c>
      <c r="E40" s="3099" t="s">
        <v>2420</v>
      </c>
      <c r="F40" s="3524">
        <f ca="1">INDIRECT("'数据-取费表'!I"&amp;$G$1)</f>
        <v>0.05</v>
      </c>
      <c r="G40" s="2059"/>
      <c r="H40" s="2059"/>
      <c r="I40" s="835" t="s">
        <v>1821</v>
      </c>
      <c r="J40" s="843">
        <f ca="1">1-J39</f>
        <v>0.43100000000000005</v>
      </c>
      <c r="K40" s="2080"/>
      <c r="L40" s="2059"/>
      <c r="M40" s="2059"/>
    </row>
    <row r="41" spans="1:18" ht="18" customHeight="1">
      <c r="A41" s="3523"/>
      <c r="B41" s="785"/>
      <c r="C41" s="3520"/>
      <c r="D41" s="819" t="s">
        <v>1810</v>
      </c>
      <c r="E41" s="3099" t="s">
        <v>2971</v>
      </c>
      <c r="F41" s="3560">
        <f ca="1">IF(INDIRECT("'数据-取费表'!af"&amp;$G$1)=0,INDIRECT("'数据-取费表'!ae"&amp;$G$1),INDIRECT("'数据-取费表'!af"&amp;$G$1))</f>
        <v>37</v>
      </c>
      <c r="G41" s="2059"/>
      <c r="H41" s="1985"/>
      <c r="I41" s="841" t="s">
        <v>1822</v>
      </c>
      <c r="J41" s="844"/>
      <c r="K41" s="2079"/>
      <c r="L41" s="1985"/>
      <c r="M41" s="1985"/>
    </row>
    <row r="42" spans="1:18" ht="18" customHeight="1">
      <c r="A42" s="3528"/>
      <c r="B42" s="789"/>
      <c r="C42" s="3538"/>
      <c r="D42" s="814"/>
      <c r="E42" s="3099" t="s">
        <v>711</v>
      </c>
      <c r="F42" s="3524">
        <f ca="1">INDIRECT("'数据-取费表'!v"&amp;$G$1)</f>
        <v>2.5000000000000001E-2</v>
      </c>
      <c r="G42" s="2059"/>
      <c r="H42" s="1985"/>
      <c r="I42" s="845" t="s">
        <v>1823</v>
      </c>
      <c r="J42" s="843">
        <f ca="1">ROUND(C13/C40,3)</f>
        <v>0.28399999999999997</v>
      </c>
      <c r="K42" s="2079"/>
      <c r="L42" s="1985"/>
      <c r="M42" s="1985"/>
    </row>
    <row r="43" spans="1:18" ht="18" customHeight="1" thickBot="1">
      <c r="A43" s="386" t="s">
        <v>1789</v>
      </c>
      <c r="B43" s="3561" t="s">
        <v>1812</v>
      </c>
      <c r="C43" s="408">
        <f ca="1">ROUND(C40*10000/F43,0)</f>
        <v>10310</v>
      </c>
      <c r="D43" s="3562" t="s">
        <v>1813</v>
      </c>
      <c r="E43" s="3102" t="s">
        <v>1814</v>
      </c>
      <c r="F43" s="3563">
        <f ca="1">INDIRECT("'数据-取费表'!k"&amp;$G$1)</f>
        <v>19914.97</v>
      </c>
      <c r="G43" s="2059"/>
      <c r="H43" s="1985"/>
      <c r="I43" s="845" t="s">
        <v>1824</v>
      </c>
      <c r="J43" s="846">
        <f ca="1">1-J42</f>
        <v>0.71599999999999997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-21418</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20532</v>
      </c>
      <c r="R48" s="2420" t="s">
        <v>2381</v>
      </c>
    </row>
    <row r="49" spans="1:18" s="2056" customFormat="1" ht="18" customHeight="1" thickBot="1">
      <c r="A49" s="784"/>
      <c r="B49" s="785"/>
      <c r="C49" s="786"/>
      <c r="D49" s="787"/>
      <c r="E49" s="782" t="s">
        <v>1741</v>
      </c>
      <c r="F49" s="783">
        <f ca="1">F7</f>
        <v>19914.97</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5823</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7423</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363" t="s">
        <v>2973</v>
      </c>
      <c r="L53" s="3364"/>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20532</v>
      </c>
      <c r="R54" s="2424" t="s">
        <v>2393</v>
      </c>
    </row>
    <row r="55" spans="1:18" s="2056" customFormat="1" ht="18" customHeight="1" thickTop="1" thickBot="1">
      <c r="A55" s="795">
        <v>2</v>
      </c>
      <c r="B55" s="796" t="s">
        <v>645</v>
      </c>
      <c r="C55" s="797">
        <f ca="1">C13</f>
        <v>5823</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5823</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53</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20532</v>
      </c>
      <c r="R57" s="2420" t="s">
        <v>2381</v>
      </c>
    </row>
    <row r="58" spans="1:18" s="2056" customFormat="1" ht="28.5" customHeight="1" thickBot="1">
      <c r="A58" s="1646" t="s">
        <v>1826</v>
      </c>
      <c r="B58" s="782" t="s">
        <v>657</v>
      </c>
      <c r="C58" s="53">
        <f ca="1">ROUND(IF(项目基本情况!B11="自然人",C47*F58,C59+C60+C61),1)</f>
        <v>52.9</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48.9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4</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6627.9800000000005</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0</v>
      </c>
      <c r="D63" s="3099" t="s">
        <v>1805</v>
      </c>
      <c r="E63" s="782" t="s">
        <v>1749</v>
      </c>
      <c r="F63" s="815">
        <f t="shared" ca="1" si="0"/>
        <v>0</v>
      </c>
      <c r="I63" s="2406" t="s">
        <v>2371</v>
      </c>
      <c r="J63" s="2407">
        <v>70</v>
      </c>
      <c r="K63" s="2407">
        <v>50</v>
      </c>
      <c r="L63" s="2407">
        <v>80</v>
      </c>
      <c r="M63" s="3062">
        <v>0.02</v>
      </c>
      <c r="O63" s="2419" t="s">
        <v>2392</v>
      </c>
      <c r="P63" s="2420" t="s">
        <v>2409</v>
      </c>
      <c r="Q63" s="2421">
        <f ca="1">Q57+Q58</f>
        <v>20532</v>
      </c>
      <c r="R63" s="2424" t="s">
        <v>2393</v>
      </c>
    </row>
    <row r="64" spans="1:18" s="2056" customFormat="1" ht="16.5" thickBot="1">
      <c r="A64" s="1646" t="s">
        <v>1892</v>
      </c>
      <c r="B64" s="782" t="s">
        <v>680</v>
      </c>
      <c r="C64" s="53">
        <f ca="1">ROUND(C55*F64,1)</f>
        <v>0</v>
      </c>
      <c r="D64" s="3099" t="s">
        <v>681</v>
      </c>
      <c r="E64" s="782" t="s">
        <v>1749</v>
      </c>
      <c r="F64" s="816">
        <f t="shared" ca="1" si="0"/>
        <v>0</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-53</v>
      </c>
      <c r="D66" s="3098" t="s">
        <v>701</v>
      </c>
      <c r="E66" s="3096"/>
      <c r="F66" s="818"/>
      <c r="K66" s="2083"/>
      <c r="O66" s="2419" t="s">
        <v>2380</v>
      </c>
      <c r="P66" s="2420" t="s">
        <v>2406</v>
      </c>
      <c r="Q66" s="2421">
        <f ca="1">C40+J29</f>
        <v>20532</v>
      </c>
      <c r="R66" s="2420" t="s">
        <v>2381</v>
      </c>
    </row>
    <row r="67" spans="1:18" s="2056" customFormat="1" ht="20.25" thickBot="1">
      <c r="A67" s="779" t="s">
        <v>1782</v>
      </c>
      <c r="B67" s="2229" t="s">
        <v>2302</v>
      </c>
      <c r="C67" s="781">
        <f ca="1">ROUND(C66*(1-((1+F69)/(1+F67))^F68)/(F67-F69),0)</f>
        <v>-886</v>
      </c>
      <c r="D67" s="812" t="s">
        <v>705</v>
      </c>
      <c r="E67" s="782" t="s">
        <v>706</v>
      </c>
      <c r="F67" s="792">
        <f ca="1">F40</f>
        <v>0.05</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7423</v>
      </c>
      <c r="R68" s="2427" t="s">
        <v>2417</v>
      </c>
    </row>
    <row r="69" spans="1:18" ht="20.25" thickBot="1">
      <c r="A69" s="788"/>
      <c r="B69" s="789"/>
      <c r="C69" s="790"/>
      <c r="D69" s="814"/>
      <c r="E69" s="782" t="s">
        <v>711</v>
      </c>
      <c r="F69" s="2368"/>
      <c r="O69" s="2422" t="s">
        <v>2385</v>
      </c>
      <c r="P69" s="2428" t="s">
        <v>2399</v>
      </c>
      <c r="Q69" s="2421">
        <f ca="1">ROUND(Q70-Q71*Q72,0)</f>
        <v>375</v>
      </c>
      <c r="R69" s="2424"/>
    </row>
    <row r="70" spans="1:18" ht="15.75" thickBot="1">
      <c r="A70" s="821" t="s">
        <v>1789</v>
      </c>
      <c r="B70" s="822" t="s">
        <v>1812</v>
      </c>
      <c r="C70" s="823">
        <f ca="1">ROUND(C67*10000/F70,0)</f>
        <v>-445</v>
      </c>
      <c r="D70" s="824" t="s">
        <v>1813</v>
      </c>
      <c r="E70" s="825" t="s">
        <v>1814</v>
      </c>
      <c r="F70" s="826">
        <f ca="1">F43</f>
        <v>19914.97</v>
      </c>
      <c r="O70" s="2422" t="s">
        <v>2400</v>
      </c>
      <c r="P70" s="2428" t="s">
        <v>2401</v>
      </c>
      <c r="Q70" s="2421">
        <f ca="1">C39</f>
        <v>870</v>
      </c>
      <c r="R70" s="2420" t="s">
        <v>2381</v>
      </c>
    </row>
    <row r="71" spans="1:18" ht="15.75" thickBot="1">
      <c r="O71" s="2422" t="s">
        <v>2402</v>
      </c>
      <c r="P71" s="2428" t="s">
        <v>2403</v>
      </c>
      <c r="Q71" s="2421">
        <f ca="1">C13</f>
        <v>5823</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20532</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7">
      <formula>$L$48&gt;$J$51</formula>
    </cfRule>
  </conditionalFormatting>
  <conditionalFormatting sqref="I55">
    <cfRule type="expression" dxfId="12" priority="6">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A4" sqref="A4: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3022</v>
      </c>
      <c r="D1" s="3088" t="s">
        <v>3123</v>
      </c>
      <c r="E1" s="2408" t="s">
        <v>2375</v>
      </c>
      <c r="F1" s="2409">
        <f ca="1">J53</f>
        <v>37</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5424</v>
      </c>
      <c r="C2" s="2054"/>
      <c r="D2" s="2052"/>
      <c r="E2" s="2053"/>
      <c r="F2" s="2053"/>
      <c r="G2" s="1588"/>
      <c r="H2" s="2054"/>
      <c r="I2" s="2054"/>
      <c r="J2" s="2054"/>
      <c r="K2" s="2055"/>
      <c r="L2" s="2054"/>
      <c r="M2" s="2054"/>
    </row>
    <row r="3" spans="1:33" ht="18" customHeight="1" thickBot="1">
      <c r="A3" s="831" t="s">
        <v>1729</v>
      </c>
      <c r="B3" s="832">
        <f ca="1">IF(ISERROR(B2*10000/F43),0,ROUND(B2*10000/F43,0))</f>
        <v>6106</v>
      </c>
      <c r="C3" s="2054"/>
      <c r="D3" s="2052"/>
      <c r="E3" s="2053"/>
      <c r="F3" s="2053"/>
      <c r="G3" s="1588"/>
      <c r="H3" s="774" t="s">
        <v>696</v>
      </c>
      <c r="I3" s="1361"/>
      <c r="J3" s="1361"/>
      <c r="K3" s="1589"/>
      <c r="L3" s="1361"/>
      <c r="M3" s="1361"/>
    </row>
    <row r="4" spans="1:33" ht="18" customHeight="1">
      <c r="A4" s="3509" t="s">
        <v>1730</v>
      </c>
      <c r="B4" s="3510" t="s">
        <v>1731</v>
      </c>
      <c r="C4" s="3510" t="s">
        <v>1732</v>
      </c>
      <c r="D4" s="3510" t="s">
        <v>634</v>
      </c>
      <c r="E4" s="3511" t="s">
        <v>1733</v>
      </c>
      <c r="F4" s="3512"/>
      <c r="G4" s="1590"/>
      <c r="H4" s="775" t="s">
        <v>1734</v>
      </c>
      <c r="I4" s="776" t="s">
        <v>1735</v>
      </c>
      <c r="J4" s="776" t="s">
        <v>1736</v>
      </c>
      <c r="K4" s="776" t="s">
        <v>1737</v>
      </c>
      <c r="L4" s="777" t="s">
        <v>1738</v>
      </c>
      <c r="M4" s="778"/>
    </row>
    <row r="5" spans="1:33" ht="18" customHeight="1">
      <c r="A5" s="3513">
        <v>1</v>
      </c>
      <c r="B5" s="780" t="s">
        <v>2460</v>
      </c>
      <c r="C5" s="77">
        <f ca="1">C6+C10+C12</f>
        <v>292</v>
      </c>
      <c r="D5" s="3514" t="s">
        <v>2463</v>
      </c>
      <c r="E5" s="3515"/>
      <c r="F5" s="2568"/>
      <c r="G5" s="1590"/>
      <c r="H5" s="779">
        <v>1</v>
      </c>
      <c r="I5" s="780" t="s">
        <v>2460</v>
      </c>
      <c r="J5" s="55">
        <f ca="1">J6+J10+J12</f>
        <v>0</v>
      </c>
      <c r="K5" s="2517" t="s">
        <v>2463</v>
      </c>
      <c r="L5" s="2511"/>
      <c r="M5" s="2512"/>
    </row>
    <row r="6" spans="1:33" ht="18" customHeight="1">
      <c r="A6" s="3516" t="s">
        <v>1826</v>
      </c>
      <c r="B6" s="3347" t="s">
        <v>2465</v>
      </c>
      <c r="C6" s="3517">
        <f ca="1">ROUND(F6*F8*F7*(1-F9)/10000,0)</f>
        <v>292</v>
      </c>
      <c r="D6" s="2584" t="s">
        <v>2464</v>
      </c>
      <c r="E6" s="3099" t="s">
        <v>1740</v>
      </c>
      <c r="F6" s="3518">
        <f ca="1">INDIRECT("'数据-取费表'!u"&amp;$G$1)</f>
        <v>1</v>
      </c>
      <c r="G6" s="1590"/>
      <c r="H6" s="2524" t="s">
        <v>1826</v>
      </c>
      <c r="I6" s="3347" t="s">
        <v>2465</v>
      </c>
      <c r="J6" s="781">
        <f ca="1">ROUND(M6*M8*M7*(1-M9)/10000,0)</f>
        <v>0</v>
      </c>
      <c r="K6" s="341" t="s">
        <v>1739</v>
      </c>
      <c r="L6" s="782" t="s">
        <v>1740</v>
      </c>
      <c r="M6" s="783">
        <f ca="1">INDIRECT("'数据-取费表'!z"&amp;$G$1)</f>
        <v>0</v>
      </c>
    </row>
    <row r="7" spans="1:33" ht="18" customHeight="1">
      <c r="A7" s="3519"/>
      <c r="B7" s="3348"/>
      <c r="C7" s="3520"/>
      <c r="D7" s="3521"/>
      <c r="E7" s="3099" t="s">
        <v>1741</v>
      </c>
      <c r="F7" s="3518">
        <f ca="1">IF(INDIRECT("'数据-取费表'!ah"&amp;$G$1)="",INDIRECT("'数据-取费表'!k"&amp;$G$1),INDIRECT("'数据-取费表'!ah"&amp;$G$1))</f>
        <v>8883.42</v>
      </c>
      <c r="G7" s="1590"/>
      <c r="H7" s="2510"/>
      <c r="I7" s="3348"/>
      <c r="J7" s="786"/>
      <c r="K7" s="787"/>
      <c r="L7" s="782" t="s">
        <v>1741</v>
      </c>
      <c r="M7" s="783">
        <f ca="1">F7</f>
        <v>8883.42</v>
      </c>
    </row>
    <row r="8" spans="1:33" ht="18" customHeight="1">
      <c r="A8" s="3522"/>
      <c r="B8" s="3349"/>
      <c r="C8" s="3520"/>
      <c r="D8" s="3521"/>
      <c r="E8" s="3099" t="s">
        <v>1742</v>
      </c>
      <c r="F8" s="3518">
        <f ca="1">INDIRECT("'数据-取费表'!ai"&amp;$G$1)</f>
        <v>365</v>
      </c>
      <c r="G8" s="1590"/>
      <c r="H8" s="2510"/>
      <c r="I8" s="3349"/>
      <c r="J8" s="786"/>
      <c r="K8" s="787"/>
      <c r="L8" s="782" t="s">
        <v>1742</v>
      </c>
      <c r="M8" s="783">
        <f ca="1">INDIRECT("'数据-取费表'!ai"&amp;$G$1)</f>
        <v>365</v>
      </c>
    </row>
    <row r="9" spans="1:33" ht="18" customHeight="1">
      <c r="A9" s="3523"/>
      <c r="B9" s="3350"/>
      <c r="C9" s="3520"/>
      <c r="D9" s="3521"/>
      <c r="E9" s="3099" t="s">
        <v>1743</v>
      </c>
      <c r="F9" s="3524">
        <f ca="1">INDIRECT("'数据-取费表'!w"&amp;$G$1)</f>
        <v>0.1</v>
      </c>
      <c r="G9" s="1590"/>
      <c r="H9" s="2525"/>
      <c r="I9" s="3349"/>
      <c r="J9" s="786"/>
      <c r="K9" s="787"/>
      <c r="L9" s="793" t="s">
        <v>1743</v>
      </c>
      <c r="M9" s="794">
        <f ca="1">INDIRECT("'数据-取费表'!ab"&amp;$G$1)</f>
        <v>0</v>
      </c>
    </row>
    <row r="10" spans="1:33" ht="18" customHeight="1">
      <c r="A10" s="3516" t="s">
        <v>1827</v>
      </c>
      <c r="B10" s="2515" t="s">
        <v>2461</v>
      </c>
      <c r="C10" s="3525">
        <f ca="1">ROUND(IF(F10="押一",F6*F8*F7/12*F11,IF(F10="押二",F6*F8*F7/12*2*F11,IF(F10="押三",F6*F8*F7/12*3*F11,C11*F11)))/10000,0)</f>
        <v>0</v>
      </c>
      <c r="D10" s="2515" t="s">
        <v>2468</v>
      </c>
      <c r="E10" s="3526" t="s">
        <v>2466</v>
      </c>
      <c r="F10" s="3527"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528"/>
      <c r="B11" s="2516" t="s">
        <v>2576</v>
      </c>
      <c r="C11" s="3529"/>
      <c r="D11" s="3521"/>
      <c r="E11" s="3526" t="s">
        <v>2458</v>
      </c>
      <c r="F11" s="3530">
        <f ca="1">'数据-取费表'!B39</f>
        <v>1.4999999999999999E-2</v>
      </c>
      <c r="G11" s="1590"/>
      <c r="H11" s="2580"/>
      <c r="I11" s="2516" t="s">
        <v>2576</v>
      </c>
      <c r="J11" s="2519"/>
      <c r="K11" s="2581"/>
      <c r="L11" s="2518" t="s">
        <v>2458</v>
      </c>
      <c r="M11" s="2513">
        <f ca="1">'数据-取费表'!B39</f>
        <v>1.4999999999999999E-2</v>
      </c>
    </row>
    <row r="12" spans="1:33" ht="18" customHeight="1" thickBot="1">
      <c r="A12" s="3531" t="s">
        <v>2470</v>
      </c>
      <c r="B12" s="2557" t="s">
        <v>2462</v>
      </c>
      <c r="C12" s="3532"/>
      <c r="D12" s="3533"/>
      <c r="E12" s="3534"/>
      <c r="F12" s="3535"/>
      <c r="G12" s="1590"/>
      <c r="H12" s="2569" t="s">
        <v>2470</v>
      </c>
      <c r="I12" s="2582" t="s">
        <v>2462</v>
      </c>
      <c r="J12" s="2583"/>
      <c r="K12" s="2559"/>
      <c r="L12" s="2560"/>
      <c r="M12" s="2572"/>
    </row>
    <row r="13" spans="1:33" ht="18" customHeight="1" thickTop="1">
      <c r="A13" s="3536">
        <v>2</v>
      </c>
      <c r="B13" s="3537" t="s">
        <v>1744</v>
      </c>
      <c r="C13" s="3538">
        <f ca="1">ROUND(C29*F13,0)</f>
        <v>2968</v>
      </c>
      <c r="D13" s="819" t="s">
        <v>2298</v>
      </c>
      <c r="E13" s="819" t="s">
        <v>1746</v>
      </c>
      <c r="F13" s="3539">
        <f ca="1">INDIRECT("'数据-取费表'!y"&amp;$G$1)</f>
        <v>1</v>
      </c>
      <c r="G13" s="1590"/>
      <c r="H13" s="1826">
        <v>2</v>
      </c>
      <c r="I13" s="1824" t="s">
        <v>1744</v>
      </c>
      <c r="J13" s="1816">
        <f ca="1">ROUND(J14*J15,0)</f>
        <v>0</v>
      </c>
      <c r="K13" s="1818" t="s">
        <v>1745</v>
      </c>
      <c r="L13" s="2570"/>
      <c r="M13" s="2571"/>
    </row>
    <row r="14" spans="1:33" ht="18" customHeight="1">
      <c r="A14" s="3540" t="s">
        <v>1886</v>
      </c>
      <c r="B14" s="3099" t="s">
        <v>646</v>
      </c>
      <c r="C14" s="3541">
        <f ca="1">INDIRECT("'数据-取费表'!m"&amp;$G$1)+INDIRECT("'数据-取费表'!t"&amp;$G$1)</f>
        <v>1846</v>
      </c>
      <c r="D14" s="3098" t="s">
        <v>1747</v>
      </c>
      <c r="E14" s="3097"/>
      <c r="F14" s="3542"/>
      <c r="G14" s="1590"/>
      <c r="H14" s="1646" t="s">
        <v>1826</v>
      </c>
      <c r="I14" s="2228" t="s">
        <v>2830</v>
      </c>
      <c r="J14" s="53">
        <f ca="1">C29</f>
        <v>2968</v>
      </c>
      <c r="K14" s="26"/>
      <c r="L14" s="799"/>
      <c r="M14" s="800"/>
    </row>
    <row r="15" spans="1:33" s="2061" customFormat="1" ht="18" customHeight="1" thickBot="1">
      <c r="A15" s="3540" t="s">
        <v>1887</v>
      </c>
      <c r="B15" s="3099" t="s">
        <v>648</v>
      </c>
      <c r="C15" s="17">
        <f ca="1">ROUND(C14*F15,0)</f>
        <v>55</v>
      </c>
      <c r="D15" s="814" t="s">
        <v>1748</v>
      </c>
      <c r="E15" s="814" t="s">
        <v>1749</v>
      </c>
      <c r="F15" s="3543">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540" t="s">
        <v>1888</v>
      </c>
      <c r="B16" s="3099" t="s">
        <v>651</v>
      </c>
      <c r="C16" s="17">
        <f ca="1">ROUND(INDIRECT("'数据-取费表'!m"&amp;$G$1)*F16,0)</f>
        <v>0</v>
      </c>
      <c r="D16" s="3099" t="s">
        <v>1748</v>
      </c>
      <c r="E16" s="3099" t="s">
        <v>1749</v>
      </c>
      <c r="F16" s="3544">
        <f ca="1">IF(INDIRECT("'数据-取费表'!c"&amp;$G$1)="住宅",'数据-取费表'!B34,0)</f>
        <v>0</v>
      </c>
      <c r="G16" s="1590"/>
      <c r="H16" s="1826" t="s">
        <v>1750</v>
      </c>
      <c r="I16" s="1824" t="s">
        <v>1751</v>
      </c>
      <c r="J16" s="790">
        <f ca="1">ROUND(J17+J22+J23+J24,0)</f>
        <v>27</v>
      </c>
      <c r="K16" s="1818" t="s">
        <v>1752</v>
      </c>
      <c r="L16" s="3100"/>
      <c r="M16" s="2512"/>
    </row>
    <row r="17" spans="1:33" s="2061" customFormat="1" ht="18" customHeight="1">
      <c r="A17" s="3540" t="s">
        <v>1889</v>
      </c>
      <c r="B17" s="3099" t="s">
        <v>654</v>
      </c>
      <c r="C17" s="17">
        <f ca="1">ROUND(F17*(F43+INDIRECT("'数据-取费表'!S"&amp;$G$1))/10000,0)</f>
        <v>185</v>
      </c>
      <c r="D17" s="3099" t="s">
        <v>1753</v>
      </c>
      <c r="E17" s="3099" t="s">
        <v>1754</v>
      </c>
      <c r="F17" s="818">
        <f>'数据-取费表'!B35</f>
        <v>200</v>
      </c>
      <c r="G17" s="1591"/>
      <c r="H17" s="1646" t="s">
        <v>1826</v>
      </c>
      <c r="I17" s="782" t="s">
        <v>657</v>
      </c>
      <c r="J17" s="53">
        <f ca="1">ROUND(IF(项目基本情况!B11="自然人",J5*M17,J18+J19+J20),0)</f>
        <v>27</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540" t="s">
        <v>1890</v>
      </c>
      <c r="B18" s="3099" t="s">
        <v>660</v>
      </c>
      <c r="C18" s="17">
        <f ca="1">ROUND(C14*F18,0)</f>
        <v>28</v>
      </c>
      <c r="D18" s="3099" t="s">
        <v>1748</v>
      </c>
      <c r="E18" s="3099" t="s">
        <v>1749</v>
      </c>
      <c r="F18" s="3544">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545" t="s">
        <v>1826</v>
      </c>
      <c r="B19" s="3099" t="s">
        <v>663</v>
      </c>
      <c r="C19" s="17">
        <f ca="1">SUM(C14:C18)</f>
        <v>2114</v>
      </c>
      <c r="D19" s="3439" t="s">
        <v>1759</v>
      </c>
      <c r="E19" s="3096"/>
      <c r="F19" s="818"/>
      <c r="G19" s="1590"/>
      <c r="H19" s="1645" t="s">
        <v>1887</v>
      </c>
      <c r="I19" s="782" t="s">
        <v>1760</v>
      </c>
      <c r="J19" s="53">
        <f ca="1">IF(K19="按租金收入计税",ROUND(J5*M19,1),ROUND(C29*F33*0.7,1))</f>
        <v>24.9</v>
      </c>
      <c r="K19" s="809" t="s">
        <v>666</v>
      </c>
      <c r="L19" s="782" t="s">
        <v>1749</v>
      </c>
      <c r="M19" s="807">
        <f>IF(K19="按租金收入计税",'数据-取费表'!B51,'数据-取费表'!B50)</f>
        <v>1.2E-2</v>
      </c>
    </row>
    <row r="20" spans="1:33" s="2061" customFormat="1" ht="18" customHeight="1">
      <c r="A20" s="3545" t="s">
        <v>1891</v>
      </c>
      <c r="B20" s="3099" t="s">
        <v>667</v>
      </c>
      <c r="C20" s="17">
        <f ca="1">ROUND(C19*F20,0)</f>
        <v>21</v>
      </c>
      <c r="D20" s="810" t="s">
        <v>1761</v>
      </c>
      <c r="E20" s="3099" t="s">
        <v>1749</v>
      </c>
      <c r="F20" s="3544">
        <f>'数据-取费表'!B37</f>
        <v>0.01</v>
      </c>
      <c r="G20" s="1591"/>
      <c r="H20" s="1648" t="s">
        <v>1882</v>
      </c>
      <c r="I20" s="341" t="s">
        <v>1762</v>
      </c>
      <c r="J20" s="54">
        <f ca="1">ROUND(M20*M21/10000,0)</f>
        <v>2</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545" t="s">
        <v>1892</v>
      </c>
      <c r="B21" s="3099" t="s">
        <v>1765</v>
      </c>
      <c r="C21" s="17" t="s">
        <v>1766</v>
      </c>
      <c r="D21" s="810" t="s">
        <v>2299</v>
      </c>
      <c r="E21" s="3099" t="s">
        <v>1767</v>
      </c>
      <c r="F21" s="3544">
        <f>'数据-取费表'!B38</f>
        <v>0.02</v>
      </c>
      <c r="G21" s="1591"/>
      <c r="H21" s="2526"/>
      <c r="I21" s="791"/>
      <c r="J21" s="69"/>
      <c r="K21" s="814"/>
      <c r="L21" s="782" t="s">
        <v>1768</v>
      </c>
      <c r="M21" s="783">
        <f ca="1">INDIRECT("'数据-取费表'!r"&amp;$G$1)</f>
        <v>2956.5299999999997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545" t="s">
        <v>1893</v>
      </c>
      <c r="B22" s="3099" t="s">
        <v>1769</v>
      </c>
      <c r="C22" s="17"/>
      <c r="D22" s="3489"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0</v>
      </c>
      <c r="K22" s="3099" t="s">
        <v>1771</v>
      </c>
      <c r="L22" s="782" t="s">
        <v>1749</v>
      </c>
      <c r="M22" s="815">
        <f ca="1">INDIRECT("'数据-取费表'!Ak"&amp;$G$1)</f>
        <v>0</v>
      </c>
    </row>
    <row r="23" spans="1:33" s="2061" customFormat="1" ht="18" customHeight="1">
      <c r="A23" s="3540" t="s">
        <v>1833</v>
      </c>
      <c r="B23" s="3099" t="s">
        <v>2438</v>
      </c>
      <c r="C23" s="17">
        <f ca="1">ROUND(IF('数据-取费表'!B22&lt;=1,(C19+C20)*F24*F23/2,(C19+C20)*(POWER((1+F24),F23/2)-1)),0)</f>
        <v>154</v>
      </c>
      <c r="D23" s="3546" t="str">
        <f>IF(F23&lt;=1,"(建造成本+管理费用)×利率×(建设周期÷2)","(建造成本+管理费用)×((1+利率)^(建设周期÷2)-1)")</f>
        <v>(建造成本+管理费用)×((1+利率)^(建设周期÷2)-1)</v>
      </c>
      <c r="E23" s="3099" t="s">
        <v>1772</v>
      </c>
      <c r="F23" s="3547">
        <f>'数据-取费表'!B20</f>
        <v>3</v>
      </c>
      <c r="G23" s="1591"/>
      <c r="H23" s="1646" t="s">
        <v>1892</v>
      </c>
      <c r="I23" s="782" t="s">
        <v>680</v>
      </c>
      <c r="J23" s="53">
        <f ca="1">ROUND(J13*M23,0)</f>
        <v>0</v>
      </c>
      <c r="K23" s="3099" t="s">
        <v>1773</v>
      </c>
      <c r="L23" s="782" t="s">
        <v>1749</v>
      </c>
      <c r="M23" s="816">
        <f ca="1">INDIRECT("'数据-取费表'!Al"&amp;$G$1)</f>
        <v>0</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540" t="s">
        <v>1834</v>
      </c>
      <c r="B24" s="3099" t="s">
        <v>1774</v>
      </c>
      <c r="C24" s="17">
        <f ca="1">ROUND(IF('数据-取费表'!B22&lt;=1,F21*F24*F23/2,F21*(POWER((1+F24),F23/2)-1)),4)</f>
        <v>1.4E-3</v>
      </c>
      <c r="D24" s="3546" t="str">
        <f>IF(F23&lt;=1,"销售费用×利率×(建设周期÷2)","销售费用×((1+利率)^(建设周期÷2)-1)")</f>
        <v>销售费用×((1+利率)^(建设周期÷2)-1)</v>
      </c>
      <c r="E24" s="3099" t="s">
        <v>1775</v>
      </c>
      <c r="F24" s="3548">
        <f ca="1">'数据-取费表'!B40</f>
        <v>4.7500000000000001E-2</v>
      </c>
      <c r="G24" s="1591"/>
      <c r="H24" s="2569" t="s">
        <v>1893</v>
      </c>
      <c r="I24" s="2564" t="s">
        <v>667</v>
      </c>
      <c r="J24" s="2562">
        <f ca="1">ROUND(J5*M24,0)</f>
        <v>0</v>
      </c>
      <c r="K24" s="2563" t="s">
        <v>684</v>
      </c>
      <c r="L24" s="2564" t="s">
        <v>1749</v>
      </c>
      <c r="M24" s="2561">
        <f ca="1">INDIRECT("'数据-取费表'!Am"&amp;$G$1)</f>
        <v>0</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549" t="s">
        <v>1842</v>
      </c>
      <c r="B25" s="3099" t="s">
        <v>685</v>
      </c>
      <c r="C25" s="17"/>
      <c r="D25" s="3439" t="s">
        <v>686</v>
      </c>
      <c r="E25" s="3096"/>
      <c r="F25" s="818"/>
      <c r="G25" s="1590"/>
      <c r="H25" s="1826" t="s">
        <v>1778</v>
      </c>
      <c r="I25" s="2973" t="s">
        <v>2827</v>
      </c>
      <c r="J25" s="790">
        <f ca="1">J5-J16</f>
        <v>-27</v>
      </c>
      <c r="K25" s="2566" t="s">
        <v>1779</v>
      </c>
      <c r="L25" s="2567"/>
      <c r="M25" s="2568"/>
    </row>
    <row r="26" spans="1:33" ht="18" customHeight="1">
      <c r="A26" s="3540" t="s">
        <v>1833</v>
      </c>
      <c r="B26" s="3099" t="s">
        <v>2439</v>
      </c>
      <c r="C26" s="17">
        <f ca="1">ROUND((C19+C20)*F26,0)</f>
        <v>427</v>
      </c>
      <c r="D26" s="810" t="s">
        <v>1780</v>
      </c>
      <c r="E26" s="812" t="s">
        <v>1781</v>
      </c>
      <c r="F26" s="3524">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540" t="s">
        <v>1834</v>
      </c>
      <c r="B27" s="3099" t="s">
        <v>687</v>
      </c>
      <c r="C27" s="17">
        <f ca="1">ROUND(F21*F26,4)</f>
        <v>4.0000000000000001E-3</v>
      </c>
      <c r="D27" s="810" t="s">
        <v>1784</v>
      </c>
      <c r="E27" s="814"/>
      <c r="F27" s="3543"/>
      <c r="G27" s="1590"/>
      <c r="H27" s="2523"/>
      <c r="I27" s="785"/>
      <c r="J27" s="786"/>
      <c r="K27" s="819" t="s">
        <v>1785</v>
      </c>
      <c r="L27" s="782" t="s">
        <v>709</v>
      </c>
      <c r="M27" s="820">
        <f ca="1">INDIRECT("'数据-取费表'!ag"&amp;$G$1)</f>
        <v>0</v>
      </c>
    </row>
    <row r="28" spans="1:33" s="2061" customFormat="1" ht="18" customHeight="1">
      <c r="A28" s="3549" t="s">
        <v>1843</v>
      </c>
      <c r="B28" s="3099" t="s">
        <v>688</v>
      </c>
      <c r="C28" s="17">
        <f>ROUND(F28/(1+'数据-取费表'!C42),4)</f>
        <v>5.9400000000000001E-2</v>
      </c>
      <c r="D28" s="810" t="s">
        <v>2300</v>
      </c>
      <c r="E28" s="3099" t="s">
        <v>650</v>
      </c>
      <c r="F28" s="3544">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550" t="s">
        <v>1894</v>
      </c>
      <c r="B29" s="3534" t="s">
        <v>2301</v>
      </c>
      <c r="C29" s="3551">
        <f ca="1">ROUND((C19+C20+C23+C26)/(1-F21-C24-C27-C28),0)</f>
        <v>2968</v>
      </c>
      <c r="D29" s="2563"/>
      <c r="E29" s="2563"/>
      <c r="F29" s="3552"/>
      <c r="G29" s="1591"/>
      <c r="H29" s="821" t="s">
        <v>1789</v>
      </c>
      <c r="I29" s="822" t="s">
        <v>1790</v>
      </c>
      <c r="J29" s="823">
        <f ca="1">ROUND(J26/(1+F40)^F41,0)</f>
        <v>0</v>
      </c>
      <c r="K29" s="824" t="s">
        <v>1791</v>
      </c>
      <c r="L29" s="825"/>
      <c r="M29" s="826">
        <f ca="1">INDIRECT("'数据-取费表'!k"&amp;$G$1)</f>
        <v>8883.42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536" t="s">
        <v>1895</v>
      </c>
      <c r="B30" s="3537" t="s">
        <v>1792</v>
      </c>
      <c r="C30" s="3538">
        <f ca="1">ROUND(C31+C36+C37+C38,0)</f>
        <v>44</v>
      </c>
      <c r="D30" s="2566" t="s">
        <v>1793</v>
      </c>
      <c r="E30" s="2567"/>
      <c r="F30" s="2568"/>
      <c r="G30" s="2059"/>
      <c r="H30" s="2062"/>
      <c r="I30" s="2063"/>
      <c r="J30" s="2064"/>
      <c r="K30" s="2065"/>
      <c r="L30" s="2066"/>
      <c r="M30" s="2067"/>
    </row>
    <row r="31" spans="1:33" ht="18" customHeight="1">
      <c r="A31" s="3545" t="s">
        <v>1826</v>
      </c>
      <c r="B31" s="3099" t="s">
        <v>657</v>
      </c>
      <c r="C31" s="17">
        <f ca="1">ROUND(IF(项目基本情况!B11="自然人",C5*F31,C32+C33+C34),1)</f>
        <v>44.1</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540" t="s">
        <v>1833</v>
      </c>
      <c r="B32" s="3099" t="s">
        <v>1796</v>
      </c>
      <c r="C32" s="17">
        <f ca="1">ROUND(C5*F32/1.05,1)</f>
        <v>17.399999999999999</v>
      </c>
      <c r="D32" s="3099" t="s">
        <v>1797</v>
      </c>
      <c r="E32" s="3099" t="s">
        <v>650</v>
      </c>
      <c r="F32" s="3544">
        <f>'数据-取费表'!B41</f>
        <v>6.2719999999999998E-2</v>
      </c>
      <c r="G32" s="2059"/>
      <c r="H32" s="2068"/>
      <c r="I32" s="2069"/>
      <c r="J32" s="2070"/>
      <c r="K32" s="2071"/>
      <c r="L32" s="2072"/>
      <c r="M32" s="2073"/>
    </row>
    <row r="33" spans="1:18" ht="18" customHeight="1">
      <c r="A33" s="3540" t="s">
        <v>1834</v>
      </c>
      <c r="B33" s="3099" t="s">
        <v>1799</v>
      </c>
      <c r="C33" s="17">
        <f ca="1">IF(D33="按租金收入计税",ROUND(C5*F33,1),IF(D33="按房产原值计税",ROUND(C29*F33*0.7,1),INDIRECT("'数据-取费表'!Aj"&amp;$G$1)))</f>
        <v>24.9</v>
      </c>
      <c r="D33" s="809" t="s">
        <v>1682</v>
      </c>
      <c r="E33" s="3099" t="s">
        <v>650</v>
      </c>
      <c r="F33" s="3544">
        <f>IF(D33="按租金收入计税",'数据-取费表'!B51,'数据-取费表'!B50)</f>
        <v>1.2E-2</v>
      </c>
      <c r="G33" s="2059"/>
      <c r="H33" s="2074"/>
      <c r="I33" s="2074"/>
      <c r="J33" s="2074"/>
      <c r="K33" s="2075"/>
      <c r="L33" s="2074"/>
      <c r="M33" s="2074"/>
    </row>
    <row r="34" spans="1:18" ht="18" customHeight="1">
      <c r="A34" s="3553" t="s">
        <v>1835</v>
      </c>
      <c r="B34" s="3554" t="s">
        <v>1800</v>
      </c>
      <c r="C34" s="41">
        <f ca="1">ROUND(F34*F35/10000,1)</f>
        <v>1.8</v>
      </c>
      <c r="D34" s="812" t="s">
        <v>670</v>
      </c>
      <c r="E34" s="3099" t="s">
        <v>1802</v>
      </c>
      <c r="F34" s="3547">
        <f>'数据-取费表'!B52</f>
        <v>6</v>
      </c>
      <c r="G34" s="2059"/>
      <c r="H34" s="2062"/>
      <c r="I34" s="833" t="s">
        <v>1815</v>
      </c>
      <c r="J34" s="834"/>
      <c r="K34" s="2077"/>
      <c r="L34" s="2076"/>
      <c r="M34" s="2076"/>
    </row>
    <row r="35" spans="1:18" ht="18" customHeight="1">
      <c r="A35" s="3555"/>
      <c r="B35" s="3556"/>
      <c r="C35" s="73"/>
      <c r="D35" s="814"/>
      <c r="E35" s="3099" t="s">
        <v>1803</v>
      </c>
      <c r="F35" s="3518">
        <f ca="1">INDIRECT("'数据-取费表'!r"&amp;$G$1)</f>
        <v>2956.5299999999997</v>
      </c>
      <c r="G35" s="2059"/>
      <c r="H35" s="2062"/>
      <c r="I35" s="835" t="s">
        <v>1816</v>
      </c>
      <c r="J35" s="836">
        <f ca="1">ROUND(C13*J36,0)</f>
        <v>252</v>
      </c>
      <c r="K35" s="2075"/>
      <c r="L35" s="2074"/>
      <c r="M35" s="2074"/>
    </row>
    <row r="36" spans="1:18" ht="18" customHeight="1">
      <c r="A36" s="3545" t="s">
        <v>1891</v>
      </c>
      <c r="B36" s="3099" t="s">
        <v>1804</v>
      </c>
      <c r="C36" s="17">
        <f ca="1">ROUND(C29*F36,1)</f>
        <v>0</v>
      </c>
      <c r="D36" s="3099" t="s">
        <v>1805</v>
      </c>
      <c r="E36" s="3099" t="s">
        <v>650</v>
      </c>
      <c r="F36" s="3557">
        <f ca="1">INDIRECT("'数据-取费表'!Ak"&amp;$G$1)</f>
        <v>0</v>
      </c>
      <c r="G36" s="2059"/>
      <c r="H36" s="2074"/>
      <c r="I36" s="837" t="s">
        <v>1817</v>
      </c>
      <c r="J36" s="838">
        <f ca="1">INDIRECT("'数据-取费表'!j"&amp;$G$1)</f>
        <v>8.5000000000000006E-2</v>
      </c>
      <c r="K36" s="2079"/>
      <c r="L36" s="2074"/>
      <c r="M36" s="2074"/>
    </row>
    <row r="37" spans="1:18" ht="18" customHeight="1">
      <c r="A37" s="3545" t="s">
        <v>1892</v>
      </c>
      <c r="B37" s="3099" t="s">
        <v>680</v>
      </c>
      <c r="C37" s="17">
        <f ca="1">ROUND(C13*F37,1)</f>
        <v>0</v>
      </c>
      <c r="D37" s="3099" t="s">
        <v>1806</v>
      </c>
      <c r="E37" s="3099" t="s">
        <v>650</v>
      </c>
      <c r="F37" s="3558">
        <f ca="1">INDIRECT("'数据-取费表'!Al"&amp;$G$1)</f>
        <v>0</v>
      </c>
      <c r="G37" s="2059"/>
      <c r="H37" s="2074"/>
      <c r="I37" s="839" t="s">
        <v>1818</v>
      </c>
      <c r="J37" s="840"/>
      <c r="K37" s="2079"/>
      <c r="L37" s="2074"/>
      <c r="M37" s="2074"/>
    </row>
    <row r="38" spans="1:18" ht="18" customHeight="1" thickBot="1">
      <c r="A38" s="3559" t="s">
        <v>1893</v>
      </c>
      <c r="B38" s="2563" t="s">
        <v>667</v>
      </c>
      <c r="C38" s="3551">
        <f ca="1">ROUND(C5*F38,1)</f>
        <v>0</v>
      </c>
      <c r="D38" s="2563" t="s">
        <v>684</v>
      </c>
      <c r="E38" s="2563" t="s">
        <v>650</v>
      </c>
      <c r="F38" s="3535">
        <f ca="1">INDIRECT("'数据-取费表'!Am"&amp;$G$1)</f>
        <v>0</v>
      </c>
      <c r="G38" s="2059"/>
      <c r="H38" s="2074"/>
      <c r="I38" s="841" t="s">
        <v>1819</v>
      </c>
      <c r="J38" s="842"/>
      <c r="K38" s="2080"/>
      <c r="L38" s="2074"/>
      <c r="M38" s="2074"/>
    </row>
    <row r="39" spans="1:18" ht="24.6" customHeight="1" thickTop="1">
      <c r="A39" s="3536" t="s">
        <v>1778</v>
      </c>
      <c r="B39" s="2973" t="s">
        <v>2827</v>
      </c>
      <c r="C39" s="3538">
        <f ca="1">C5-C30</f>
        <v>248</v>
      </c>
      <c r="D39" s="2566" t="s">
        <v>1808</v>
      </c>
      <c r="E39" s="2567"/>
      <c r="F39" s="2568"/>
      <c r="G39" s="2059"/>
      <c r="H39" s="2074"/>
      <c r="I39" s="835" t="s">
        <v>1820</v>
      </c>
      <c r="J39" s="843">
        <f ca="1">ROUND(J35/C39,3)</f>
        <v>1.016</v>
      </c>
      <c r="K39" s="2080"/>
      <c r="L39" s="2074"/>
      <c r="M39" s="2074"/>
    </row>
    <row r="40" spans="1:18" ht="18" customHeight="1">
      <c r="A40" s="3513" t="s">
        <v>1782</v>
      </c>
      <c r="B40" s="2229" t="s">
        <v>2302</v>
      </c>
      <c r="C40" s="3517">
        <f ca="1">ROUND(C39*(1-((1+F42)/(1+F40))^F41)/(F40-F42),0)</f>
        <v>5424</v>
      </c>
      <c r="D40" s="812" t="s">
        <v>1809</v>
      </c>
      <c r="E40" s="3099" t="s">
        <v>2420</v>
      </c>
      <c r="F40" s="3524">
        <f ca="1">INDIRECT("'数据-取费表'!I"&amp;$G$1)</f>
        <v>5.5E-2</v>
      </c>
      <c r="G40" s="2059"/>
      <c r="H40" s="2059"/>
      <c r="I40" s="835" t="s">
        <v>1821</v>
      </c>
      <c r="J40" s="843">
        <f ca="1">1-J39</f>
        <v>-1.6000000000000014E-2</v>
      </c>
      <c r="K40" s="2080"/>
      <c r="L40" s="2059"/>
      <c r="M40" s="2059"/>
    </row>
    <row r="41" spans="1:18" ht="18" customHeight="1">
      <c r="A41" s="3523"/>
      <c r="B41" s="785"/>
      <c r="C41" s="3520"/>
      <c r="D41" s="819" t="s">
        <v>1810</v>
      </c>
      <c r="E41" s="3099" t="s">
        <v>2971</v>
      </c>
      <c r="F41" s="3560">
        <f ca="1">IF(INDIRECT("'数据-取费表'!af"&amp;$G$1)=0,INDIRECT("'数据-取费表'!ae"&amp;$G$1),INDIRECT("'数据-取费表'!af"&amp;$G$1))</f>
        <v>37</v>
      </c>
      <c r="G41" s="2059"/>
      <c r="H41" s="1985"/>
      <c r="I41" s="841" t="s">
        <v>1822</v>
      </c>
      <c r="J41" s="844"/>
      <c r="K41" s="2079"/>
      <c r="L41" s="1985"/>
      <c r="M41" s="1985"/>
    </row>
    <row r="42" spans="1:18" ht="18" customHeight="1">
      <c r="A42" s="3528"/>
      <c r="B42" s="789"/>
      <c r="C42" s="3538"/>
      <c r="D42" s="814"/>
      <c r="E42" s="3099" t="s">
        <v>711</v>
      </c>
      <c r="F42" s="3524">
        <f ca="1">INDIRECT("'数据-取费表'!v"&amp;$G$1)</f>
        <v>2.5000000000000001E-2</v>
      </c>
      <c r="G42" s="2059"/>
      <c r="H42" s="1985"/>
      <c r="I42" s="845" t="s">
        <v>1823</v>
      </c>
      <c r="J42" s="843">
        <f ca="1">ROUND(C13/C40,3)</f>
        <v>0.54700000000000004</v>
      </c>
      <c r="K42" s="2079"/>
      <c r="L42" s="1985"/>
      <c r="M42" s="1985"/>
    </row>
    <row r="43" spans="1:18" ht="18" customHeight="1" thickBot="1">
      <c r="A43" s="386" t="s">
        <v>1789</v>
      </c>
      <c r="B43" s="3561" t="s">
        <v>1812</v>
      </c>
      <c r="C43" s="408">
        <f ca="1">ROUND(C40*10000/F43,0)</f>
        <v>6106</v>
      </c>
      <c r="D43" s="3562" t="s">
        <v>1813</v>
      </c>
      <c r="E43" s="3102" t="s">
        <v>1814</v>
      </c>
      <c r="F43" s="3563">
        <f ca="1">INDIRECT("'数据-取费表'!k"&amp;$G$1)</f>
        <v>8883.42</v>
      </c>
      <c r="G43" s="2059"/>
      <c r="H43" s="1985"/>
      <c r="I43" s="845" t="s">
        <v>1824</v>
      </c>
      <c r="J43" s="846">
        <f ca="1">1-J42</f>
        <v>0.45299999999999996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-5847</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5424</v>
      </c>
      <c r="R48" s="2420" t="s">
        <v>2381</v>
      </c>
    </row>
    <row r="49" spans="1:18" s="2056" customFormat="1" ht="18" customHeight="1" thickBot="1">
      <c r="A49" s="784"/>
      <c r="B49" s="785"/>
      <c r="C49" s="786"/>
      <c r="D49" s="787"/>
      <c r="E49" s="782" t="s">
        <v>1741</v>
      </c>
      <c r="F49" s="783">
        <f ca="1">F7</f>
        <v>8883.42</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2968</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-79</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363" t="s">
        <v>2973</v>
      </c>
      <c r="L53" s="3364"/>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5424</v>
      </c>
      <c r="R54" s="2424" t="s">
        <v>2393</v>
      </c>
    </row>
    <row r="55" spans="1:18" s="2056" customFormat="1" ht="18" customHeight="1" thickTop="1" thickBot="1">
      <c r="A55" s="795">
        <v>2</v>
      </c>
      <c r="B55" s="796" t="s">
        <v>645</v>
      </c>
      <c r="C55" s="797">
        <f ca="1">C13</f>
        <v>2968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2968</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27</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5424</v>
      </c>
      <c r="R57" s="2420" t="s">
        <v>2381</v>
      </c>
    </row>
    <row r="58" spans="1:18" s="2056" customFormat="1" ht="28.5" customHeight="1" thickBot="1">
      <c r="A58" s="1646" t="s">
        <v>1826</v>
      </c>
      <c r="B58" s="782" t="s">
        <v>657</v>
      </c>
      <c r="C58" s="53">
        <f ca="1">ROUND(IF(项目基本情况!B11="自然人",C47*F58,C59+C60+C61),1)</f>
        <v>26.7</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24.9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1.8</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2956.5299999999997</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0</v>
      </c>
      <c r="D63" s="3099" t="s">
        <v>1805</v>
      </c>
      <c r="E63" s="782" t="s">
        <v>1749</v>
      </c>
      <c r="F63" s="815">
        <f t="shared" ca="1" si="0"/>
        <v>0</v>
      </c>
      <c r="I63" s="2406" t="s">
        <v>2371</v>
      </c>
      <c r="J63" s="2407">
        <v>70</v>
      </c>
      <c r="K63" s="2407">
        <v>50</v>
      </c>
      <c r="L63" s="2407">
        <v>80</v>
      </c>
      <c r="M63" s="3062">
        <v>0.02</v>
      </c>
      <c r="O63" s="2419" t="s">
        <v>2392</v>
      </c>
      <c r="P63" s="2420" t="s">
        <v>2409</v>
      </c>
      <c r="Q63" s="2421">
        <f ca="1">Q57+Q58</f>
        <v>5424</v>
      </c>
      <c r="R63" s="2424" t="s">
        <v>2393</v>
      </c>
    </row>
    <row r="64" spans="1:18" s="2056" customFormat="1" ht="16.5" thickBot="1">
      <c r="A64" s="1646" t="s">
        <v>1892</v>
      </c>
      <c r="B64" s="782" t="s">
        <v>680</v>
      </c>
      <c r="C64" s="53">
        <f ca="1">ROUND(C55*F64,1)</f>
        <v>0</v>
      </c>
      <c r="D64" s="3099" t="s">
        <v>681</v>
      </c>
      <c r="E64" s="782" t="s">
        <v>1749</v>
      </c>
      <c r="F64" s="816">
        <f t="shared" ca="1" si="0"/>
        <v>0</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-27</v>
      </c>
      <c r="D66" s="3098" t="s">
        <v>701</v>
      </c>
      <c r="E66" s="3096"/>
      <c r="F66" s="818"/>
      <c r="K66" s="2083"/>
      <c r="O66" s="2419" t="s">
        <v>2380</v>
      </c>
      <c r="P66" s="2420" t="s">
        <v>2406</v>
      </c>
      <c r="Q66" s="2421">
        <f ca="1">C40+J29</f>
        <v>5424</v>
      </c>
      <c r="R66" s="2420" t="s">
        <v>2381</v>
      </c>
    </row>
    <row r="67" spans="1:18" s="2056" customFormat="1" ht="20.25" thickBot="1">
      <c r="A67" s="779" t="s">
        <v>1782</v>
      </c>
      <c r="B67" s="2229" t="s">
        <v>2302</v>
      </c>
      <c r="C67" s="781">
        <f ca="1">ROUND(C66*(1-((1+F69)/(1+F67))^F68)/(F67-F69),0)</f>
        <v>-423</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-79</v>
      </c>
      <c r="R68" s="2427" t="s">
        <v>2417</v>
      </c>
    </row>
    <row r="69" spans="1:18" ht="20.25" thickBot="1">
      <c r="A69" s="788"/>
      <c r="B69" s="789"/>
      <c r="C69" s="790"/>
      <c r="D69" s="814"/>
      <c r="E69" s="782" t="s">
        <v>711</v>
      </c>
      <c r="F69" s="2368"/>
      <c r="O69" s="2422" t="s">
        <v>2385</v>
      </c>
      <c r="P69" s="2428" t="s">
        <v>2399</v>
      </c>
      <c r="Q69" s="2421">
        <f ca="1">ROUND(Q70-Q71*Q72,0)</f>
        <v>-4</v>
      </c>
      <c r="R69" s="2424"/>
    </row>
    <row r="70" spans="1:18" ht="15.75" thickBot="1">
      <c r="A70" s="821" t="s">
        <v>1789</v>
      </c>
      <c r="B70" s="822" t="s">
        <v>1812</v>
      </c>
      <c r="C70" s="823">
        <f ca="1">ROUND(C67*10000/F70,0)</f>
        <v>-476</v>
      </c>
      <c r="D70" s="824" t="s">
        <v>1813</v>
      </c>
      <c r="E70" s="825" t="s">
        <v>1814</v>
      </c>
      <c r="F70" s="826">
        <f ca="1">F43</f>
        <v>8883.42</v>
      </c>
      <c r="O70" s="2422" t="s">
        <v>2400</v>
      </c>
      <c r="P70" s="2428" t="s">
        <v>2401</v>
      </c>
      <c r="Q70" s="2421">
        <f ca="1">C39</f>
        <v>248</v>
      </c>
      <c r="R70" s="2420" t="s">
        <v>2381</v>
      </c>
    </row>
    <row r="71" spans="1:18" ht="15.75" thickBot="1">
      <c r="O71" s="2422" t="s">
        <v>2402</v>
      </c>
      <c r="P71" s="2428" t="s">
        <v>2403</v>
      </c>
      <c r="Q71" s="2421">
        <f ca="1">C13</f>
        <v>2968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5424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7">
      <formula>$L$48&gt;$J$51</formula>
    </cfRule>
  </conditionalFormatting>
  <conditionalFormatting sqref="I55">
    <cfRule type="expression" dxfId="5" priority="6">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381" t="s">
        <v>2474</v>
      </c>
      <c r="B1" s="3382"/>
      <c r="C1" s="3383"/>
      <c r="D1" s="3384">
        <f>SUM(I10,I15,I20,I21,I23)</f>
        <v>0</v>
      </c>
      <c r="E1" s="3384"/>
      <c r="F1" s="3384"/>
      <c r="G1" s="3384"/>
      <c r="H1" s="3384"/>
      <c r="I1" s="3385"/>
    </row>
    <row r="2" spans="1:9">
      <c r="A2" s="3371" t="s">
        <v>2475</v>
      </c>
      <c r="B2" s="3372" t="s">
        <v>2476</v>
      </c>
      <c r="C2" s="3372"/>
      <c r="D2" s="2527" t="s">
        <v>2477</v>
      </c>
      <c r="E2" s="2527" t="s">
        <v>2478</v>
      </c>
      <c r="F2" s="2527" t="s">
        <v>2479</v>
      </c>
      <c r="G2" s="2527" t="s">
        <v>2480</v>
      </c>
      <c r="H2" s="2527" t="s">
        <v>2481</v>
      </c>
      <c r="I2" s="2528" t="s">
        <v>2482</v>
      </c>
    </row>
    <row r="3" spans="1:9">
      <c r="A3" s="3371"/>
      <c r="B3" s="3372" t="s">
        <v>2483</v>
      </c>
      <c r="C3" s="3372"/>
      <c r="D3" s="2529"/>
      <c r="E3" s="2527"/>
      <c r="F3" s="2530"/>
      <c r="G3" s="2530"/>
      <c r="H3" s="2531"/>
      <c r="I3" s="2532">
        <f>ROUND(D3*E3*F3*G3*H3/10000,0)</f>
        <v>0</v>
      </c>
    </row>
    <row r="4" spans="1:9">
      <c r="A4" s="3371"/>
      <c r="B4" s="3372" t="s">
        <v>2484</v>
      </c>
      <c r="C4" s="3372"/>
      <c r="D4" s="2529"/>
      <c r="E4" s="2527"/>
      <c r="F4" s="2530"/>
      <c r="G4" s="2530"/>
      <c r="H4" s="2531"/>
      <c r="I4" s="2532">
        <f t="shared" ref="I4:I9" si="0">ROUND(D4*E4*F4*G4*H4/10000,0)</f>
        <v>0</v>
      </c>
    </row>
    <row r="5" spans="1:9">
      <c r="A5" s="3371"/>
      <c r="B5" s="3372" t="s">
        <v>2485</v>
      </c>
      <c r="C5" s="3372"/>
      <c r="D5" s="2529"/>
      <c r="E5" s="2527"/>
      <c r="F5" s="2530"/>
      <c r="G5" s="2530"/>
      <c r="H5" s="2531"/>
      <c r="I5" s="2532">
        <f t="shared" si="0"/>
        <v>0</v>
      </c>
    </row>
    <row r="6" spans="1:9">
      <c r="A6" s="3371"/>
      <c r="B6" s="3372" t="s">
        <v>2486</v>
      </c>
      <c r="C6" s="3372"/>
      <c r="D6" s="2529"/>
      <c r="E6" s="2527"/>
      <c r="F6" s="2530"/>
      <c r="G6" s="2530"/>
      <c r="H6" s="2531"/>
      <c r="I6" s="2532">
        <f t="shared" si="0"/>
        <v>0</v>
      </c>
    </row>
    <row r="7" spans="1:9">
      <c r="A7" s="3371"/>
      <c r="B7" s="3372" t="s">
        <v>2487</v>
      </c>
      <c r="C7" s="3372"/>
      <c r="D7" s="2529"/>
      <c r="E7" s="2527"/>
      <c r="F7" s="2530"/>
      <c r="G7" s="2530"/>
      <c r="H7" s="2531"/>
      <c r="I7" s="2532">
        <f t="shared" si="0"/>
        <v>0</v>
      </c>
    </row>
    <row r="8" spans="1:9">
      <c r="A8" s="3371"/>
      <c r="B8" s="3372" t="s">
        <v>2488</v>
      </c>
      <c r="C8" s="3372"/>
      <c r="D8" s="2529"/>
      <c r="E8" s="2527"/>
      <c r="F8" s="2530"/>
      <c r="G8" s="2530"/>
      <c r="H8" s="2531"/>
      <c r="I8" s="2532">
        <f t="shared" si="0"/>
        <v>0</v>
      </c>
    </row>
    <row r="9" spans="1:9">
      <c r="A9" s="3371"/>
      <c r="B9" s="3372" t="s">
        <v>2489</v>
      </c>
      <c r="C9" s="3372"/>
      <c r="D9" s="2529"/>
      <c r="E9" s="2527"/>
      <c r="F9" s="2530"/>
      <c r="G9" s="2530"/>
      <c r="H9" s="2531"/>
      <c r="I9" s="2532">
        <f t="shared" si="0"/>
        <v>0</v>
      </c>
    </row>
    <row r="10" spans="1:9">
      <c r="A10" s="3371"/>
      <c r="B10" s="3373" t="s">
        <v>2490</v>
      </c>
      <c r="C10" s="3373"/>
      <c r="D10" s="2533">
        <v>527</v>
      </c>
      <c r="E10" s="2533" t="e">
        <f>ROUND(D1*10000/D10/H9,0)</f>
        <v>#DIV/0!</v>
      </c>
      <c r="F10" s="2534"/>
      <c r="G10" s="2534"/>
      <c r="H10" s="2535"/>
      <c r="I10" s="2536">
        <f>SUM(I3:I9)</f>
        <v>0</v>
      </c>
    </row>
    <row r="11" spans="1:9" ht="14.25">
      <c r="A11" s="3371" t="s">
        <v>2491</v>
      </c>
      <c r="B11" s="3372" t="s">
        <v>2492</v>
      </c>
      <c r="C11" s="3372"/>
      <c r="D11" s="2529" t="s">
        <v>2493</v>
      </c>
      <c r="E11" s="2529" t="s">
        <v>2494</v>
      </c>
      <c r="F11" s="2530" t="s">
        <v>2495</v>
      </c>
      <c r="G11" s="2530" t="s">
        <v>2496</v>
      </c>
      <c r="H11" s="2537" t="s">
        <v>2497</v>
      </c>
      <c r="I11" s="2528" t="s">
        <v>2498</v>
      </c>
    </row>
    <row r="12" spans="1:9">
      <c r="A12" s="3371"/>
      <c r="B12" s="3372" t="s">
        <v>2499</v>
      </c>
      <c r="C12" s="3372"/>
      <c r="D12" s="2529"/>
      <c r="E12" s="2529"/>
      <c r="F12" s="2530"/>
      <c r="G12" s="2531"/>
      <c r="H12" s="2538"/>
      <c r="I12" s="2528">
        <f>ROUND(D12*E12*F12*G12/10000,0)</f>
        <v>0</v>
      </c>
    </row>
    <row r="13" spans="1:9">
      <c r="A13" s="3371"/>
      <c r="B13" s="3372" t="s">
        <v>2500</v>
      </c>
      <c r="C13" s="3372"/>
      <c r="D13" s="2529"/>
      <c r="E13" s="2529"/>
      <c r="F13" s="2530"/>
      <c r="G13" s="2531"/>
      <c r="H13" s="2538"/>
      <c r="I13" s="2528">
        <f>ROUND(D13*E13*F13*G13/10000,0)</f>
        <v>0</v>
      </c>
    </row>
    <row r="14" spans="1:9">
      <c r="A14" s="3371"/>
      <c r="B14" s="3372" t="s">
        <v>2501</v>
      </c>
      <c r="C14" s="3372"/>
      <c r="D14" s="2529"/>
      <c r="E14" s="2529"/>
      <c r="F14" s="2530"/>
      <c r="G14" s="2531"/>
      <c r="H14" s="2538"/>
      <c r="I14" s="2528">
        <f>ROUND(D14*E14*F14*G14/10000,0)</f>
        <v>0</v>
      </c>
    </row>
    <row r="15" spans="1:9">
      <c r="A15" s="3371"/>
      <c r="B15" s="3373" t="s">
        <v>2490</v>
      </c>
      <c r="C15" s="3373"/>
      <c r="D15" s="2533"/>
      <c r="E15" s="2533">
        <f>SUM(E12:E14)</f>
        <v>0</v>
      </c>
      <c r="F15" s="2534"/>
      <c r="G15" s="2531"/>
      <c r="H15" s="2538"/>
      <c r="I15" s="2539">
        <f>SUM(I12:I14)</f>
        <v>0</v>
      </c>
    </row>
    <row r="16" spans="1:9" ht="24">
      <c r="A16" s="3371" t="s">
        <v>2502</v>
      </c>
      <c r="B16" s="3372" t="s">
        <v>2503</v>
      </c>
      <c r="C16" s="3372"/>
      <c r="D16" s="2529" t="s">
        <v>2504</v>
      </c>
      <c r="E16" s="2540" t="s">
        <v>2505</v>
      </c>
      <c r="F16" s="2530" t="s">
        <v>2506</v>
      </c>
      <c r="G16" s="2531" t="s">
        <v>2496</v>
      </c>
      <c r="H16" s="2537" t="s">
        <v>2497</v>
      </c>
      <c r="I16" s="2528" t="s">
        <v>2498</v>
      </c>
    </row>
    <row r="17" spans="1:9" ht="14.25">
      <c r="A17" s="3371"/>
      <c r="B17" s="3372" t="s">
        <v>2507</v>
      </c>
      <c r="C17" s="3372"/>
      <c r="D17" s="2529"/>
      <c r="E17" s="2529"/>
      <c r="F17" s="2530"/>
      <c r="G17" s="2531"/>
      <c r="H17" s="2541"/>
      <c r="I17" s="2542">
        <f>ROUND(D17*E17*F17*G17/10000,0)</f>
        <v>0</v>
      </c>
    </row>
    <row r="18" spans="1:9" ht="14.25">
      <c r="A18" s="3371"/>
      <c r="B18" s="3372" t="s">
        <v>2508</v>
      </c>
      <c r="C18" s="3372"/>
      <c r="D18" s="2529"/>
      <c r="E18" s="2529"/>
      <c r="F18" s="2530"/>
      <c r="G18" s="2531"/>
      <c r="H18" s="2541"/>
      <c r="I18" s="2542">
        <f>ROUND(D18*E18*F18*G18/10000,0)</f>
        <v>0</v>
      </c>
    </row>
    <row r="19" spans="1:9" ht="14.25">
      <c r="A19" s="3371"/>
      <c r="B19" s="3372" t="s">
        <v>2509</v>
      </c>
      <c r="C19" s="3372"/>
      <c r="D19" s="2529"/>
      <c r="E19" s="2529"/>
      <c r="F19" s="2530"/>
      <c r="G19" s="2531"/>
      <c r="H19" s="2541"/>
      <c r="I19" s="2542">
        <f>ROUND(D19*E19*F19*G19/10000,0)</f>
        <v>0</v>
      </c>
    </row>
    <row r="20" spans="1:9">
      <c r="A20" s="3371"/>
      <c r="B20" s="3373" t="s">
        <v>2490</v>
      </c>
      <c r="C20" s="3373"/>
      <c r="D20" s="2533">
        <f>SUM(D17:D19)</f>
        <v>0</v>
      </c>
      <c r="E20" s="2533"/>
      <c r="F20" s="2534"/>
      <c r="G20" s="2531"/>
      <c r="H20" s="2538"/>
      <c r="I20" s="2539">
        <f>SUM(I17:I19)</f>
        <v>0</v>
      </c>
    </row>
    <row r="21" spans="1:9">
      <c r="A21" s="3371" t="s">
        <v>2510</v>
      </c>
      <c r="B21" s="3374"/>
      <c r="C21" s="3374"/>
      <c r="D21" s="3374"/>
      <c r="E21" s="3374"/>
      <c r="F21" s="3374"/>
      <c r="G21" s="3374"/>
      <c r="H21" s="2543">
        <v>0.1</v>
      </c>
      <c r="I21" s="2536">
        <f>ROUND(I10*H21,0)</f>
        <v>0</v>
      </c>
    </row>
    <row r="22" spans="1:9" ht="14.25">
      <c r="A22" s="3375" t="s">
        <v>2511</v>
      </c>
      <c r="B22" s="3376"/>
      <c r="C22" s="3377"/>
      <c r="D22" s="2544" t="s">
        <v>2512</v>
      </c>
      <c r="E22" s="2544" t="s">
        <v>2513</v>
      </c>
      <c r="F22" s="2545" t="s">
        <v>2514</v>
      </c>
      <c r="G22" s="2545" t="s">
        <v>2515</v>
      </c>
      <c r="H22" s="2537" t="s">
        <v>2516</v>
      </c>
      <c r="I22" s="2528" t="s">
        <v>2517</v>
      </c>
    </row>
    <row r="23" spans="1:9" ht="14.25" thickBot="1">
      <c r="A23" s="3378"/>
      <c r="B23" s="3379"/>
      <c r="C23" s="3380"/>
      <c r="D23" s="2546"/>
      <c r="E23" s="2546"/>
      <c r="F23" s="2546"/>
      <c r="G23" s="2547"/>
      <c r="H23" s="2548"/>
      <c r="I23" s="2549">
        <f>ROUND(E23*D23*F23*(1-G23)/10000,0)</f>
        <v>0</v>
      </c>
    </row>
    <row r="26" spans="1:9">
      <c r="A26" s="2550" t="s">
        <v>2518</v>
      </c>
      <c r="B26" s="2550"/>
      <c r="C26" s="2550"/>
      <c r="D26" s="2550"/>
      <c r="E26" s="3368">
        <f>C27-C30-C31-C32</f>
        <v>0</v>
      </c>
      <c r="F26" s="3368"/>
      <c r="G26" s="3368"/>
      <c r="H26" s="3001" t="s">
        <v>2848</v>
      </c>
    </row>
    <row r="27" spans="1:9">
      <c r="A27" s="2551">
        <v>1</v>
      </c>
      <c r="B27" s="2552" t="s">
        <v>2519</v>
      </c>
      <c r="C27" s="2552"/>
      <c r="D27" s="2552"/>
      <c r="E27" s="3369"/>
      <c r="F27" s="3369"/>
      <c r="G27" s="3369"/>
    </row>
    <row r="28" spans="1:9">
      <c r="A28" s="2553" t="s">
        <v>2520</v>
      </c>
      <c r="B28" s="2552" t="s">
        <v>2521</v>
      </c>
      <c r="C28" s="2552"/>
      <c r="D28" s="2552"/>
      <c r="E28" s="3369"/>
      <c r="F28" s="3369"/>
      <c r="G28" s="3369"/>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370"/>
      <c r="F32" s="3370"/>
      <c r="G32" s="3370"/>
    </row>
    <row r="33" spans="1:7" hidden="1">
      <c r="A33" s="3365" t="s">
        <v>2529</v>
      </c>
      <c r="B33" s="3366"/>
      <c r="C33" s="3366"/>
      <c r="D33" s="3367"/>
      <c r="E33" s="3368"/>
      <c r="F33" s="3368"/>
      <c r="G33" s="3368"/>
    </row>
    <row r="34" spans="1:7" hidden="1">
      <c r="A34" s="2555">
        <v>1</v>
      </c>
      <c r="B34" s="2552" t="s">
        <v>2530</v>
      </c>
      <c r="C34" s="2552"/>
      <c r="D34" s="2552"/>
      <c r="E34" s="3369"/>
      <c r="F34" s="3369"/>
      <c r="G34" s="3369"/>
    </row>
    <row r="35" spans="1:7" hidden="1">
      <c r="A35" s="2555">
        <v>2</v>
      </c>
      <c r="B35" s="2552" t="s">
        <v>2531</v>
      </c>
      <c r="C35" s="2552"/>
      <c r="D35" s="2552"/>
      <c r="E35" s="3369"/>
      <c r="F35" s="3369"/>
      <c r="G35" s="3369"/>
    </row>
    <row r="36" spans="1:7" hidden="1">
      <c r="A36" s="2555">
        <v>3</v>
      </c>
      <c r="B36" s="2552" t="s">
        <v>2532</v>
      </c>
      <c r="C36" s="2552"/>
      <c r="D36" s="2552"/>
      <c r="E36" s="3369"/>
      <c r="F36" s="3369"/>
      <c r="G36" s="3369"/>
    </row>
    <row r="37" spans="1:7" hidden="1">
      <c r="A37" s="2555">
        <v>4</v>
      </c>
      <c r="B37" s="2552" t="s">
        <v>2533</v>
      </c>
      <c r="C37" s="2552"/>
      <c r="D37" s="2552"/>
      <c r="E37" s="3369"/>
      <c r="F37" s="3369"/>
      <c r="G37" s="3369"/>
    </row>
    <row r="38" spans="1:7" hidden="1">
      <c r="A38" s="3365" t="s">
        <v>2534</v>
      </c>
      <c r="B38" s="3366"/>
      <c r="C38" s="3366"/>
      <c r="D38" s="3367"/>
      <c r="E38" s="3368"/>
      <c r="F38" s="3368"/>
      <c r="G38" s="33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604</v>
      </c>
      <c r="B1" s="740"/>
      <c r="C1" s="2179"/>
      <c r="D1" s="2179"/>
      <c r="E1" s="2179"/>
      <c r="F1" s="2179"/>
      <c r="G1" s="2105"/>
    </row>
    <row r="2" spans="1:25" s="2056" customFormat="1" ht="18" customHeight="1">
      <c r="A2" s="423" t="s">
        <v>467</v>
      </c>
      <c r="B2" s="425">
        <f ca="1">C23</f>
        <v>0</v>
      </c>
      <c r="C2" s="2105"/>
      <c r="D2" s="2105"/>
      <c r="E2" s="2105"/>
      <c r="F2" s="2105"/>
      <c r="G2" s="2105"/>
    </row>
    <row r="3" spans="1:25" s="2056" customFormat="1" ht="18" customHeight="1">
      <c r="A3" s="1377" t="s">
        <v>1687</v>
      </c>
      <c r="B3" s="425">
        <f ca="1">ROUND(B2*10000/'数据-汇总表'!E3,0)</f>
        <v>0</v>
      </c>
      <c r="C3" s="2105"/>
      <c r="D3" s="2105"/>
      <c r="E3" s="2105"/>
      <c r="F3" s="2105"/>
      <c r="G3" s="2105"/>
    </row>
    <row r="4" spans="1:25" s="2056" customFormat="1" ht="18" customHeight="1">
      <c r="A4" s="426" t="s">
        <v>468</v>
      </c>
      <c r="B4" s="427">
        <f ca="1">ROUND(B2*10000/'数据-汇总表'!D3,0)</f>
        <v>0</v>
      </c>
      <c r="C4" s="2058"/>
      <c r="D4" s="2105"/>
      <c r="E4" s="2105"/>
      <c r="F4" s="2105"/>
      <c r="G4" s="2105"/>
    </row>
    <row r="5" spans="1:25" s="2056" customFormat="1" ht="18" customHeight="1" thickBot="1">
      <c r="A5" s="429"/>
      <c r="B5" s="430">
        <f ca="1">ROUND(B2/('数据-汇总表'!D3/666.67),0)</f>
        <v>0</v>
      </c>
      <c r="C5" s="431" t="s">
        <v>469</v>
      </c>
      <c r="D5" s="2105"/>
      <c r="E5" s="2105"/>
      <c r="F5" s="2105"/>
      <c r="G5" s="2105"/>
    </row>
    <row r="6" spans="1:25" s="2180" customFormat="1" ht="13.5" customHeight="1">
      <c r="A6" s="741"/>
      <c r="B6" s="742" t="s">
        <v>605</v>
      </c>
      <c r="C6" s="743" t="s">
        <v>606</v>
      </c>
      <c r="D6" s="743" t="s">
        <v>607</v>
      </c>
      <c r="E6" s="744" t="s">
        <v>608</v>
      </c>
      <c r="F6" s="744" t="s">
        <v>609</v>
      </c>
      <c r="G6" s="745"/>
    </row>
    <row r="7" spans="1:25" s="2180" customFormat="1" ht="13.5" customHeight="1">
      <c r="A7" s="2490">
        <v>1</v>
      </c>
      <c r="B7" s="746" t="s">
        <v>610</v>
      </c>
      <c r="C7" s="747">
        <f>C8+C9</f>
        <v>0</v>
      </c>
      <c r="D7" s="747"/>
      <c r="E7" s="748"/>
      <c r="F7" s="748"/>
      <c r="G7" s="2500"/>
    </row>
    <row r="8" spans="1:25" s="2180" customFormat="1" ht="13.5" customHeight="1">
      <c r="A8" s="2490" t="s">
        <v>2441</v>
      </c>
      <c r="B8" s="2493" t="s">
        <v>2443</v>
      </c>
      <c r="C8" s="2494"/>
      <c r="D8" s="747"/>
      <c r="E8" s="748"/>
      <c r="F8" s="748"/>
      <c r="G8" s="749"/>
    </row>
    <row r="9" spans="1:25" s="2180" customFormat="1" ht="13.5" customHeight="1">
      <c r="A9" s="2490" t="s">
        <v>2442</v>
      </c>
      <c r="B9" s="2493" t="s">
        <v>2444</v>
      </c>
      <c r="C9" s="2494"/>
      <c r="D9" s="747"/>
      <c r="E9" s="748"/>
      <c r="F9" s="748"/>
      <c r="G9" s="749"/>
    </row>
    <row r="10" spans="1:25" s="2180" customFormat="1" ht="36">
      <c r="A10" s="2490">
        <v>2</v>
      </c>
      <c r="B10" s="746" t="s">
        <v>614</v>
      </c>
      <c r="C10" s="747">
        <f>C11+C14+C15</f>
        <v>0</v>
      </c>
      <c r="D10" s="758">
        <f>'数据-汇总表'!E3</f>
        <v>537479.47</v>
      </c>
      <c r="E10" s="747">
        <f>'数据-取费表'!B31</f>
        <v>200</v>
      </c>
      <c r="F10" s="759"/>
      <c r="G10" s="757" t="s">
        <v>615</v>
      </c>
    </row>
    <row r="11" spans="1:25" s="2180" customFormat="1" ht="13.5" customHeight="1">
      <c r="A11" s="2490" t="s">
        <v>2441</v>
      </c>
      <c r="B11" s="750" t="s">
        <v>611</v>
      </c>
      <c r="C11" s="751">
        <f>'数据-取费表'!B29</f>
        <v>0</v>
      </c>
      <c r="D11" s="752"/>
      <c r="E11" s="751"/>
      <c r="F11" s="753"/>
      <c r="G11" s="2499" t="s">
        <v>2452</v>
      </c>
    </row>
    <row r="12" spans="1:25" s="2180" customFormat="1" ht="13.5" customHeight="1">
      <c r="A12" s="2497" t="s">
        <v>2449</v>
      </c>
      <c r="B12" s="754" t="s">
        <v>612</v>
      </c>
      <c r="C12" s="755">
        <f>ROUND(D12*E12/10000,0)</f>
        <v>794</v>
      </c>
      <c r="D12" s="756">
        <f>'数据-汇总表'!E5</f>
        <v>239075.36</v>
      </c>
      <c r="E12" s="755">
        <f>'数据-取费表'!B27</f>
        <v>33.200000000000003</v>
      </c>
      <c r="F12" s="753"/>
      <c r="G12" s="757"/>
    </row>
    <row r="13" spans="1:25" s="2180" customFormat="1" ht="13.5" customHeight="1">
      <c r="A13" s="2497" t="s">
        <v>2448</v>
      </c>
      <c r="B13" s="754" t="s">
        <v>613</v>
      </c>
      <c r="C13" s="755">
        <f>ROUND(D13*E13/10000,0)</f>
        <v>645</v>
      </c>
      <c r="D13" s="756">
        <f>'数据-汇总表'!E6</f>
        <v>298404.11</v>
      </c>
      <c r="E13" s="755">
        <f>'数据-取费表'!B28</f>
        <v>21.6</v>
      </c>
      <c r="F13" s="753"/>
      <c r="G13" s="757"/>
    </row>
    <row r="14" spans="1:25" s="2180" customFormat="1" ht="13.5" customHeight="1">
      <c r="A14" s="2490" t="s">
        <v>2442</v>
      </c>
      <c r="B14" s="2496" t="s">
        <v>2445</v>
      </c>
      <c r="C14" s="2494"/>
      <c r="D14" s="756"/>
      <c r="E14" s="755"/>
      <c r="F14" s="2495"/>
      <c r="G14" s="2498" t="s">
        <v>2450</v>
      </c>
    </row>
    <row r="15" spans="1:25" s="2180" customFormat="1" ht="13.5" customHeight="1">
      <c r="A15" s="2490" t="s">
        <v>2447</v>
      </c>
      <c r="B15" s="2496" t="s">
        <v>2446</v>
      </c>
      <c r="C15" s="2494"/>
      <c r="D15" s="756"/>
      <c r="E15" s="755"/>
      <c r="F15" s="2495"/>
      <c r="G15" s="2498" t="s">
        <v>2451</v>
      </c>
    </row>
    <row r="16" spans="1:25" s="2181" customFormat="1" ht="48">
      <c r="A16" s="2490">
        <v>3</v>
      </c>
      <c r="B16" s="746" t="s">
        <v>616</v>
      </c>
      <c r="C16" s="2494"/>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618</v>
      </c>
      <c r="C18" s="747">
        <f>ROUND((C7+C10+C16)*F18,0)</f>
        <v>0</v>
      </c>
      <c r="D18" s="760"/>
      <c r="E18" s="761"/>
      <c r="F18" s="759">
        <f>'数据-取费表'!Q16</f>
        <v>0.12</v>
      </c>
      <c r="G18" s="763"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620</v>
      </c>
      <c r="C19" s="747">
        <f ca="1">C7+C10+C16+C17+C18</f>
        <v>0</v>
      </c>
      <c r="D19" s="758"/>
      <c r="E19" s="747"/>
      <c r="F19" s="759"/>
      <c r="G19" s="763"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622</v>
      </c>
      <c r="C20" s="747">
        <f ca="1">ROUND(C19*F20,0)</f>
        <v>0</v>
      </c>
      <c r="D20" s="758"/>
      <c r="E20" s="747"/>
      <c r="F20" s="1347"/>
      <c r="G20" s="763"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624</v>
      </c>
      <c r="C21" s="747">
        <f ca="1">C19+C20</f>
        <v>0</v>
      </c>
      <c r="D21" s="758"/>
      <c r="E21" s="747"/>
      <c r="F21" s="759"/>
      <c r="G21" s="763"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626</v>
      </c>
      <c r="C22" s="747">
        <f ca="1">ROUND(C21*F22,0)</f>
        <v>0</v>
      </c>
      <c r="D22" s="758"/>
      <c r="E22" s="747"/>
      <c r="F22" s="764">
        <f>'数据-取费表'!AP16</f>
        <v>0.88900000000000001</v>
      </c>
      <c r="G22" s="763"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628</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520</v>
      </c>
      <c r="B3" s="508" t="e">
        <f>C49</f>
        <v>#DIV/0!</v>
      </c>
      <c r="C3" s="850" t="s">
        <v>723</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8"/>
    </row>
    <row r="4" spans="1:29" ht="15">
      <c r="A4" s="510" t="s">
        <v>522</v>
      </c>
      <c r="B4" s="511"/>
      <c r="C4" s="3293" t="s">
        <v>523</v>
      </c>
      <c r="D4" s="3294"/>
      <c r="E4" s="3317" t="s">
        <v>524</v>
      </c>
      <c r="F4" s="3318"/>
      <c r="G4" s="3293" t="s">
        <v>525</v>
      </c>
      <c r="H4" s="3294"/>
      <c r="I4" s="3293" t="s">
        <v>526</v>
      </c>
      <c r="J4" s="3294"/>
      <c r="K4" s="512" t="s">
        <v>527</v>
      </c>
      <c r="L4" s="2130"/>
      <c r="M4" s="2131"/>
      <c r="N4" s="2131"/>
      <c r="O4" s="2131"/>
      <c r="P4" s="3295" t="s">
        <v>528</v>
      </c>
      <c r="Q4" s="3296"/>
      <c r="R4" s="3281" t="s">
        <v>524</v>
      </c>
      <c r="S4" s="3282"/>
      <c r="T4" s="3281" t="s">
        <v>525</v>
      </c>
      <c r="U4" s="3282"/>
      <c r="V4" s="3301" t="s">
        <v>526</v>
      </c>
      <c r="W4" s="3301"/>
      <c r="X4" s="1565"/>
      <c r="Y4" s="3281" t="s">
        <v>528</v>
      </c>
      <c r="Z4" s="3282"/>
      <c r="AA4" s="3276" t="s">
        <v>524</v>
      </c>
      <c r="AB4" s="3301" t="s">
        <v>525</v>
      </c>
      <c r="AC4" s="3276" t="s">
        <v>526</v>
      </c>
    </row>
    <row r="5" spans="1:29" ht="15">
      <c r="A5" s="513"/>
      <c r="B5" s="514"/>
      <c r="C5" s="3304" t="s">
        <v>2933</v>
      </c>
      <c r="D5" s="3305"/>
      <c r="E5" s="3319" t="s">
        <v>2934</v>
      </c>
      <c r="F5" s="3320"/>
      <c r="G5" s="3304" t="s">
        <v>2935</v>
      </c>
      <c r="H5" s="3305"/>
      <c r="I5" s="3304" t="s">
        <v>2936</v>
      </c>
      <c r="J5" s="3305"/>
      <c r="K5" s="512"/>
      <c r="L5" s="2130"/>
      <c r="M5" s="2131"/>
      <c r="N5" s="2131"/>
      <c r="O5" s="2131"/>
      <c r="P5" s="3297"/>
      <c r="Q5" s="3298"/>
      <c r="R5" s="3283"/>
      <c r="S5" s="3284"/>
      <c r="T5" s="3283"/>
      <c r="U5" s="3284"/>
      <c r="V5" s="3301"/>
      <c r="W5" s="3301"/>
      <c r="X5" s="1565"/>
      <c r="Y5" s="3283"/>
      <c r="Z5" s="3284"/>
      <c r="AA5" s="3277"/>
      <c r="AB5" s="3301"/>
      <c r="AC5" s="3277"/>
    </row>
    <row r="6" spans="1:29" ht="15.75" thickBot="1">
      <c r="A6" s="515"/>
      <c r="B6" s="516"/>
      <c r="C6" s="3302" t="s">
        <v>2937</v>
      </c>
      <c r="D6" s="3303"/>
      <c r="E6" s="3321" t="s">
        <v>2937</v>
      </c>
      <c r="F6" s="3322"/>
      <c r="G6" s="3302" t="s">
        <v>2937</v>
      </c>
      <c r="H6" s="3303"/>
      <c r="I6" s="3302" t="s">
        <v>2937</v>
      </c>
      <c r="J6" s="3303"/>
      <c r="K6" s="512" t="s">
        <v>529</v>
      </c>
      <c r="L6" s="2130"/>
      <c r="M6" s="2131"/>
      <c r="N6" s="2131"/>
      <c r="O6" s="2131"/>
      <c r="P6" s="3299"/>
      <c r="Q6" s="3300"/>
      <c r="R6" s="3283"/>
      <c r="S6" s="3284"/>
      <c r="T6" s="3285"/>
      <c r="U6" s="3286"/>
      <c r="V6" s="3301"/>
      <c r="W6" s="3301"/>
      <c r="X6" s="1565"/>
      <c r="Y6" s="3285"/>
      <c r="Z6" s="3286"/>
      <c r="AA6" s="3278"/>
      <c r="AB6" s="3301"/>
      <c r="AC6" s="3278"/>
    </row>
    <row r="7" spans="1:29" s="1218" customFormat="1" ht="15.75" thickBot="1">
      <c r="A7" s="2875"/>
      <c r="B7" s="2882" t="s">
        <v>530</v>
      </c>
      <c r="C7" s="517">
        <f>'数据-取费表'!B2</f>
        <v>43054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279" t="s">
        <v>531</v>
      </c>
      <c r="Q7" s="3288"/>
      <c r="R7" s="1566" t="s">
        <v>8</v>
      </c>
      <c r="S7" s="1567">
        <f t="shared" ref="S7:S15" si="0">F7</f>
        <v>0</v>
      </c>
      <c r="T7" s="1566" t="s">
        <v>8</v>
      </c>
      <c r="U7" s="1567">
        <f t="shared" ref="U7:U15" si="1">H7</f>
        <v>0</v>
      </c>
      <c r="V7" s="1566" t="s">
        <v>8</v>
      </c>
      <c r="W7" s="1567">
        <f t="shared" ref="W7:W15" si="2">J7</f>
        <v>0</v>
      </c>
      <c r="X7" s="1568"/>
      <c r="Y7" s="3279" t="s">
        <v>531</v>
      </c>
      <c r="Z7" s="3280"/>
      <c r="AA7" s="1569" t="e">
        <f>D7/F7</f>
        <v>#DIV/0!</v>
      </c>
      <c r="AB7" s="1569" t="e">
        <f>D7/H7</f>
        <v>#DIV/0!</v>
      </c>
      <c r="AC7" s="1569" t="e">
        <f>D7/J7</f>
        <v>#DIV/0!</v>
      </c>
    </row>
    <row r="8" spans="1:29" s="1218" customFormat="1" ht="15.75" thickBot="1">
      <c r="A8" s="2876"/>
      <c r="B8" s="2883" t="s">
        <v>532</v>
      </c>
      <c r="C8" s="523" t="s">
        <v>577</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279" t="s">
        <v>534</v>
      </c>
      <c r="Q8" s="3280"/>
      <c r="R8" s="1566" t="s">
        <v>8</v>
      </c>
      <c r="S8" s="1567">
        <f t="shared" si="0"/>
        <v>0</v>
      </c>
      <c r="T8" s="1566" t="s">
        <v>8</v>
      </c>
      <c r="U8" s="1567">
        <f t="shared" si="1"/>
        <v>0</v>
      </c>
      <c r="V8" s="1566" t="s">
        <v>8</v>
      </c>
      <c r="W8" s="1567">
        <f t="shared" si="2"/>
        <v>0</v>
      </c>
      <c r="X8" s="1568"/>
      <c r="Y8" s="3279" t="s">
        <v>534</v>
      </c>
      <c r="Z8" s="3280"/>
      <c r="AA8" s="1569" t="e">
        <f t="shared" ref="AA8:AA46" si="3">D8/F8</f>
        <v>#DIV/0!</v>
      </c>
      <c r="AB8" s="1569" t="e">
        <f t="shared" ref="AB8:AB46" si="4">D8/H8</f>
        <v>#DIV/0!</v>
      </c>
      <c r="AC8" s="1569" t="e">
        <f t="shared" ref="AC8:AC46" si="5">D8/J8</f>
        <v>#DIV/0!</v>
      </c>
    </row>
    <row r="9" spans="1:29" s="1218" customFormat="1" ht="15">
      <c r="A9" s="2877"/>
      <c r="B9" s="2884" t="s">
        <v>2761</v>
      </c>
      <c r="C9" s="855"/>
      <c r="D9" s="254">
        <v>100</v>
      </c>
      <c r="E9" s="858"/>
      <c r="F9" s="254">
        <f>SUMIF(63:63,E9,64:64)-SUMIF(63:63,C9,64:64)+100</f>
        <v>100</v>
      </c>
      <c r="G9" s="856"/>
      <c r="H9" s="254">
        <f>SUMIF(63:63,G9,64:64)-SUMIF(63:63,C9,64:64)+100</f>
        <v>100</v>
      </c>
      <c r="I9" s="856"/>
      <c r="J9" s="254">
        <f>SUMIF(63:63,I9,64:64)-SUMIF(63:63,C9,64:64)+100</f>
        <v>100</v>
      </c>
      <c r="K9" s="522"/>
      <c r="L9" s="2132"/>
      <c r="M9" s="2133"/>
      <c r="N9" s="2133"/>
      <c r="O9" s="2134"/>
      <c r="P9" s="3287" t="s">
        <v>536</v>
      </c>
      <c r="Q9" s="1149" t="str">
        <f t="shared" ref="Q9:Q15" si="6">B9</f>
        <v>用途</v>
      </c>
      <c r="R9" s="1566" t="s">
        <v>8</v>
      </c>
      <c r="S9" s="1567">
        <f t="shared" si="0"/>
        <v>100</v>
      </c>
      <c r="T9" s="1566" t="s">
        <v>8</v>
      </c>
      <c r="U9" s="1567">
        <f t="shared" si="1"/>
        <v>100</v>
      </c>
      <c r="V9" s="1566" t="s">
        <v>8</v>
      </c>
      <c r="W9" s="1567">
        <f t="shared" si="2"/>
        <v>100</v>
      </c>
      <c r="X9" s="1568"/>
      <c r="Y9" s="3244"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SUMIF(65:65,E10,66:66)-SUMIF(65:65,C10,66:66)+100</f>
        <v>100</v>
      </c>
      <c r="G10" s="860"/>
      <c r="H10" s="255">
        <f>SUMIF(65:65,G10,66:66)-SUMIF(65:65,C10,66:66)+100</f>
        <v>100</v>
      </c>
      <c r="I10" s="859"/>
      <c r="J10" s="255">
        <f>SUMIF(65:65,I10,66:66)-SUMIF(65:65,C10,66:66)+100</f>
        <v>100</v>
      </c>
      <c r="K10" s="582"/>
      <c r="L10" s="2135"/>
      <c r="M10" s="2175"/>
      <c r="N10" s="2175"/>
      <c r="O10" s="2136"/>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7"/>
      <c r="M11" s="2131"/>
      <c r="N11" s="2131"/>
      <c r="O11" s="2138"/>
      <c r="P11" s="3287"/>
      <c r="Q11" s="1149" t="str">
        <f t="shared" si="6"/>
        <v>容积率</v>
      </c>
      <c r="R11" s="1566" t="s">
        <v>8</v>
      </c>
      <c r="S11" s="1567" t="e">
        <f t="shared" si="0"/>
        <v>#N/A</v>
      </c>
      <c r="T11" s="1566" t="s">
        <v>8</v>
      </c>
      <c r="U11" s="1567" t="e">
        <f t="shared" si="1"/>
        <v>#N/A</v>
      </c>
      <c r="V11" s="1566" t="s">
        <v>8</v>
      </c>
      <c r="W11" s="1567" t="e">
        <f t="shared" si="2"/>
        <v>#N/A</v>
      </c>
      <c r="X11" s="1568"/>
      <c r="Y11" s="3244"/>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SUMIF(70:70,E12,71:71)-SUMIF(70:70,C12,71:71)+100</f>
        <v>100</v>
      </c>
      <c r="G12" s="910"/>
      <c r="H12" s="255">
        <f>SUMIF(70:70,G12,71:71)-SUMIF(70:70,C12,71:71)+100</f>
        <v>100</v>
      </c>
      <c r="I12" s="537"/>
      <c r="J12" s="255">
        <f>SUMIF(70:70,I12,71:71)-SUMIF(70:70,C12,71:71)+100</f>
        <v>100</v>
      </c>
      <c r="K12" s="579"/>
      <c r="L12" s="2132"/>
      <c r="M12" s="2133"/>
      <c r="N12" s="2133"/>
      <c r="O12" s="2134"/>
      <c r="P12" s="3287"/>
      <c r="Q12" s="1149">
        <f t="shared" si="6"/>
        <v>111</v>
      </c>
      <c r="R12" s="1566" t="s">
        <v>8</v>
      </c>
      <c r="S12" s="1567">
        <f t="shared" si="0"/>
        <v>100</v>
      </c>
      <c r="T12" s="1566" t="s">
        <v>8</v>
      </c>
      <c r="U12" s="1567">
        <f t="shared" si="1"/>
        <v>100</v>
      </c>
      <c r="V12" s="1566" t="s">
        <v>8</v>
      </c>
      <c r="W12" s="1567">
        <f t="shared" si="2"/>
        <v>100</v>
      </c>
      <c r="X12" s="1568"/>
      <c r="Y12" s="3244"/>
      <c r="Z12" s="1148">
        <f t="shared" si="7"/>
        <v>111</v>
      </c>
      <c r="AA12" s="1569">
        <f>D12/F12</f>
        <v>1</v>
      </c>
      <c r="AB12" s="1569">
        <f>D12/H12</f>
        <v>1</v>
      </c>
      <c r="AC12" s="1569">
        <f>D12/J12</f>
        <v>1</v>
      </c>
    </row>
    <row r="13" spans="1:29" ht="15">
      <c r="A13" s="2880"/>
      <c r="B13" s="2886">
        <v>111</v>
      </c>
      <c r="C13" s="537"/>
      <c r="D13" s="538">
        <v>100</v>
      </c>
      <c r="E13" s="537"/>
      <c r="F13" s="255">
        <f>SUMIF(72:72,E13,73:73)-SUMIF(72:72,C13,73:73)+100</f>
        <v>100</v>
      </c>
      <c r="G13" s="910"/>
      <c r="H13" s="538">
        <f>SUMIF(72:72,G13,73:73)-SUMIF(72:72,C13,73:73)+100</f>
        <v>100</v>
      </c>
      <c r="I13" s="537"/>
      <c r="J13" s="538">
        <f>SUMIF(72:72,I13,73:73)-SUMIF(72:72,C13,73:73)+100</f>
        <v>100</v>
      </c>
      <c r="K13" s="579"/>
      <c r="L13" s="2139"/>
      <c r="M13" s="2131"/>
      <c r="N13" s="2131"/>
      <c r="O13" s="2138"/>
      <c r="P13" s="3287"/>
      <c r="Q13" s="1149">
        <f t="shared" si="6"/>
        <v>111</v>
      </c>
      <c r="R13" s="1566" t="s">
        <v>8</v>
      </c>
      <c r="S13" s="1567">
        <f t="shared" si="0"/>
        <v>100</v>
      </c>
      <c r="T13" s="1566" t="s">
        <v>8</v>
      </c>
      <c r="U13" s="1567">
        <f t="shared" si="1"/>
        <v>100</v>
      </c>
      <c r="V13" s="1566" t="s">
        <v>8</v>
      </c>
      <c r="W13" s="1567">
        <f t="shared" si="2"/>
        <v>100</v>
      </c>
      <c r="X13" s="1568"/>
      <c r="Y13" s="3244"/>
      <c r="Z13" s="1148">
        <f t="shared" si="7"/>
        <v>111</v>
      </c>
      <c r="AA13" s="1569">
        <f t="shared" si="3"/>
        <v>1</v>
      </c>
      <c r="AB13" s="1569">
        <f t="shared" si="4"/>
        <v>1</v>
      </c>
      <c r="AC13" s="1569">
        <f t="shared" si="5"/>
        <v>1</v>
      </c>
    </row>
    <row r="14" spans="1:29" ht="15.75" thickBot="1">
      <c r="A14" s="2881"/>
      <c r="B14" s="2887">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287"/>
      <c r="Q14" s="1149">
        <f t="shared" si="6"/>
        <v>111</v>
      </c>
      <c r="R14" s="1566" t="s">
        <v>8</v>
      </c>
      <c r="S14" s="1567">
        <f t="shared" si="0"/>
        <v>100</v>
      </c>
      <c r="T14" s="1566" t="s">
        <v>8</v>
      </c>
      <c r="U14" s="1567">
        <f t="shared" si="1"/>
        <v>100</v>
      </c>
      <c r="V14" s="1566" t="s">
        <v>8</v>
      </c>
      <c r="W14" s="1567">
        <f t="shared" si="2"/>
        <v>100</v>
      </c>
      <c r="X14" s="1568"/>
      <c r="Y14" s="3244"/>
      <c r="Z14" s="1148">
        <f t="shared" si="7"/>
        <v>111</v>
      </c>
      <c r="AA14" s="1569">
        <f t="shared" si="3"/>
        <v>1</v>
      </c>
      <c r="AB14" s="1569">
        <f t="shared" si="4"/>
        <v>1</v>
      </c>
      <c r="AC14" s="1569">
        <f t="shared" si="5"/>
        <v>1</v>
      </c>
    </row>
    <row r="15" spans="1:29" ht="71.25">
      <c r="A15" s="2873" t="s">
        <v>2759</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289" t="s">
        <v>541</v>
      </c>
      <c r="Q15" s="1570" t="str">
        <f t="shared" si="6"/>
        <v>商业繁华度</v>
      </c>
      <c r="R15" s="1571" t="s">
        <v>8</v>
      </c>
      <c r="S15" s="1572">
        <f t="shared" si="0"/>
        <v>100</v>
      </c>
      <c r="T15" s="1571" t="s">
        <v>8</v>
      </c>
      <c r="U15" s="1572">
        <f t="shared" si="1"/>
        <v>100</v>
      </c>
      <c r="V15" s="1571" t="s">
        <v>8</v>
      </c>
      <c r="W15" s="1572">
        <f t="shared" si="2"/>
        <v>100</v>
      </c>
      <c r="X15" s="1565"/>
      <c r="Y15" s="3289" t="s">
        <v>541</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290"/>
      <c r="Q16" s="1570"/>
      <c r="R16" s="1571"/>
      <c r="S16" s="1572"/>
      <c r="T16" s="1571"/>
      <c r="U16" s="1572"/>
      <c r="V16" s="1571"/>
      <c r="W16" s="1572"/>
      <c r="X16" s="1565"/>
      <c r="Y16" s="3290"/>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290"/>
      <c r="Q17" s="1570" t="str">
        <f>B17</f>
        <v>交通便捷度</v>
      </c>
      <c r="R17" s="1571" t="s">
        <v>8</v>
      </c>
      <c r="S17" s="1572">
        <f>F17</f>
        <v>100</v>
      </c>
      <c r="T17" s="1571" t="s">
        <v>8</v>
      </c>
      <c r="U17" s="1572">
        <f>H17</f>
        <v>100</v>
      </c>
      <c r="V17" s="1571" t="s">
        <v>8</v>
      </c>
      <c r="W17" s="1572">
        <f>J17</f>
        <v>100</v>
      </c>
      <c r="X17" s="1565"/>
      <c r="Y17" s="3290"/>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290"/>
      <c r="Q18" s="1570"/>
      <c r="R18" s="1571"/>
      <c r="S18" s="1572"/>
      <c r="T18" s="1571"/>
      <c r="U18" s="1572"/>
      <c r="V18" s="1571"/>
      <c r="W18" s="1572"/>
      <c r="X18" s="1565"/>
      <c r="Y18" s="3290"/>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290"/>
      <c r="Q19" s="1570" t="str">
        <f>B19</f>
        <v>公共配套设施</v>
      </c>
      <c r="R19" s="1571" t="s">
        <v>8</v>
      </c>
      <c r="S19" s="1572">
        <f>F19</f>
        <v>100</v>
      </c>
      <c r="T19" s="1571" t="s">
        <v>8</v>
      </c>
      <c r="U19" s="1572">
        <f>H19</f>
        <v>100</v>
      </c>
      <c r="V19" s="1571" t="s">
        <v>8</v>
      </c>
      <c r="W19" s="1572">
        <f>J19</f>
        <v>100</v>
      </c>
      <c r="X19" s="1565"/>
      <c r="Y19" s="3290"/>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290"/>
      <c r="Q20" s="1570"/>
      <c r="R20" s="1571"/>
      <c r="S20" s="1572"/>
      <c r="T20" s="1571"/>
      <c r="U20" s="1572"/>
      <c r="V20" s="1571"/>
      <c r="W20" s="1572"/>
      <c r="X20" s="1565"/>
      <c r="Y20" s="3290"/>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290"/>
      <c r="Q21" s="2597" t="str">
        <f>B21</f>
        <v>基础设施水平</v>
      </c>
      <c r="R21" s="1571" t="s">
        <v>8</v>
      </c>
      <c r="S21" s="1572">
        <f>F21</f>
        <v>100</v>
      </c>
      <c r="T21" s="1571" t="s">
        <v>8</v>
      </c>
      <c r="U21" s="1572">
        <f>H21</f>
        <v>100</v>
      </c>
      <c r="V21" s="1571" t="s">
        <v>8</v>
      </c>
      <c r="W21" s="1572">
        <f>J21</f>
        <v>100</v>
      </c>
      <c r="X21" s="2599"/>
      <c r="Y21" s="3290"/>
      <c r="Z21" s="259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290"/>
      <c r="Q22" s="2597"/>
      <c r="R22" s="1571"/>
      <c r="S22" s="1572"/>
      <c r="T22" s="1571"/>
      <c r="U22" s="1572"/>
      <c r="V22" s="1571"/>
      <c r="W22" s="1572"/>
      <c r="X22" s="2599"/>
      <c r="Y22" s="3290"/>
      <c r="Z22" s="2598"/>
      <c r="AA22" s="1574">
        <v>1</v>
      </c>
      <c r="AB22" s="1574">
        <v>1</v>
      </c>
      <c r="AC22" s="1574">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290"/>
      <c r="Q23" s="1570" t="str">
        <f>B23</f>
        <v>自然及人文环境</v>
      </c>
      <c r="R23" s="1571" t="s">
        <v>8</v>
      </c>
      <c r="S23" s="1572">
        <f>F23</f>
        <v>100</v>
      </c>
      <c r="T23" s="1571" t="s">
        <v>8</v>
      </c>
      <c r="U23" s="1572">
        <f>H23</f>
        <v>100</v>
      </c>
      <c r="V23" s="1571" t="s">
        <v>8</v>
      </c>
      <c r="W23" s="1572">
        <f>J23</f>
        <v>100</v>
      </c>
      <c r="X23" s="1565"/>
      <c r="Y23" s="3290"/>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290"/>
      <c r="Q24" s="1570"/>
      <c r="R24" s="1571"/>
      <c r="S24" s="1572"/>
      <c r="T24" s="1571"/>
      <c r="U24" s="1572"/>
      <c r="V24" s="1571"/>
      <c r="W24" s="1572"/>
      <c r="X24" s="1565"/>
      <c r="Y24" s="3290"/>
      <c r="Z24" s="1573"/>
      <c r="AA24" s="1574">
        <v>1</v>
      </c>
      <c r="AB24" s="1574">
        <v>1</v>
      </c>
      <c r="AC24" s="1574">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290"/>
      <c r="Q25" s="1570" t="str">
        <f t="shared" ref="Q25:Q46" si="11">B25</f>
        <v>临街状况</v>
      </c>
      <c r="R25" s="1571" t="s">
        <v>8</v>
      </c>
      <c r="S25" s="1572">
        <f>F25</f>
        <v>100</v>
      </c>
      <c r="T25" s="1571" t="s">
        <v>8</v>
      </c>
      <c r="U25" s="1572">
        <f>H25</f>
        <v>100</v>
      </c>
      <c r="V25" s="1571" t="s">
        <v>8</v>
      </c>
      <c r="W25" s="1572">
        <f>J25</f>
        <v>100</v>
      </c>
      <c r="X25" s="1565"/>
      <c r="Y25" s="3290"/>
      <c r="Z25" s="1573" t="str">
        <f>Q25</f>
        <v>临街状况</v>
      </c>
      <c r="AA25" s="1574">
        <f t="shared" si="3"/>
        <v>1</v>
      </c>
      <c r="AB25" s="1574">
        <f t="shared" si="4"/>
        <v>1</v>
      </c>
      <c r="AC25" s="1574">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290"/>
      <c r="Q26" s="1570" t="str">
        <f t="shared" si="11"/>
        <v>平面位置/可视性</v>
      </c>
      <c r="R26" s="1571" t="s">
        <v>8</v>
      </c>
      <c r="S26" s="1572">
        <f>F26</f>
        <v>100</v>
      </c>
      <c r="T26" s="1571" t="s">
        <v>8</v>
      </c>
      <c r="U26" s="1572">
        <f>H26</f>
        <v>100</v>
      </c>
      <c r="V26" s="1571" t="s">
        <v>8</v>
      </c>
      <c r="W26" s="1572">
        <f>J26</f>
        <v>100</v>
      </c>
      <c r="X26" s="1565"/>
      <c r="Y26" s="3290"/>
      <c r="Z26" s="1573" t="str">
        <f>Q26</f>
        <v>平面位置/可视性</v>
      </c>
      <c r="AA26" s="1574">
        <f t="shared" si="3"/>
        <v>1</v>
      </c>
      <c r="AB26" s="1574">
        <f t="shared" si="4"/>
        <v>1</v>
      </c>
      <c r="AC26" s="1574">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290"/>
      <c r="Q27" s="1149" t="str">
        <f t="shared" si="11"/>
        <v>人流量</v>
      </c>
      <c r="R27" s="1566" t="s">
        <v>8</v>
      </c>
      <c r="S27" s="1567">
        <f>F27</f>
        <v>100</v>
      </c>
      <c r="T27" s="1566" t="s">
        <v>8</v>
      </c>
      <c r="U27" s="1567">
        <f>H27</f>
        <v>100</v>
      </c>
      <c r="V27" s="1566" t="s">
        <v>8</v>
      </c>
      <c r="W27" s="1567">
        <f>J27</f>
        <v>100</v>
      </c>
      <c r="X27" s="1568"/>
      <c r="Y27" s="3290"/>
      <c r="Z27" s="1148" t="str">
        <f>Q27</f>
        <v>人流量</v>
      </c>
      <c r="AA27" s="1574">
        <f>D27/F27</f>
        <v>1</v>
      </c>
      <c r="AB27" s="1574">
        <f>D27/H27</f>
        <v>1</v>
      </c>
      <c r="AC27" s="1574">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29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290"/>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290"/>
      <c r="Q29" s="1570">
        <f t="shared" si="11"/>
        <v>111</v>
      </c>
      <c r="R29" s="1571" t="s">
        <v>8</v>
      </c>
      <c r="S29" s="1572">
        <f t="shared" si="12"/>
        <v>100</v>
      </c>
      <c r="T29" s="1571" t="s">
        <v>8</v>
      </c>
      <c r="U29" s="1572">
        <f t="shared" si="13"/>
        <v>100</v>
      </c>
      <c r="V29" s="1571" t="s">
        <v>8</v>
      </c>
      <c r="W29" s="1572">
        <f t="shared" si="14"/>
        <v>100</v>
      </c>
      <c r="X29" s="1565"/>
      <c r="Y29" s="3290"/>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290"/>
      <c r="Q30" s="1570">
        <f t="shared" si="11"/>
        <v>111</v>
      </c>
      <c r="R30" s="1571" t="s">
        <v>8</v>
      </c>
      <c r="S30" s="1572">
        <f t="shared" si="12"/>
        <v>100</v>
      </c>
      <c r="T30" s="1571" t="s">
        <v>8</v>
      </c>
      <c r="U30" s="1572">
        <f t="shared" si="13"/>
        <v>100</v>
      </c>
      <c r="V30" s="1571" t="s">
        <v>8</v>
      </c>
      <c r="W30" s="1572">
        <f t="shared" si="14"/>
        <v>100</v>
      </c>
      <c r="X30" s="1565"/>
      <c r="Y30" s="3290"/>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290"/>
      <c r="Q31" s="1570">
        <f t="shared" si="11"/>
        <v>111</v>
      </c>
      <c r="R31" s="1571" t="s">
        <v>8</v>
      </c>
      <c r="S31" s="1572">
        <f t="shared" si="12"/>
        <v>100</v>
      </c>
      <c r="T31" s="1571" t="s">
        <v>8</v>
      </c>
      <c r="U31" s="1572">
        <f t="shared" si="13"/>
        <v>100</v>
      </c>
      <c r="V31" s="1571" t="s">
        <v>8</v>
      </c>
      <c r="W31" s="1572">
        <f t="shared" si="14"/>
        <v>100</v>
      </c>
      <c r="X31" s="1565"/>
      <c r="Y31" s="3290"/>
      <c r="Z31" s="1573">
        <f t="shared" si="15"/>
        <v>111</v>
      </c>
      <c r="AA31" s="1574">
        <f t="shared" si="3"/>
        <v>1</v>
      </c>
      <c r="AB31" s="1574">
        <f t="shared" si="4"/>
        <v>1</v>
      </c>
      <c r="AC31" s="1574">
        <f t="shared" si="5"/>
        <v>1</v>
      </c>
    </row>
    <row r="32" spans="1:29" ht="15">
      <c r="A32" s="2870" t="s">
        <v>2760</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291" t="s">
        <v>551</v>
      </c>
      <c r="Q32" s="1570" t="str">
        <f t="shared" si="11"/>
        <v>商业类型</v>
      </c>
      <c r="R32" s="1571" t="s">
        <v>8</v>
      </c>
      <c r="S32" s="1572">
        <f t="shared" si="12"/>
        <v>100</v>
      </c>
      <c r="T32" s="1571" t="s">
        <v>8</v>
      </c>
      <c r="U32" s="1572">
        <f t="shared" si="13"/>
        <v>100</v>
      </c>
      <c r="V32" s="1571" t="s">
        <v>8</v>
      </c>
      <c r="W32" s="1572">
        <f t="shared" si="14"/>
        <v>100</v>
      </c>
      <c r="X32" s="1565"/>
      <c r="Y32" s="3292" t="s">
        <v>551</v>
      </c>
      <c r="Z32" s="1573" t="str">
        <f t="shared" si="15"/>
        <v>商业类型</v>
      </c>
      <c r="AA32" s="1574">
        <f t="shared" si="3"/>
        <v>1</v>
      </c>
      <c r="AB32" s="1574">
        <f t="shared" si="4"/>
        <v>1</v>
      </c>
      <c r="AC32" s="1574">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7"/>
      <c r="M33" s="2168"/>
      <c r="N33" s="2168"/>
      <c r="O33" s="2140"/>
      <c r="P33" s="3292"/>
      <c r="Q33" s="1603" t="str">
        <f t="shared" si="11"/>
        <v>项目建筑规模</v>
      </c>
      <c r="R33" s="1575" t="s">
        <v>8</v>
      </c>
      <c r="S33" s="1576" t="e">
        <f t="shared" si="12"/>
        <v>#N/A</v>
      </c>
      <c r="T33" s="1575" t="s">
        <v>8</v>
      </c>
      <c r="U33" s="1576" t="e">
        <f t="shared" si="13"/>
        <v>#N/A</v>
      </c>
      <c r="V33" s="1575" t="s">
        <v>8</v>
      </c>
      <c r="W33" s="1576" t="e">
        <f t="shared" si="14"/>
        <v>#N/A</v>
      </c>
      <c r="X33" s="1577"/>
      <c r="Y33" s="3292"/>
      <c r="Z33" s="1578" t="str">
        <f t="shared" si="15"/>
        <v>项目建筑规模</v>
      </c>
      <c r="AA33" s="1574" t="e">
        <f t="shared" si="3"/>
        <v>#N/A</v>
      </c>
      <c r="AB33" s="1574" t="e">
        <f t="shared" si="4"/>
        <v>#N/A</v>
      </c>
      <c r="AC33" s="1574"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292"/>
      <c r="Q34" s="1570" t="str">
        <f t="shared" si="11"/>
        <v>建筑结构</v>
      </c>
      <c r="R34" s="1571" t="s">
        <v>8</v>
      </c>
      <c r="S34" s="1572">
        <f t="shared" si="12"/>
        <v>100</v>
      </c>
      <c r="T34" s="1571" t="s">
        <v>8</v>
      </c>
      <c r="U34" s="1572">
        <f t="shared" si="13"/>
        <v>100</v>
      </c>
      <c r="V34" s="1571" t="s">
        <v>8</v>
      </c>
      <c r="W34" s="1572">
        <f t="shared" si="14"/>
        <v>100</v>
      </c>
      <c r="X34" s="1565"/>
      <c r="Y34" s="3292"/>
      <c r="Z34" s="1573" t="str">
        <f t="shared" si="15"/>
        <v>建筑结构</v>
      </c>
      <c r="AA34" s="1574">
        <f t="shared" si="3"/>
        <v>1</v>
      </c>
      <c r="AB34" s="1574">
        <f t="shared" si="4"/>
        <v>1</v>
      </c>
      <c r="AC34" s="1574">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292"/>
      <c r="Q35" s="1570" t="str">
        <f t="shared" si="11"/>
        <v>公共部分装修</v>
      </c>
      <c r="R35" s="1571" t="s">
        <v>8</v>
      </c>
      <c r="S35" s="1572">
        <f t="shared" si="12"/>
        <v>100</v>
      </c>
      <c r="T35" s="1571" t="s">
        <v>8</v>
      </c>
      <c r="U35" s="1572">
        <f t="shared" si="13"/>
        <v>100</v>
      </c>
      <c r="V35" s="1571" t="s">
        <v>8</v>
      </c>
      <c r="W35" s="1572">
        <f t="shared" si="14"/>
        <v>100</v>
      </c>
      <c r="X35" s="1565"/>
      <c r="Y35" s="3292"/>
      <c r="Z35" s="1573" t="str">
        <f t="shared" si="15"/>
        <v>公共部分装修</v>
      </c>
      <c r="AA35" s="1574">
        <f t="shared" si="3"/>
        <v>1</v>
      </c>
      <c r="AB35" s="1574">
        <f t="shared" si="4"/>
        <v>1</v>
      </c>
      <c r="AC35" s="1574">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292"/>
      <c r="Q36" s="1570" t="str">
        <f t="shared" si="11"/>
        <v>成新度</v>
      </c>
      <c r="R36" s="1571" t="s">
        <v>8</v>
      </c>
      <c r="S36" s="1572" t="e">
        <f t="shared" si="12"/>
        <v>#N/A</v>
      </c>
      <c r="T36" s="1571" t="s">
        <v>8</v>
      </c>
      <c r="U36" s="1572" t="e">
        <f t="shared" si="13"/>
        <v>#N/A</v>
      </c>
      <c r="V36" s="1571" t="s">
        <v>8</v>
      </c>
      <c r="W36" s="1572" t="e">
        <f t="shared" si="14"/>
        <v>#N/A</v>
      </c>
      <c r="X36" s="1565"/>
      <c r="Y36" s="3292"/>
      <c r="Z36" s="1573" t="str">
        <f t="shared" si="15"/>
        <v>成新度</v>
      </c>
      <c r="AA36" s="1574" t="e">
        <f t="shared" si="3"/>
        <v>#N/A</v>
      </c>
      <c r="AB36" s="1574" t="e">
        <f t="shared" si="4"/>
        <v>#N/A</v>
      </c>
      <c r="AC36" s="1574" t="e">
        <f t="shared" si="5"/>
        <v>#N/A</v>
      </c>
    </row>
    <row r="37" spans="1:29" s="1218" customFormat="1" ht="15">
      <c r="A37" s="598"/>
      <c r="B37" s="1892" t="s">
        <v>2568</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292"/>
      <c r="Q37" s="1149" t="str">
        <f t="shared" si="11"/>
        <v>市政基础设施</v>
      </c>
      <c r="R37" s="1566" t="s">
        <v>8</v>
      </c>
      <c r="S37" s="1567">
        <f t="shared" si="12"/>
        <v>100</v>
      </c>
      <c r="T37" s="1566" t="s">
        <v>8</v>
      </c>
      <c r="U37" s="1567">
        <f t="shared" si="13"/>
        <v>100</v>
      </c>
      <c r="V37" s="1566" t="s">
        <v>8</v>
      </c>
      <c r="W37" s="1567">
        <f t="shared" si="14"/>
        <v>100</v>
      </c>
      <c r="X37" s="1568"/>
      <c r="Y37" s="3292"/>
      <c r="Z37" s="1148" t="str">
        <f t="shared" si="15"/>
        <v>市政基础设施</v>
      </c>
      <c r="AA37" s="1569">
        <f t="shared" si="3"/>
        <v>1</v>
      </c>
      <c r="AB37" s="1569">
        <f t="shared" si="4"/>
        <v>1</v>
      </c>
      <c r="AC37" s="1569">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292" t="s">
        <v>767</v>
      </c>
      <c r="Q38" s="1570" t="str">
        <f t="shared" si="11"/>
        <v>业态</v>
      </c>
      <c r="R38" s="1571" t="s">
        <v>8</v>
      </c>
      <c r="S38" s="1572">
        <f t="shared" si="12"/>
        <v>100</v>
      </c>
      <c r="T38" s="1571" t="s">
        <v>8</v>
      </c>
      <c r="U38" s="1572">
        <f t="shared" si="13"/>
        <v>100</v>
      </c>
      <c r="V38" s="1571" t="s">
        <v>8</v>
      </c>
      <c r="W38" s="1572">
        <f t="shared" si="14"/>
        <v>100</v>
      </c>
      <c r="X38" s="1565"/>
      <c r="Y38" s="3292" t="s">
        <v>767</v>
      </c>
      <c r="Z38" s="1573" t="str">
        <f t="shared" si="15"/>
        <v>业态</v>
      </c>
      <c r="AA38" s="1574">
        <f t="shared" si="3"/>
        <v>1</v>
      </c>
      <c r="AB38" s="1574">
        <f t="shared" si="4"/>
        <v>1</v>
      </c>
      <c r="AC38" s="1574">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292"/>
      <c r="Q39" s="1570" t="str">
        <f t="shared" si="11"/>
        <v>层高</v>
      </c>
      <c r="R39" s="1571" t="s">
        <v>8</v>
      </c>
      <c r="S39" s="1572">
        <f t="shared" si="12"/>
        <v>100</v>
      </c>
      <c r="T39" s="1571" t="s">
        <v>8</v>
      </c>
      <c r="U39" s="1572">
        <f t="shared" si="13"/>
        <v>100</v>
      </c>
      <c r="V39" s="1571" t="s">
        <v>8</v>
      </c>
      <c r="W39" s="1572">
        <f t="shared" si="14"/>
        <v>100</v>
      </c>
      <c r="X39" s="1565"/>
      <c r="Y39" s="3292"/>
      <c r="Z39" s="1573" t="str">
        <f t="shared" si="15"/>
        <v>层高</v>
      </c>
      <c r="AA39" s="1574">
        <f t="shared" si="3"/>
        <v>1</v>
      </c>
      <c r="AB39" s="1574">
        <f t="shared" si="4"/>
        <v>1</v>
      </c>
      <c r="AC39" s="1574">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292"/>
      <c r="Q40" s="1570" t="str">
        <f t="shared" si="11"/>
        <v>单套建筑面积</v>
      </c>
      <c r="R40" s="1571" t="s">
        <v>8</v>
      </c>
      <c r="S40" s="1572">
        <f t="shared" si="12"/>
        <v>100</v>
      </c>
      <c r="T40" s="1571" t="s">
        <v>8</v>
      </c>
      <c r="U40" s="1572">
        <f t="shared" si="13"/>
        <v>100</v>
      </c>
      <c r="V40" s="1571" t="s">
        <v>8</v>
      </c>
      <c r="W40" s="1572">
        <f t="shared" si="14"/>
        <v>100</v>
      </c>
      <c r="X40" s="1565"/>
      <c r="Y40" s="3292"/>
      <c r="Z40" s="1573" t="str">
        <f t="shared" si="15"/>
        <v>单套建筑面积</v>
      </c>
      <c r="AA40" s="1574">
        <f t="shared" si="3"/>
        <v>1</v>
      </c>
      <c r="AB40" s="1574">
        <f t="shared" si="4"/>
        <v>1</v>
      </c>
      <c r="AC40" s="1574">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292"/>
      <c r="Q41" s="1603" t="str">
        <f t="shared" si="11"/>
        <v>进深比</v>
      </c>
      <c r="R41" s="1575" t="s">
        <v>8</v>
      </c>
      <c r="S41" s="1576">
        <f t="shared" si="12"/>
        <v>100</v>
      </c>
      <c r="T41" s="1575" t="s">
        <v>8</v>
      </c>
      <c r="U41" s="1576">
        <f t="shared" si="13"/>
        <v>100</v>
      </c>
      <c r="V41" s="1575" t="s">
        <v>8</v>
      </c>
      <c r="W41" s="1576">
        <f t="shared" si="14"/>
        <v>100</v>
      </c>
      <c r="X41" s="1577"/>
      <c r="Y41" s="3292"/>
      <c r="Z41" s="1578" t="str">
        <f t="shared" si="15"/>
        <v>进深比</v>
      </c>
      <c r="AA41" s="1574">
        <f t="shared" si="3"/>
        <v>1</v>
      </c>
      <c r="AB41" s="1574">
        <f t="shared" si="4"/>
        <v>1</v>
      </c>
      <c r="AC41" s="1574">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292"/>
      <c r="Q42" s="1570" t="str">
        <f t="shared" si="11"/>
        <v>内部装修</v>
      </c>
      <c r="R42" s="1571" t="s">
        <v>8</v>
      </c>
      <c r="S42" s="1572">
        <f t="shared" si="12"/>
        <v>100</v>
      </c>
      <c r="T42" s="1571" t="s">
        <v>8</v>
      </c>
      <c r="U42" s="1572">
        <f t="shared" si="13"/>
        <v>100</v>
      </c>
      <c r="V42" s="1571" t="s">
        <v>8</v>
      </c>
      <c r="W42" s="1572">
        <f t="shared" si="14"/>
        <v>100</v>
      </c>
      <c r="X42" s="1565"/>
      <c r="Y42" s="3292"/>
      <c r="Z42" s="1573" t="str">
        <f t="shared" si="15"/>
        <v>内部装修</v>
      </c>
      <c r="AA42" s="1574">
        <f t="shared" si="3"/>
        <v>1</v>
      </c>
      <c r="AB42" s="1574">
        <f t="shared" si="4"/>
        <v>1</v>
      </c>
      <c r="AC42" s="1574">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292"/>
      <c r="Q43" s="1570" t="str">
        <f t="shared" si="11"/>
        <v>内部装修维护情况</v>
      </c>
      <c r="R43" s="1571" t="s">
        <v>8</v>
      </c>
      <c r="S43" s="1572">
        <f t="shared" si="12"/>
        <v>100</v>
      </c>
      <c r="T43" s="1571" t="s">
        <v>8</v>
      </c>
      <c r="U43" s="1572">
        <f t="shared" si="13"/>
        <v>100</v>
      </c>
      <c r="V43" s="1571" t="s">
        <v>8</v>
      </c>
      <c r="W43" s="1572">
        <f t="shared" si="14"/>
        <v>100</v>
      </c>
      <c r="X43" s="1565"/>
      <c r="Y43" s="3292"/>
      <c r="Z43" s="1573" t="str">
        <f t="shared" si="15"/>
        <v>内部装修维护情况</v>
      </c>
      <c r="AA43" s="1574">
        <f t="shared" si="3"/>
        <v>1</v>
      </c>
      <c r="AB43" s="1574">
        <f t="shared" si="4"/>
        <v>1</v>
      </c>
      <c r="AC43" s="1574">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2"/>
      <c r="M44" s="2133"/>
      <c r="N44" s="2133"/>
      <c r="O44" s="2134"/>
      <c r="P44" s="3292"/>
      <c r="Q44" s="1149">
        <f t="shared" si="11"/>
        <v>111</v>
      </c>
      <c r="R44" s="1566" t="s">
        <v>8</v>
      </c>
      <c r="S44" s="1567">
        <f t="shared" si="12"/>
        <v>100</v>
      </c>
      <c r="T44" s="1566" t="s">
        <v>8</v>
      </c>
      <c r="U44" s="1567">
        <f t="shared" si="13"/>
        <v>100</v>
      </c>
      <c r="V44" s="1566" t="s">
        <v>8</v>
      </c>
      <c r="W44" s="1567">
        <f t="shared" si="14"/>
        <v>100</v>
      </c>
      <c r="X44" s="1568"/>
      <c r="Y44" s="3292"/>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292"/>
      <c r="Q45" s="1570">
        <f t="shared" si="11"/>
        <v>111</v>
      </c>
      <c r="R45" s="1571" t="s">
        <v>8</v>
      </c>
      <c r="S45" s="1572">
        <f t="shared" si="12"/>
        <v>100</v>
      </c>
      <c r="T45" s="1571" t="s">
        <v>8</v>
      </c>
      <c r="U45" s="1572">
        <f t="shared" si="13"/>
        <v>100</v>
      </c>
      <c r="V45" s="1571" t="s">
        <v>8</v>
      </c>
      <c r="W45" s="1572">
        <f t="shared" si="14"/>
        <v>100</v>
      </c>
      <c r="X45" s="1565"/>
      <c r="Y45" s="3292"/>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388"/>
      <c r="Q46" s="1570">
        <f t="shared" si="11"/>
        <v>111</v>
      </c>
      <c r="R46" s="1571" t="s">
        <v>8</v>
      </c>
      <c r="S46" s="1572">
        <f t="shared" si="12"/>
        <v>100</v>
      </c>
      <c r="T46" s="1571" t="s">
        <v>8</v>
      </c>
      <c r="U46" s="1572">
        <f t="shared" si="13"/>
        <v>100</v>
      </c>
      <c r="V46" s="1571" t="s">
        <v>8</v>
      </c>
      <c r="W46" s="1572">
        <f t="shared" si="14"/>
        <v>100</v>
      </c>
      <c r="X46" s="1565"/>
      <c r="Y46" s="3388"/>
      <c r="Z46" s="1573">
        <f t="shared" si="15"/>
        <v>111</v>
      </c>
      <c r="AA46" s="1574">
        <f t="shared" si="3"/>
        <v>1</v>
      </c>
      <c r="AB46" s="1574">
        <f t="shared" si="4"/>
        <v>1</v>
      </c>
      <c r="AC46" s="1574">
        <f t="shared" si="5"/>
        <v>1</v>
      </c>
    </row>
    <row r="47" spans="1:29" ht="15">
      <c r="A47" s="605" t="s">
        <v>737</v>
      </c>
      <c r="B47" s="885"/>
      <c r="C47" s="2645" t="s">
        <v>1</v>
      </c>
      <c r="D47" s="2646"/>
      <c r="E47" s="2647"/>
      <c r="F47" s="2648"/>
      <c r="G47" s="2649"/>
      <c r="H47" s="2650"/>
      <c r="I47" s="2647"/>
      <c r="J47" s="2650"/>
      <c r="K47" s="1609"/>
      <c r="L47" s="2141"/>
      <c r="M47" s="2142"/>
      <c r="N47" s="2131"/>
      <c r="O47" s="2142"/>
      <c r="P47" s="3287" t="str">
        <f>A47</f>
        <v>成交单价（元/平方米）</v>
      </c>
      <c r="Q47" s="3287"/>
      <c r="R47" s="3387">
        <f>E47</f>
        <v>0</v>
      </c>
      <c r="S47" s="3387"/>
      <c r="T47" s="3387">
        <f>G47</f>
        <v>0</v>
      </c>
      <c r="U47" s="3387"/>
      <c r="V47" s="3387">
        <f>I47</f>
        <v>0</v>
      </c>
      <c r="W47" s="3387"/>
      <c r="X47" s="1557"/>
      <c r="Y47" s="1579"/>
      <c r="Z47" s="1557"/>
      <c r="AA47" s="1557"/>
      <c r="AB47" s="1557"/>
      <c r="AC47" s="1557"/>
    </row>
    <row r="48" spans="1:29" ht="15.75" thickBot="1">
      <c r="A48" s="613" t="s">
        <v>2765</v>
      </c>
      <c r="B48" s="886"/>
      <c r="C48" s="2651" t="e">
        <f>R49</f>
        <v>#DIV/0!</v>
      </c>
      <c r="D48" s="2652"/>
      <c r="E48" s="2653" t="e">
        <f>R48</f>
        <v>#DIV/0!</v>
      </c>
      <c r="F48" s="2653"/>
      <c r="G48" s="2651" t="e">
        <f>T48</f>
        <v>#DIV/0!</v>
      </c>
      <c r="H48" s="2652"/>
      <c r="I48" s="2653" t="e">
        <f>V48</f>
        <v>#DIV/0!</v>
      </c>
      <c r="J48" s="2652"/>
      <c r="K48" s="1610"/>
      <c r="L48" s="2141"/>
      <c r="M48" s="2142"/>
      <c r="N48" s="2131"/>
      <c r="O48" s="2142"/>
      <c r="P48" s="3287" t="str">
        <f>A48</f>
        <v>比较价格（元/平方米）</v>
      </c>
      <c r="Q48" s="3287"/>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557"/>
      <c r="Y48" s="1557"/>
      <c r="Z48" s="1557"/>
      <c r="AA48" s="1557"/>
      <c r="AB48" s="1557"/>
      <c r="AC48" s="1557"/>
    </row>
    <row r="49" spans="1:29" ht="15.75" thickBot="1">
      <c r="A49" s="619" t="s">
        <v>2939</v>
      </c>
      <c r="B49" s="620"/>
      <c r="C49" s="2654" t="e">
        <f>R49</f>
        <v>#DIV/0!</v>
      </c>
      <c r="D49" s="2654"/>
      <c r="E49" s="2654"/>
      <c r="F49" s="2654"/>
      <c r="G49" s="2654"/>
      <c r="H49" s="2654"/>
      <c r="I49" s="2654"/>
      <c r="J49" s="2654"/>
      <c r="K49" s="1611"/>
      <c r="L49" s="2141"/>
      <c r="M49" s="2142"/>
      <c r="N49" s="2131"/>
      <c r="O49" s="2142"/>
      <c r="P49" s="3308" t="str">
        <f>A49</f>
        <v>估价对象XX用房的比较价格（楼面单价，元/平方米）</v>
      </c>
      <c r="Q49" s="3309"/>
      <c r="R49" s="3386" t="e">
        <f>IF(F1="售价",ROUND(AVERAGE(R48:V48),0),ROUND(AVERAGE(R48:V48),1))</f>
        <v>#DIV/0!</v>
      </c>
      <c r="S49" s="3386"/>
      <c r="T49" s="3386"/>
      <c r="U49" s="3386"/>
      <c r="V49" s="3386"/>
      <c r="W49" s="3386"/>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578</v>
      </c>
      <c r="B63" s="663" t="s">
        <v>535</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772</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552</v>
      </c>
      <c r="B100" s="663" t="s">
        <v>773</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752</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774</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775</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776</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777</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7"/>
      <c r="G1" s="1599" t="s">
        <v>722</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520</v>
      </c>
      <c r="B3" s="508" t="e">
        <f>C50</f>
        <v>#DIV/0!</v>
      </c>
      <c r="C3" s="850" t="s">
        <v>723</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522</v>
      </c>
      <c r="B4" s="511"/>
      <c r="C4" s="3293" t="s">
        <v>523</v>
      </c>
      <c r="D4" s="3294"/>
      <c r="E4" s="3317" t="s">
        <v>524</v>
      </c>
      <c r="F4" s="3318"/>
      <c r="G4" s="3293" t="s">
        <v>525</v>
      </c>
      <c r="H4" s="3294"/>
      <c r="I4" s="3293" t="s">
        <v>526</v>
      </c>
      <c r="J4" s="3294"/>
      <c r="K4" s="512" t="s">
        <v>527</v>
      </c>
      <c r="L4" s="2130"/>
      <c r="M4" s="2131"/>
      <c r="N4" s="2131"/>
      <c r="O4" s="2131"/>
      <c r="P4" s="3389" t="s">
        <v>528</v>
      </c>
      <c r="Q4" s="3296"/>
      <c r="R4" s="3281" t="s">
        <v>524</v>
      </c>
      <c r="S4" s="3282"/>
      <c r="T4" s="3281" t="s">
        <v>525</v>
      </c>
      <c r="U4" s="3282"/>
      <c r="V4" s="3301" t="s">
        <v>526</v>
      </c>
      <c r="W4" s="3301"/>
      <c r="X4" s="1565"/>
      <c r="Y4" s="3281" t="s">
        <v>528</v>
      </c>
      <c r="Z4" s="3282"/>
      <c r="AA4" s="3276" t="s">
        <v>524</v>
      </c>
      <c r="AB4" s="3276" t="s">
        <v>525</v>
      </c>
      <c r="AC4" s="3276" t="s">
        <v>526</v>
      </c>
    </row>
    <row r="5" spans="1:29" ht="15">
      <c r="A5" s="513"/>
      <c r="B5" s="514"/>
      <c r="C5" s="3304" t="s">
        <v>2933</v>
      </c>
      <c r="D5" s="3305"/>
      <c r="E5" s="3319" t="s">
        <v>2934</v>
      </c>
      <c r="F5" s="3320"/>
      <c r="G5" s="3304" t="s">
        <v>2935</v>
      </c>
      <c r="H5" s="3305"/>
      <c r="I5" s="3304" t="s">
        <v>2936</v>
      </c>
      <c r="J5" s="3305"/>
      <c r="K5" s="512"/>
      <c r="L5" s="2130"/>
      <c r="M5" s="2131"/>
      <c r="N5" s="2131"/>
      <c r="O5" s="2131"/>
      <c r="P5" s="3390"/>
      <c r="Q5" s="3298"/>
      <c r="R5" s="3283"/>
      <c r="S5" s="3284"/>
      <c r="T5" s="3283"/>
      <c r="U5" s="3284"/>
      <c r="V5" s="3301"/>
      <c r="W5" s="3301"/>
      <c r="X5" s="1565"/>
      <c r="Y5" s="3283"/>
      <c r="Z5" s="3284"/>
      <c r="AA5" s="3277"/>
      <c r="AB5" s="3277"/>
      <c r="AC5" s="3277"/>
    </row>
    <row r="6" spans="1:29" ht="15.75" thickBot="1">
      <c r="A6" s="515"/>
      <c r="B6" s="516"/>
      <c r="C6" s="3302" t="s">
        <v>2937</v>
      </c>
      <c r="D6" s="3303"/>
      <c r="E6" s="3321" t="s">
        <v>2937</v>
      </c>
      <c r="F6" s="3322"/>
      <c r="G6" s="3302" t="s">
        <v>2937</v>
      </c>
      <c r="H6" s="3303"/>
      <c r="I6" s="3302" t="s">
        <v>2937</v>
      </c>
      <c r="J6" s="3303"/>
      <c r="K6" s="512" t="s">
        <v>529</v>
      </c>
      <c r="L6" s="2130"/>
      <c r="M6" s="2131"/>
      <c r="N6" s="2131"/>
      <c r="O6" s="2131"/>
      <c r="P6" s="3391"/>
      <c r="Q6" s="3300"/>
      <c r="R6" s="3283"/>
      <c r="S6" s="3284"/>
      <c r="T6" s="3285"/>
      <c r="U6" s="3286"/>
      <c r="V6" s="3301"/>
      <c r="W6" s="3301"/>
      <c r="X6" s="1565"/>
      <c r="Y6" s="3285"/>
      <c r="Z6" s="3286"/>
      <c r="AA6" s="3278"/>
      <c r="AB6" s="3278"/>
      <c r="AC6" s="3278"/>
    </row>
    <row r="7" spans="1:29" s="1218" customFormat="1" ht="15.75" thickBot="1">
      <c r="A7" s="2875"/>
      <c r="B7" s="2882" t="s">
        <v>530</v>
      </c>
      <c r="C7" s="517">
        <f>'数据-取费表'!B2</f>
        <v>43054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288" t="s">
        <v>531</v>
      </c>
      <c r="Q7" s="3288"/>
      <c r="R7" s="1566" t="s">
        <v>8</v>
      </c>
      <c r="S7" s="1567">
        <f t="shared" ref="S7:S15" si="0">F7</f>
        <v>0</v>
      </c>
      <c r="T7" s="1566" t="s">
        <v>8</v>
      </c>
      <c r="U7" s="1567">
        <f t="shared" ref="U7:U15" si="1">H7</f>
        <v>0</v>
      </c>
      <c r="V7" s="1566" t="s">
        <v>8</v>
      </c>
      <c r="W7" s="1567">
        <f t="shared" ref="W7:W15" si="2">J7</f>
        <v>0</v>
      </c>
      <c r="X7" s="1568"/>
      <c r="Y7" s="3279" t="s">
        <v>531</v>
      </c>
      <c r="Z7" s="3280"/>
      <c r="AA7" s="1569" t="e">
        <f>D7/F7</f>
        <v>#DIV/0!</v>
      </c>
      <c r="AB7" s="1569" t="e">
        <f>D7/H7</f>
        <v>#DIV/0!</v>
      </c>
      <c r="AC7" s="1569" t="e">
        <f>D7/J7</f>
        <v>#DIV/0!</v>
      </c>
    </row>
    <row r="8" spans="1:29" s="1218" customFormat="1" ht="15.75" thickBot="1">
      <c r="A8" s="2876"/>
      <c r="B8" s="2883" t="s">
        <v>532</v>
      </c>
      <c r="C8" s="523" t="s">
        <v>577</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288" t="s">
        <v>534</v>
      </c>
      <c r="Q8" s="3280"/>
      <c r="R8" s="1566" t="s">
        <v>8</v>
      </c>
      <c r="S8" s="1567">
        <f t="shared" si="0"/>
        <v>0</v>
      </c>
      <c r="T8" s="1566" t="s">
        <v>8</v>
      </c>
      <c r="U8" s="1567">
        <f t="shared" si="1"/>
        <v>0</v>
      </c>
      <c r="V8" s="1566" t="s">
        <v>8</v>
      </c>
      <c r="W8" s="1567">
        <f t="shared" si="2"/>
        <v>0</v>
      </c>
      <c r="X8" s="1568"/>
      <c r="Y8" s="3279" t="s">
        <v>534</v>
      </c>
      <c r="Z8" s="3280"/>
      <c r="AA8" s="1569" t="e">
        <f t="shared" ref="AA8:AA47" si="3">D8/F8</f>
        <v>#DIV/0!</v>
      </c>
      <c r="AB8" s="1569" t="e">
        <f t="shared" ref="AB8:AB47" si="4">D8/H8</f>
        <v>#DIV/0!</v>
      </c>
      <c r="AC8" s="1569" t="e">
        <f t="shared" ref="AC8:AC47" si="5">D8/J8</f>
        <v>#DIV/0!</v>
      </c>
    </row>
    <row r="9" spans="1:29" s="1218" customFormat="1" ht="15">
      <c r="A9" s="2877"/>
      <c r="B9" s="2884" t="s">
        <v>2761</v>
      </c>
      <c r="C9" s="855"/>
      <c r="D9" s="254">
        <v>100</v>
      </c>
      <c r="E9" s="858"/>
      <c r="F9" s="254">
        <f>SUMIF(64:64,E9,65:65)-SUMIF(64:64,C9,65:65)+100</f>
        <v>100</v>
      </c>
      <c r="G9" s="856"/>
      <c r="H9" s="254">
        <f>SUMIF(64:64,G9,65:65)-SUMIF(64:64,C9,65:65)+100</f>
        <v>100</v>
      </c>
      <c r="I9" s="856"/>
      <c r="J9" s="254">
        <f>SUMIF(64:64,I9,65:65)-SUMIF(64:64,C9,65:65)+100</f>
        <v>100</v>
      </c>
      <c r="K9" s="522"/>
      <c r="L9" s="2132"/>
      <c r="M9" s="2133"/>
      <c r="N9" s="2133"/>
      <c r="O9" s="2133"/>
      <c r="P9" s="3287" t="s">
        <v>536</v>
      </c>
      <c r="Q9" s="1149" t="str">
        <f t="shared" ref="Q9:Q15" si="6">B9</f>
        <v>用途</v>
      </c>
      <c r="R9" s="1566" t="s">
        <v>8</v>
      </c>
      <c r="S9" s="1567">
        <f t="shared" si="0"/>
        <v>100</v>
      </c>
      <c r="T9" s="1566" t="s">
        <v>8</v>
      </c>
      <c r="U9" s="1567">
        <f t="shared" si="1"/>
        <v>100</v>
      </c>
      <c r="V9" s="1566" t="s">
        <v>8</v>
      </c>
      <c r="W9" s="1567">
        <f t="shared" si="2"/>
        <v>100</v>
      </c>
      <c r="X9" s="1568"/>
      <c r="Y9" s="3244"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SUMIF(66:66,E10,67:67)-SUMIF(66:66,C10,67:67)+100</f>
        <v>100</v>
      </c>
      <c r="G10" s="860"/>
      <c r="H10" s="255">
        <f>SUMIF(66:66,G10,67:67)-SUMIF(66:66,C10,67:67)+100</f>
        <v>100</v>
      </c>
      <c r="I10" s="859"/>
      <c r="J10" s="255">
        <f>SUMIF(66:66,I10,67:67)-SUMIF(66:66,C10,67:67)+100</f>
        <v>100</v>
      </c>
      <c r="K10" s="582"/>
      <c r="L10" s="2135"/>
      <c r="M10" s="2175"/>
      <c r="N10" s="2175"/>
      <c r="O10" s="2175"/>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7"/>
      <c r="M11" s="2131"/>
      <c r="N11" s="2131"/>
      <c r="O11" s="2131"/>
      <c r="P11" s="3287"/>
      <c r="Q11" s="1149" t="str">
        <f t="shared" si="6"/>
        <v>容积率</v>
      </c>
      <c r="R11" s="1566" t="s">
        <v>8</v>
      </c>
      <c r="S11" s="1567" t="e">
        <f t="shared" si="0"/>
        <v>#N/A</v>
      </c>
      <c r="T11" s="1566" t="s">
        <v>8</v>
      </c>
      <c r="U11" s="1567" t="e">
        <f t="shared" si="1"/>
        <v>#N/A</v>
      </c>
      <c r="V11" s="1566" t="s">
        <v>8</v>
      </c>
      <c r="W11" s="1567" t="e">
        <f t="shared" si="2"/>
        <v>#N/A</v>
      </c>
      <c r="X11" s="1568"/>
      <c r="Y11" s="3244"/>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26"/>
      <c r="F12" s="255">
        <f>SUMIF(71:71,E12,72:72)-SUMIF(71:71,C12,72:72)+100</f>
        <v>100</v>
      </c>
      <c r="G12" s="908"/>
      <c r="H12" s="255">
        <f>SUMIF(71:71,G12,72:72)-SUMIF(71:71,C12,72:72)+100</f>
        <v>100</v>
      </c>
      <c r="I12" s="526"/>
      <c r="J12" s="255">
        <f>SUMIF(71:71,I12,72:72)-SUMIF(71:71,C12,72:72)+100</f>
        <v>100</v>
      </c>
      <c r="K12" s="579"/>
      <c r="L12" s="2132"/>
      <c r="M12" s="2133"/>
      <c r="N12" s="2133"/>
      <c r="O12" s="2133"/>
      <c r="P12" s="3287"/>
      <c r="Q12" s="1149">
        <f t="shared" si="6"/>
        <v>111</v>
      </c>
      <c r="R12" s="1566" t="s">
        <v>8</v>
      </c>
      <c r="S12" s="1567">
        <f t="shared" si="0"/>
        <v>100</v>
      </c>
      <c r="T12" s="1566" t="s">
        <v>8</v>
      </c>
      <c r="U12" s="1567">
        <f t="shared" si="1"/>
        <v>100</v>
      </c>
      <c r="V12" s="1566" t="s">
        <v>8</v>
      </c>
      <c r="W12" s="1567">
        <f t="shared" si="2"/>
        <v>100</v>
      </c>
      <c r="X12" s="1568"/>
      <c r="Y12" s="3244"/>
      <c r="Z12" s="1148">
        <f t="shared" si="7"/>
        <v>111</v>
      </c>
      <c r="AA12" s="1569">
        <f>D12/F12</f>
        <v>1</v>
      </c>
      <c r="AB12" s="1569">
        <f>D12/H12</f>
        <v>1</v>
      </c>
      <c r="AC12" s="1569">
        <f>D12/J12</f>
        <v>1</v>
      </c>
    </row>
    <row r="13" spans="1:29" ht="15">
      <c r="A13" s="2880"/>
      <c r="B13" s="2886">
        <v>111</v>
      </c>
      <c r="C13" s="537"/>
      <c r="D13" s="538">
        <v>100</v>
      </c>
      <c r="E13" s="526"/>
      <c r="F13" s="255">
        <f>SUMIF(73:73,E13,74:74)-SUMIF(73:73,C13,74:74)+100</f>
        <v>100</v>
      </c>
      <c r="G13" s="908"/>
      <c r="H13" s="538">
        <f>SUMIF(73:73,G13,74:74)-SUMIF(73:73,C13,74:74)+100</f>
        <v>100</v>
      </c>
      <c r="I13" s="526"/>
      <c r="J13" s="538">
        <f>SUMIF(73:73,I13,74:74)-SUMIF(73:73,C13,74:74)+100</f>
        <v>100</v>
      </c>
      <c r="K13" s="579"/>
      <c r="L13" s="2139"/>
      <c r="M13" s="2131"/>
      <c r="N13" s="2131"/>
      <c r="O13" s="2131"/>
      <c r="P13" s="3287"/>
      <c r="Q13" s="1149">
        <f t="shared" si="6"/>
        <v>111</v>
      </c>
      <c r="R13" s="1566" t="s">
        <v>8</v>
      </c>
      <c r="S13" s="1567">
        <f t="shared" si="0"/>
        <v>100</v>
      </c>
      <c r="T13" s="1566" t="s">
        <v>8</v>
      </c>
      <c r="U13" s="1567">
        <f t="shared" si="1"/>
        <v>100</v>
      </c>
      <c r="V13" s="1566" t="s">
        <v>8</v>
      </c>
      <c r="W13" s="1567">
        <f t="shared" si="2"/>
        <v>100</v>
      </c>
      <c r="X13" s="1568"/>
      <c r="Y13" s="3244"/>
      <c r="Z13" s="1148">
        <f t="shared" si="7"/>
        <v>111</v>
      </c>
      <c r="AA13" s="1569">
        <f t="shared" si="3"/>
        <v>1</v>
      </c>
      <c r="AB13" s="1569">
        <f t="shared" si="4"/>
        <v>1</v>
      </c>
      <c r="AC13" s="1569">
        <f t="shared" si="5"/>
        <v>1</v>
      </c>
    </row>
    <row r="14" spans="1:29" ht="15.75" thickBot="1">
      <c r="A14" s="2881"/>
      <c r="B14" s="2887">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287"/>
      <c r="Q14" s="1149">
        <f t="shared" si="6"/>
        <v>111</v>
      </c>
      <c r="R14" s="1566" t="s">
        <v>8</v>
      </c>
      <c r="S14" s="1567">
        <f t="shared" si="0"/>
        <v>100</v>
      </c>
      <c r="T14" s="1566" t="s">
        <v>8</v>
      </c>
      <c r="U14" s="1567">
        <f t="shared" si="1"/>
        <v>100</v>
      </c>
      <c r="V14" s="1566" t="s">
        <v>8</v>
      </c>
      <c r="W14" s="1567">
        <f t="shared" si="2"/>
        <v>100</v>
      </c>
      <c r="X14" s="1568"/>
      <c r="Y14" s="3244"/>
      <c r="Z14" s="1148">
        <f t="shared" si="7"/>
        <v>111</v>
      </c>
      <c r="AA14" s="1569">
        <f t="shared" si="3"/>
        <v>1</v>
      </c>
      <c r="AB14" s="1569">
        <f t="shared" si="4"/>
        <v>1</v>
      </c>
      <c r="AC14" s="1569">
        <f t="shared" si="5"/>
        <v>1</v>
      </c>
    </row>
    <row r="15" spans="1:29" ht="71.25">
      <c r="A15" s="2873" t="s">
        <v>2759</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289" t="s">
        <v>541</v>
      </c>
      <c r="Q15" s="1570" t="str">
        <f t="shared" si="6"/>
        <v>办公集聚程度</v>
      </c>
      <c r="R15" s="1571" t="s">
        <v>8</v>
      </c>
      <c r="S15" s="1572">
        <f t="shared" si="0"/>
        <v>100</v>
      </c>
      <c r="T15" s="1571" t="s">
        <v>8</v>
      </c>
      <c r="U15" s="1572">
        <f t="shared" si="1"/>
        <v>100</v>
      </c>
      <c r="V15" s="1571" t="s">
        <v>8</v>
      </c>
      <c r="W15" s="1572">
        <f t="shared" si="2"/>
        <v>100</v>
      </c>
      <c r="X15" s="1565"/>
      <c r="Y15" s="3289" t="s">
        <v>541</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290"/>
      <c r="Q16" s="1570"/>
      <c r="R16" s="1571"/>
      <c r="S16" s="1572"/>
      <c r="T16" s="1571"/>
      <c r="U16" s="1572"/>
      <c r="V16" s="1571"/>
      <c r="W16" s="1572"/>
      <c r="X16" s="1565"/>
      <c r="Y16" s="3290"/>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290"/>
      <c r="Q17" s="1570" t="str">
        <f>B17</f>
        <v>交通便捷度</v>
      </c>
      <c r="R17" s="1571" t="s">
        <v>8</v>
      </c>
      <c r="S17" s="1572">
        <f>F17</f>
        <v>100</v>
      </c>
      <c r="T17" s="1571" t="s">
        <v>8</v>
      </c>
      <c r="U17" s="1572">
        <f>H17</f>
        <v>100</v>
      </c>
      <c r="V17" s="1571" t="s">
        <v>8</v>
      </c>
      <c r="W17" s="1572">
        <f>J17</f>
        <v>100</v>
      </c>
      <c r="X17" s="1565"/>
      <c r="Y17" s="3290"/>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290"/>
      <c r="Q18" s="1570"/>
      <c r="R18" s="1571"/>
      <c r="S18" s="1572"/>
      <c r="T18" s="1571"/>
      <c r="U18" s="1572"/>
      <c r="V18" s="1571"/>
      <c r="W18" s="1572"/>
      <c r="X18" s="1565"/>
      <c r="Y18" s="3290"/>
      <c r="Z18" s="1573"/>
      <c r="AA18" s="1574">
        <v>1</v>
      </c>
      <c r="AB18" s="1574">
        <v>1</v>
      </c>
      <c r="AC18" s="1574">
        <v>1</v>
      </c>
    </row>
    <row r="19" spans="1:29" ht="42.75">
      <c r="A19" s="530"/>
      <c r="B19" s="2621" t="s">
        <v>2549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290"/>
      <c r="Q19" s="1570" t="str">
        <f>B19</f>
        <v>公共配套设施</v>
      </c>
      <c r="R19" s="1571" t="s">
        <v>8</v>
      </c>
      <c r="S19" s="1572">
        <f>F19</f>
        <v>100</v>
      </c>
      <c r="T19" s="1571" t="s">
        <v>8</v>
      </c>
      <c r="U19" s="1572">
        <f>H19</f>
        <v>100</v>
      </c>
      <c r="V19" s="1571" t="s">
        <v>8</v>
      </c>
      <c r="W19" s="1572">
        <f>J19</f>
        <v>100</v>
      </c>
      <c r="X19" s="1565"/>
      <c r="Y19" s="3290"/>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290"/>
      <c r="Q20" s="1570"/>
      <c r="R20" s="1571"/>
      <c r="S20" s="1572"/>
      <c r="T20" s="1571"/>
      <c r="U20" s="1572"/>
      <c r="V20" s="1571"/>
      <c r="W20" s="1572"/>
      <c r="X20" s="1565"/>
      <c r="Y20" s="3290"/>
      <c r="Z20" s="1573"/>
      <c r="AA20" s="1574">
        <v>1</v>
      </c>
      <c r="AB20" s="1574">
        <v>1</v>
      </c>
      <c r="AC20" s="1574">
        <v>1</v>
      </c>
    </row>
    <row r="21" spans="1:29" ht="28.5">
      <c r="A21" s="530"/>
      <c r="B21" s="2609" t="s">
        <v>2561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290"/>
      <c r="Q21" s="2597" t="str">
        <f>B21</f>
        <v>基础设施水平</v>
      </c>
      <c r="R21" s="1571" t="s">
        <v>8</v>
      </c>
      <c r="S21" s="1572">
        <f>F21</f>
        <v>100</v>
      </c>
      <c r="T21" s="1571" t="s">
        <v>8</v>
      </c>
      <c r="U21" s="1572">
        <f>H21</f>
        <v>100</v>
      </c>
      <c r="V21" s="1571" t="s">
        <v>8</v>
      </c>
      <c r="W21" s="1572">
        <f>J21</f>
        <v>100</v>
      </c>
      <c r="X21" s="2599"/>
      <c r="Y21" s="3290"/>
      <c r="Z21" s="259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0"/>
      <c r="L22" s="2139"/>
      <c r="M22" s="2131"/>
      <c r="N22" s="2131"/>
      <c r="O22" s="2131"/>
      <c r="P22" s="3290"/>
      <c r="Q22" s="2597"/>
      <c r="R22" s="1571"/>
      <c r="S22" s="1572"/>
      <c r="T22" s="1571"/>
      <c r="U22" s="1572"/>
      <c r="V22" s="1571"/>
      <c r="W22" s="1572"/>
      <c r="X22" s="2599"/>
      <c r="Y22" s="3290"/>
      <c r="Z22" s="2598"/>
      <c r="AA22" s="1574">
        <v>1</v>
      </c>
      <c r="AB22" s="1574">
        <v>1</v>
      </c>
      <c r="AC22" s="1574">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290"/>
      <c r="Q23" s="1570" t="str">
        <f>B23</f>
        <v>环境质量</v>
      </c>
      <c r="R23" s="1571" t="s">
        <v>8</v>
      </c>
      <c r="S23" s="1572">
        <f>F23</f>
        <v>100</v>
      </c>
      <c r="T23" s="1571" t="s">
        <v>8</v>
      </c>
      <c r="U23" s="1572">
        <f>H23</f>
        <v>100</v>
      </c>
      <c r="V23" s="1571" t="s">
        <v>8</v>
      </c>
      <c r="W23" s="1572">
        <f>J23</f>
        <v>100</v>
      </c>
      <c r="X23" s="1565"/>
      <c r="Y23" s="3290"/>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290"/>
      <c r="Q24" s="1570"/>
      <c r="R24" s="1571"/>
      <c r="S24" s="1572"/>
      <c r="T24" s="1571"/>
      <c r="U24" s="1572"/>
      <c r="V24" s="1571"/>
      <c r="W24" s="1572"/>
      <c r="X24" s="1565"/>
      <c r="Y24" s="3290"/>
      <c r="Z24" s="1573"/>
      <c r="AA24" s="1574">
        <v>1</v>
      </c>
      <c r="AB24" s="1574">
        <v>1</v>
      </c>
      <c r="AC24" s="1574">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290"/>
      <c r="Q25" s="1570" t="str">
        <f>B25</f>
        <v>毗邻道路的类型与等级</v>
      </c>
      <c r="R25" s="1571" t="s">
        <v>8</v>
      </c>
      <c r="S25" s="1572">
        <f>F25</f>
        <v>100</v>
      </c>
      <c r="T25" s="1571" t="s">
        <v>8</v>
      </c>
      <c r="U25" s="1572">
        <f>H25</f>
        <v>100</v>
      </c>
      <c r="V25" s="1571" t="s">
        <v>8</v>
      </c>
      <c r="W25" s="1572">
        <f>J25</f>
        <v>100</v>
      </c>
      <c r="X25" s="1565"/>
      <c r="Y25" s="3290"/>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290"/>
      <c r="Q26" s="1570"/>
      <c r="R26" s="1571"/>
      <c r="S26" s="1572"/>
      <c r="T26" s="1571"/>
      <c r="U26" s="1572"/>
      <c r="V26" s="1571"/>
      <c r="W26" s="1572"/>
      <c r="X26" s="1565"/>
      <c r="Y26" s="3290"/>
      <c r="Z26" s="1573"/>
      <c r="AA26" s="1574">
        <v>1</v>
      </c>
      <c r="AB26" s="1574">
        <v>1</v>
      </c>
      <c r="AC26" s="1574">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290"/>
      <c r="Q27" s="1570" t="str">
        <f t="shared" ref="Q27:Q47" si="11">B27</f>
        <v>楼层</v>
      </c>
      <c r="R27" s="1571" t="s">
        <v>8</v>
      </c>
      <c r="S27" s="1572">
        <f>F27</f>
        <v>100</v>
      </c>
      <c r="T27" s="1571" t="s">
        <v>8</v>
      </c>
      <c r="U27" s="1572">
        <f>H27</f>
        <v>100</v>
      </c>
      <c r="V27" s="1571" t="s">
        <v>8</v>
      </c>
      <c r="W27" s="1572">
        <f>J27</f>
        <v>100</v>
      </c>
      <c r="X27" s="1565"/>
      <c r="Y27" s="3290"/>
      <c r="Z27" s="1573" t="str">
        <f>Q27</f>
        <v>楼层</v>
      </c>
      <c r="AA27" s="1574">
        <f t="shared" si="3"/>
        <v>1</v>
      </c>
      <c r="AB27" s="1574">
        <f t="shared" si="4"/>
        <v>1</v>
      </c>
      <c r="AC27" s="1574">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290"/>
      <c r="Q28" s="1149" t="str">
        <f t="shared" si="11"/>
        <v>朝向</v>
      </c>
      <c r="R28" s="1566" t="s">
        <v>8</v>
      </c>
      <c r="S28" s="1567">
        <f>F28</f>
        <v>100</v>
      </c>
      <c r="T28" s="1566" t="s">
        <v>8</v>
      </c>
      <c r="U28" s="1567">
        <f>H28</f>
        <v>100</v>
      </c>
      <c r="V28" s="1566" t="s">
        <v>8</v>
      </c>
      <c r="W28" s="1567">
        <f>J28</f>
        <v>100</v>
      </c>
      <c r="X28" s="1568"/>
      <c r="Y28" s="3290"/>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290"/>
      <c r="Q29" s="1570">
        <f t="shared" si="11"/>
        <v>111</v>
      </c>
      <c r="R29" s="1571" t="s">
        <v>8</v>
      </c>
      <c r="S29" s="1572">
        <f t="shared" ref="S29:S47" si="12">F29</f>
        <v>100</v>
      </c>
      <c r="T29" s="1571" t="s">
        <v>8</v>
      </c>
      <c r="U29" s="1572">
        <f t="shared" ref="U29:U47" si="13">H29</f>
        <v>100</v>
      </c>
      <c r="V29" s="1571" t="s">
        <v>8</v>
      </c>
      <c r="W29" s="1572">
        <f t="shared" ref="W29:W47" si="14">J29</f>
        <v>100</v>
      </c>
      <c r="X29" s="1565"/>
      <c r="Y29" s="3290"/>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290"/>
      <c r="Q30" s="1570">
        <f t="shared" si="11"/>
        <v>111</v>
      </c>
      <c r="R30" s="1571" t="s">
        <v>8</v>
      </c>
      <c r="S30" s="1572">
        <f t="shared" si="12"/>
        <v>100</v>
      </c>
      <c r="T30" s="1571" t="s">
        <v>8</v>
      </c>
      <c r="U30" s="1572">
        <f t="shared" si="13"/>
        <v>100</v>
      </c>
      <c r="V30" s="1571" t="s">
        <v>8</v>
      </c>
      <c r="W30" s="1572">
        <f t="shared" si="14"/>
        <v>100</v>
      </c>
      <c r="X30" s="1565"/>
      <c r="Y30" s="3290"/>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290"/>
      <c r="Q31" s="1570">
        <f t="shared" si="11"/>
        <v>111</v>
      </c>
      <c r="R31" s="1571" t="s">
        <v>8</v>
      </c>
      <c r="S31" s="1572">
        <f t="shared" si="12"/>
        <v>100</v>
      </c>
      <c r="T31" s="1571" t="s">
        <v>8</v>
      </c>
      <c r="U31" s="1572">
        <f t="shared" si="13"/>
        <v>100</v>
      </c>
      <c r="V31" s="1571" t="s">
        <v>8</v>
      </c>
      <c r="W31" s="1572">
        <f t="shared" si="14"/>
        <v>100</v>
      </c>
      <c r="X31" s="1565"/>
      <c r="Y31" s="3290"/>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290"/>
      <c r="Q32" s="1570">
        <f t="shared" si="11"/>
        <v>111</v>
      </c>
      <c r="R32" s="1571" t="s">
        <v>8</v>
      </c>
      <c r="S32" s="1572">
        <f t="shared" si="12"/>
        <v>100</v>
      </c>
      <c r="T32" s="1571" t="s">
        <v>8</v>
      </c>
      <c r="U32" s="1572">
        <f t="shared" si="13"/>
        <v>100</v>
      </c>
      <c r="V32" s="1571" t="s">
        <v>8</v>
      </c>
      <c r="W32" s="1572">
        <f t="shared" si="14"/>
        <v>100</v>
      </c>
      <c r="X32" s="1565"/>
      <c r="Y32" s="3290"/>
      <c r="Z32" s="1573">
        <f t="shared" si="15"/>
        <v>111</v>
      </c>
      <c r="AA32" s="1574">
        <f t="shared" si="3"/>
        <v>1</v>
      </c>
      <c r="AB32" s="1574">
        <f t="shared" si="4"/>
        <v>1</v>
      </c>
      <c r="AC32" s="1574">
        <f t="shared" si="5"/>
        <v>1</v>
      </c>
    </row>
    <row r="33" spans="1:29" ht="15">
      <c r="A33" s="2870" t="s">
        <v>2760</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291" t="s">
        <v>551</v>
      </c>
      <c r="Q33" s="1570" t="str">
        <f t="shared" si="11"/>
        <v>建筑类型</v>
      </c>
      <c r="R33" s="1571" t="s">
        <v>8</v>
      </c>
      <c r="S33" s="1572">
        <f t="shared" si="12"/>
        <v>100</v>
      </c>
      <c r="T33" s="1571" t="s">
        <v>8</v>
      </c>
      <c r="U33" s="1572">
        <f t="shared" si="13"/>
        <v>100</v>
      </c>
      <c r="V33" s="1571" t="s">
        <v>8</v>
      </c>
      <c r="W33" s="1572">
        <f t="shared" si="14"/>
        <v>100</v>
      </c>
      <c r="X33" s="1565"/>
      <c r="Y33" s="3292" t="s">
        <v>551</v>
      </c>
      <c r="Z33" s="1573" t="str">
        <f t="shared" si="15"/>
        <v>建筑类型</v>
      </c>
      <c r="AA33" s="1574">
        <f t="shared" si="3"/>
        <v>1</v>
      </c>
      <c r="AB33" s="1574">
        <f t="shared" si="4"/>
        <v>1</v>
      </c>
      <c r="AC33" s="1574">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7"/>
      <c r="M34" s="2168"/>
      <c r="N34" s="2168"/>
      <c r="O34" s="2168"/>
      <c r="P34" s="3292"/>
      <c r="Q34" s="1603" t="str">
        <f t="shared" si="11"/>
        <v>项目建筑规模</v>
      </c>
      <c r="R34" s="1575" t="s">
        <v>8</v>
      </c>
      <c r="S34" s="1576" t="e">
        <f t="shared" si="12"/>
        <v>#N/A</v>
      </c>
      <c r="T34" s="1575" t="s">
        <v>8</v>
      </c>
      <c r="U34" s="1576" t="e">
        <f t="shared" si="13"/>
        <v>#N/A</v>
      </c>
      <c r="V34" s="1575" t="s">
        <v>8</v>
      </c>
      <c r="W34" s="1576" t="e">
        <f t="shared" si="14"/>
        <v>#N/A</v>
      </c>
      <c r="X34" s="1577"/>
      <c r="Y34" s="3292"/>
      <c r="Z34" s="1578" t="str">
        <f t="shared" si="15"/>
        <v>项目建筑规模</v>
      </c>
      <c r="AA34" s="1574" t="e">
        <f t="shared" si="3"/>
        <v>#N/A</v>
      </c>
      <c r="AB34" s="1574" t="e">
        <f t="shared" si="4"/>
        <v>#N/A</v>
      </c>
      <c r="AC34" s="1574"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292"/>
      <c r="Q35" s="1570" t="str">
        <f t="shared" si="11"/>
        <v>建筑结构</v>
      </c>
      <c r="R35" s="1571" t="s">
        <v>8</v>
      </c>
      <c r="S35" s="1572">
        <f t="shared" si="12"/>
        <v>100</v>
      </c>
      <c r="T35" s="1571" t="s">
        <v>8</v>
      </c>
      <c r="U35" s="1572">
        <f t="shared" si="13"/>
        <v>100</v>
      </c>
      <c r="V35" s="1571" t="s">
        <v>8</v>
      </c>
      <c r="W35" s="1572">
        <f t="shared" si="14"/>
        <v>100</v>
      </c>
      <c r="X35" s="1565"/>
      <c r="Y35" s="3292"/>
      <c r="Z35" s="1573" t="str">
        <f t="shared" si="15"/>
        <v>建筑结构</v>
      </c>
      <c r="AA35" s="1574">
        <f t="shared" si="3"/>
        <v>1</v>
      </c>
      <c r="AB35" s="1574">
        <f t="shared" si="4"/>
        <v>1</v>
      </c>
      <c r="AC35" s="1574">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292"/>
      <c r="Q36" s="1570" t="str">
        <f t="shared" si="11"/>
        <v>公共部分装修</v>
      </c>
      <c r="R36" s="1571" t="s">
        <v>8</v>
      </c>
      <c r="S36" s="1572">
        <f t="shared" si="12"/>
        <v>100</v>
      </c>
      <c r="T36" s="1571" t="s">
        <v>8</v>
      </c>
      <c r="U36" s="1572">
        <f t="shared" si="13"/>
        <v>100</v>
      </c>
      <c r="V36" s="1571" t="s">
        <v>8</v>
      </c>
      <c r="W36" s="1572">
        <f t="shared" si="14"/>
        <v>100</v>
      </c>
      <c r="X36" s="1565"/>
      <c r="Y36" s="3292"/>
      <c r="Z36" s="1573" t="str">
        <f t="shared" si="15"/>
        <v>公共部分装修</v>
      </c>
      <c r="AA36" s="1574">
        <f t="shared" si="3"/>
        <v>1</v>
      </c>
      <c r="AB36" s="1574">
        <f t="shared" si="4"/>
        <v>1</v>
      </c>
      <c r="AC36" s="1574">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292"/>
      <c r="Q37" s="1570" t="str">
        <f t="shared" si="11"/>
        <v>成新度</v>
      </c>
      <c r="R37" s="1571" t="s">
        <v>8</v>
      </c>
      <c r="S37" s="1572" t="e">
        <f t="shared" si="12"/>
        <v>#N/A</v>
      </c>
      <c r="T37" s="1571" t="s">
        <v>8</v>
      </c>
      <c r="U37" s="1572" t="e">
        <f t="shared" si="13"/>
        <v>#N/A</v>
      </c>
      <c r="V37" s="1571" t="s">
        <v>8</v>
      </c>
      <c r="W37" s="1572" t="e">
        <f t="shared" si="14"/>
        <v>#N/A</v>
      </c>
      <c r="X37" s="1565"/>
      <c r="Y37" s="3292"/>
      <c r="Z37" s="1573" t="str">
        <f t="shared" si="15"/>
        <v>成新度</v>
      </c>
      <c r="AA37" s="1574" t="e">
        <f t="shared" si="3"/>
        <v>#N/A</v>
      </c>
      <c r="AB37" s="1574" t="e">
        <f t="shared" si="4"/>
        <v>#N/A</v>
      </c>
      <c r="AC37" s="1574"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292"/>
      <c r="Q38" s="1149" t="str">
        <f t="shared" si="11"/>
        <v>写字楼等级</v>
      </c>
      <c r="R38" s="1566" t="s">
        <v>8</v>
      </c>
      <c r="S38" s="1567">
        <f t="shared" si="12"/>
        <v>100</v>
      </c>
      <c r="T38" s="1566" t="s">
        <v>8</v>
      </c>
      <c r="U38" s="1567">
        <f t="shared" si="13"/>
        <v>100</v>
      </c>
      <c r="V38" s="1566" t="s">
        <v>8</v>
      </c>
      <c r="W38" s="1567">
        <f t="shared" si="14"/>
        <v>100</v>
      </c>
      <c r="X38" s="1568"/>
      <c r="Y38" s="3292"/>
      <c r="Z38" s="1148" t="str">
        <f t="shared" si="15"/>
        <v>写字楼等级</v>
      </c>
      <c r="AA38" s="1569">
        <f t="shared" si="3"/>
        <v>1</v>
      </c>
      <c r="AB38" s="1569">
        <f t="shared" si="4"/>
        <v>1</v>
      </c>
      <c r="AC38" s="1569">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292" t="s">
        <v>551</v>
      </c>
      <c r="Q39" s="1570" t="str">
        <f t="shared" si="11"/>
        <v>物业管理</v>
      </c>
      <c r="R39" s="1571" t="s">
        <v>8</v>
      </c>
      <c r="S39" s="1572">
        <f t="shared" si="12"/>
        <v>100</v>
      </c>
      <c r="T39" s="1571" t="s">
        <v>8</v>
      </c>
      <c r="U39" s="1572">
        <f t="shared" si="13"/>
        <v>100</v>
      </c>
      <c r="V39" s="1571" t="s">
        <v>8</v>
      </c>
      <c r="W39" s="1572">
        <f t="shared" si="14"/>
        <v>100</v>
      </c>
      <c r="X39" s="1565"/>
      <c r="Y39" s="3292" t="s">
        <v>551</v>
      </c>
      <c r="Z39" s="1573" t="str">
        <f t="shared" si="15"/>
        <v>物业管理</v>
      </c>
      <c r="AA39" s="1574">
        <f t="shared" si="3"/>
        <v>1</v>
      </c>
      <c r="AB39" s="1574">
        <f t="shared" si="4"/>
        <v>1</v>
      </c>
      <c r="AC39" s="1574">
        <f t="shared" si="5"/>
        <v>1</v>
      </c>
    </row>
    <row r="40" spans="1:29" ht="15">
      <c r="A40" s="592"/>
      <c r="B40" s="1892" t="s">
        <v>2568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292"/>
      <c r="Q40" s="1570" t="str">
        <f t="shared" si="11"/>
        <v>市政基础设施</v>
      </c>
      <c r="R40" s="1571" t="s">
        <v>8</v>
      </c>
      <c r="S40" s="1572">
        <f t="shared" si="12"/>
        <v>100</v>
      </c>
      <c r="T40" s="1571" t="s">
        <v>8</v>
      </c>
      <c r="U40" s="1572">
        <f t="shared" si="13"/>
        <v>100</v>
      </c>
      <c r="V40" s="1571" t="s">
        <v>8</v>
      </c>
      <c r="W40" s="1572">
        <f t="shared" si="14"/>
        <v>100</v>
      </c>
      <c r="X40" s="1565"/>
      <c r="Y40" s="3292"/>
      <c r="Z40" s="1573" t="str">
        <f t="shared" si="15"/>
        <v>市政基础设施</v>
      </c>
      <c r="AA40" s="1574">
        <f t="shared" si="3"/>
        <v>1</v>
      </c>
      <c r="AB40" s="1574">
        <f t="shared" si="4"/>
        <v>1</v>
      </c>
      <c r="AC40" s="1574">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292"/>
      <c r="Q41" s="1570" t="str">
        <f t="shared" si="11"/>
        <v>层高</v>
      </c>
      <c r="R41" s="1571" t="s">
        <v>8</v>
      </c>
      <c r="S41" s="1572">
        <f t="shared" si="12"/>
        <v>100</v>
      </c>
      <c r="T41" s="1571" t="s">
        <v>8</v>
      </c>
      <c r="U41" s="1572">
        <f t="shared" si="13"/>
        <v>100</v>
      </c>
      <c r="V41" s="1571" t="s">
        <v>8</v>
      </c>
      <c r="W41" s="1572">
        <f t="shared" si="14"/>
        <v>100</v>
      </c>
      <c r="X41" s="1565"/>
      <c r="Y41" s="3292"/>
      <c r="Z41" s="1573" t="str">
        <f t="shared" si="15"/>
        <v>层高</v>
      </c>
      <c r="AA41" s="1574">
        <f t="shared" si="3"/>
        <v>1</v>
      </c>
      <c r="AB41" s="1574">
        <f t="shared" si="4"/>
        <v>1</v>
      </c>
      <c r="AC41" s="1574">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292"/>
      <c r="Q42" s="1603" t="str">
        <f t="shared" si="11"/>
        <v>单套建筑面积</v>
      </c>
      <c r="R42" s="1575" t="s">
        <v>8</v>
      </c>
      <c r="S42" s="1576">
        <f t="shared" si="12"/>
        <v>100</v>
      </c>
      <c r="T42" s="1575" t="s">
        <v>8</v>
      </c>
      <c r="U42" s="1576">
        <f t="shared" si="13"/>
        <v>100</v>
      </c>
      <c r="V42" s="1575" t="s">
        <v>8</v>
      </c>
      <c r="W42" s="1576">
        <f t="shared" si="14"/>
        <v>100</v>
      </c>
      <c r="X42" s="1577"/>
      <c r="Y42" s="3292"/>
      <c r="Z42" s="1578" t="str">
        <f t="shared" si="15"/>
        <v>单套建筑面积</v>
      </c>
      <c r="AA42" s="1574">
        <f t="shared" si="3"/>
        <v>1</v>
      </c>
      <c r="AB42" s="1574">
        <f t="shared" si="4"/>
        <v>1</v>
      </c>
      <c r="AC42" s="1574">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292"/>
      <c r="Q43" s="1570" t="str">
        <f t="shared" si="11"/>
        <v>内部装修</v>
      </c>
      <c r="R43" s="1571" t="s">
        <v>8</v>
      </c>
      <c r="S43" s="1572">
        <f t="shared" si="12"/>
        <v>100</v>
      </c>
      <c r="T43" s="1571" t="s">
        <v>8</v>
      </c>
      <c r="U43" s="1572">
        <f t="shared" si="13"/>
        <v>100</v>
      </c>
      <c r="V43" s="1571" t="s">
        <v>8</v>
      </c>
      <c r="W43" s="1572">
        <f t="shared" si="14"/>
        <v>100</v>
      </c>
      <c r="X43" s="1565"/>
      <c r="Y43" s="3292"/>
      <c r="Z43" s="1573" t="str">
        <f t="shared" si="15"/>
        <v>内部装修</v>
      </c>
      <c r="AA43" s="1574">
        <f t="shared" si="3"/>
        <v>1</v>
      </c>
      <c r="AB43" s="1574">
        <f t="shared" si="4"/>
        <v>1</v>
      </c>
      <c r="AC43" s="1574">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292"/>
      <c r="Q44" s="1570" t="str">
        <f t="shared" si="11"/>
        <v>内部装修维护情况</v>
      </c>
      <c r="R44" s="1571" t="s">
        <v>8</v>
      </c>
      <c r="S44" s="1572">
        <f t="shared" si="12"/>
        <v>100</v>
      </c>
      <c r="T44" s="1571" t="s">
        <v>8</v>
      </c>
      <c r="U44" s="1572">
        <f t="shared" si="13"/>
        <v>100</v>
      </c>
      <c r="V44" s="1571" t="s">
        <v>8</v>
      </c>
      <c r="W44" s="1572">
        <f t="shared" si="14"/>
        <v>100</v>
      </c>
      <c r="X44" s="1565"/>
      <c r="Y44" s="3292"/>
      <c r="Z44" s="1573" t="str">
        <f t="shared" si="15"/>
        <v>内部装修维护情况</v>
      </c>
      <c r="AA44" s="1574">
        <f t="shared" si="3"/>
        <v>1</v>
      </c>
      <c r="AB44" s="1574">
        <f t="shared" si="4"/>
        <v>1</v>
      </c>
      <c r="AC44" s="1574">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2"/>
      <c r="M45" s="2133"/>
      <c r="N45" s="2133"/>
      <c r="O45" s="2133"/>
      <c r="P45" s="3292"/>
      <c r="Q45" s="1149">
        <f t="shared" si="11"/>
        <v>111</v>
      </c>
      <c r="R45" s="1566" t="s">
        <v>8</v>
      </c>
      <c r="S45" s="1567">
        <f t="shared" si="12"/>
        <v>100</v>
      </c>
      <c r="T45" s="1566" t="s">
        <v>8</v>
      </c>
      <c r="U45" s="1567">
        <f t="shared" si="13"/>
        <v>100</v>
      </c>
      <c r="V45" s="1566" t="s">
        <v>8</v>
      </c>
      <c r="W45" s="1567">
        <f t="shared" si="14"/>
        <v>100</v>
      </c>
      <c r="X45" s="1568"/>
      <c r="Y45" s="3292"/>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292"/>
      <c r="Q46" s="1570">
        <f t="shared" si="11"/>
        <v>111</v>
      </c>
      <c r="R46" s="1571" t="s">
        <v>8</v>
      </c>
      <c r="S46" s="1572">
        <f t="shared" si="12"/>
        <v>100</v>
      </c>
      <c r="T46" s="1571" t="s">
        <v>8</v>
      </c>
      <c r="U46" s="1572">
        <f t="shared" si="13"/>
        <v>100</v>
      </c>
      <c r="V46" s="1571" t="s">
        <v>8</v>
      </c>
      <c r="W46" s="1572">
        <f t="shared" si="14"/>
        <v>100</v>
      </c>
      <c r="X46" s="1565"/>
      <c r="Y46" s="3292"/>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388"/>
      <c r="Q47" s="1570">
        <f t="shared" si="11"/>
        <v>111</v>
      </c>
      <c r="R47" s="1571" t="s">
        <v>8</v>
      </c>
      <c r="S47" s="1572">
        <f t="shared" si="12"/>
        <v>100</v>
      </c>
      <c r="T47" s="1571" t="s">
        <v>8</v>
      </c>
      <c r="U47" s="1572">
        <f t="shared" si="13"/>
        <v>100</v>
      </c>
      <c r="V47" s="1571" t="s">
        <v>8</v>
      </c>
      <c r="W47" s="1572">
        <f t="shared" si="14"/>
        <v>100</v>
      </c>
      <c r="X47" s="1565"/>
      <c r="Y47" s="3388"/>
      <c r="Z47" s="1573">
        <f t="shared" si="15"/>
        <v>111</v>
      </c>
      <c r="AA47" s="1574">
        <f t="shared" si="3"/>
        <v>1</v>
      </c>
      <c r="AB47" s="1574">
        <f t="shared" si="4"/>
        <v>1</v>
      </c>
      <c r="AC47" s="1574">
        <f t="shared" si="5"/>
        <v>1</v>
      </c>
    </row>
    <row r="48" spans="1:29" ht="15">
      <c r="A48" s="605" t="s">
        <v>737</v>
      </c>
      <c r="B48" s="885"/>
      <c r="C48" s="2645" t="s">
        <v>1</v>
      </c>
      <c r="D48" s="2646"/>
      <c r="E48" s="2647"/>
      <c r="F48" s="2648"/>
      <c r="G48" s="2649"/>
      <c r="H48" s="2650"/>
      <c r="I48" s="2647"/>
      <c r="J48" s="2650"/>
      <c r="K48" s="1609"/>
      <c r="L48" s="2141"/>
      <c r="M48" s="2131"/>
      <c r="N48" s="2131"/>
      <c r="O48" s="2131"/>
      <c r="P48" s="3309" t="str">
        <f>A48</f>
        <v>成交单价（元/平方米）</v>
      </c>
      <c r="Q48" s="3287"/>
      <c r="R48" s="3387">
        <f>E48</f>
        <v>0</v>
      </c>
      <c r="S48" s="3387"/>
      <c r="T48" s="3387">
        <f>G48</f>
        <v>0</v>
      </c>
      <c r="U48" s="3387"/>
      <c r="V48" s="3387">
        <f>I48</f>
        <v>0</v>
      </c>
      <c r="W48" s="3387"/>
      <c r="X48" s="1557"/>
      <c r="Y48" s="1579"/>
      <c r="Z48" s="1557"/>
      <c r="AA48" s="1557"/>
      <c r="AB48" s="1557"/>
      <c r="AC48" s="1557"/>
    </row>
    <row r="49" spans="1:29" ht="15.75" thickBot="1">
      <c r="A49" s="613" t="s">
        <v>2765</v>
      </c>
      <c r="B49" s="886"/>
      <c r="C49" s="2651" t="e">
        <f>R50</f>
        <v>#DIV/0!</v>
      </c>
      <c r="D49" s="2652"/>
      <c r="E49" s="2653" t="e">
        <f>R49</f>
        <v>#DIV/0!</v>
      </c>
      <c r="F49" s="2653"/>
      <c r="G49" s="2651" t="e">
        <f>T49</f>
        <v>#DIV/0!</v>
      </c>
      <c r="H49" s="2652"/>
      <c r="I49" s="2653" t="e">
        <f>V49</f>
        <v>#DIV/0!</v>
      </c>
      <c r="J49" s="2652"/>
      <c r="K49" s="1610"/>
      <c r="L49" s="2141"/>
      <c r="M49" s="2131"/>
      <c r="N49" s="2131"/>
      <c r="O49" s="2131"/>
      <c r="P49" s="3309" t="str">
        <f>A49</f>
        <v>比较价格（元/平方米）</v>
      </c>
      <c r="Q49" s="3287"/>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1557"/>
      <c r="Y49" s="1557"/>
      <c r="Z49" s="1557"/>
      <c r="AA49" s="1557"/>
      <c r="AB49" s="1557"/>
      <c r="AC49" s="1557"/>
    </row>
    <row r="50" spans="1:29" ht="15.75" thickBot="1">
      <c r="A50" s="619" t="s">
        <v>2939</v>
      </c>
      <c r="B50" s="620"/>
      <c r="C50" s="2654" t="e">
        <f>R50</f>
        <v>#DIV/0!</v>
      </c>
      <c r="D50" s="2654"/>
      <c r="E50" s="2654"/>
      <c r="F50" s="2654"/>
      <c r="G50" s="2654"/>
      <c r="H50" s="2654"/>
      <c r="I50" s="2654"/>
      <c r="J50" s="2654"/>
      <c r="K50" s="1611"/>
      <c r="L50" s="2141"/>
      <c r="M50" s="2131"/>
      <c r="N50" s="2131"/>
      <c r="O50" s="2131"/>
      <c r="P50" s="3392" t="str">
        <f>A50</f>
        <v>估价对象XX用房的比较价格（楼面单价，元/平方米）</v>
      </c>
      <c r="Q50" s="3309"/>
      <c r="R50" s="3386" t="e">
        <f>IF(F1="售价",ROUND(AVERAGE(R49:V49),0),ROUND(AVERAGE(R49:V49),1))</f>
        <v>#DIV/0!</v>
      </c>
      <c r="S50" s="3386"/>
      <c r="T50" s="3386"/>
      <c r="U50" s="3386"/>
      <c r="V50" s="3386"/>
      <c r="W50" s="3386"/>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575</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530</v>
      </c>
      <c r="B59" s="644"/>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576</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532</v>
      </c>
      <c r="B62" s="646"/>
      <c r="C62" s="658" t="s">
        <v>577</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578</v>
      </c>
      <c r="B64" s="663" t="s">
        <v>535</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540</v>
      </c>
      <c r="B77" s="663" t="s">
        <v>586</v>
      </c>
      <c r="C77" s="701" t="s">
        <v>580</v>
      </c>
      <c r="D77" s="701" t="s">
        <v>581</v>
      </c>
      <c r="E77" s="701" t="s">
        <v>582</v>
      </c>
      <c r="F77" s="701" t="s">
        <v>583</v>
      </c>
      <c r="G77" s="701" t="s">
        <v>584</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587</v>
      </c>
      <c r="C79" s="706" t="s">
        <v>580</v>
      </c>
      <c r="D79" s="706" t="s">
        <v>581</v>
      </c>
      <c r="E79" s="706" t="s">
        <v>582</v>
      </c>
      <c r="F79" s="706" t="s">
        <v>583</v>
      </c>
      <c r="G79" s="706" t="s">
        <v>584</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2560</v>
      </c>
      <c r="C81" s="706" t="s">
        <v>580</v>
      </c>
      <c r="D81" s="706" t="s">
        <v>581</v>
      </c>
      <c r="E81" s="706" t="s">
        <v>582</v>
      </c>
      <c r="F81" s="706" t="s">
        <v>583</v>
      </c>
      <c r="G81" s="706" t="s">
        <v>584</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5" t="s">
        <v>2561</v>
      </c>
      <c r="C83" s="2616" t="s">
        <v>2562</v>
      </c>
      <c r="D83" s="2616" t="s">
        <v>2563</v>
      </c>
      <c r="E83" s="2616" t="s">
        <v>2564</v>
      </c>
      <c r="F83" s="2616" t="s">
        <v>2565</v>
      </c>
      <c r="G83" s="2616" t="s">
        <v>2566</v>
      </c>
      <c r="H83" s="672"/>
      <c r="I83" s="672"/>
      <c r="J83" s="672"/>
      <c r="K83" s="672"/>
      <c r="L83" s="672"/>
      <c r="M83" s="2619"/>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785</v>
      </c>
      <c r="C85" s="706" t="s">
        <v>580</v>
      </c>
      <c r="D85" s="706" t="s">
        <v>581</v>
      </c>
      <c r="E85" s="706" t="s">
        <v>582</v>
      </c>
      <c r="F85" s="706" t="s">
        <v>583</v>
      </c>
      <c r="G85" s="706" t="s">
        <v>584</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786</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552</v>
      </c>
      <c r="B101" s="663" t="s">
        <v>748</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750</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752</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787</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754</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788</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776</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756</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428"/>
    </row>
    <row r="2" spans="1:29" s="1334" customFormat="1" ht="28.5" customHeight="1">
      <c r="A2" s="423"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8"/>
    </row>
    <row r="3" spans="1:29" s="1334" customFormat="1" ht="28.5" customHeight="1" thickBot="1">
      <c r="A3" s="507" t="s">
        <v>520</v>
      </c>
      <c r="B3" s="508" t="e">
        <f>C43</f>
        <v>#DIV/0!</v>
      </c>
      <c r="C3" s="850" t="s">
        <v>723</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522</v>
      </c>
      <c r="B4" s="511"/>
      <c r="C4" s="3293" t="s">
        <v>523</v>
      </c>
      <c r="D4" s="3294"/>
      <c r="E4" s="3317" t="s">
        <v>524</v>
      </c>
      <c r="F4" s="3318"/>
      <c r="G4" s="3293" t="s">
        <v>525</v>
      </c>
      <c r="H4" s="3294"/>
      <c r="I4" s="3293" t="s">
        <v>526</v>
      </c>
      <c r="J4" s="3294"/>
      <c r="K4" s="512" t="s">
        <v>527</v>
      </c>
      <c r="L4" s="2130"/>
      <c r="M4" s="2131"/>
      <c r="N4" s="2131"/>
      <c r="O4" s="2131"/>
      <c r="P4" s="3295" t="s">
        <v>528</v>
      </c>
      <c r="Q4" s="3296"/>
      <c r="R4" s="3281" t="s">
        <v>524</v>
      </c>
      <c r="S4" s="3282"/>
      <c r="T4" s="3281" t="s">
        <v>525</v>
      </c>
      <c r="U4" s="3282"/>
      <c r="V4" s="3301" t="s">
        <v>526</v>
      </c>
      <c r="W4" s="3301"/>
      <c r="X4" s="1565"/>
      <c r="Y4" s="3281" t="s">
        <v>528</v>
      </c>
      <c r="Z4" s="3282"/>
      <c r="AA4" s="3276" t="s">
        <v>524</v>
      </c>
      <c r="AB4" s="3277" t="s">
        <v>525</v>
      </c>
      <c r="AC4" s="3276" t="s">
        <v>526</v>
      </c>
    </row>
    <row r="5" spans="1:29" ht="15">
      <c r="A5" s="513"/>
      <c r="B5" s="514"/>
      <c r="C5" s="3304" t="s">
        <v>2933</v>
      </c>
      <c r="D5" s="3305"/>
      <c r="E5" s="3319" t="s">
        <v>2934</v>
      </c>
      <c r="F5" s="3320"/>
      <c r="G5" s="3304" t="s">
        <v>2935</v>
      </c>
      <c r="H5" s="3305"/>
      <c r="I5" s="3304" t="s">
        <v>2936</v>
      </c>
      <c r="J5" s="3305"/>
      <c r="K5" s="512"/>
      <c r="L5" s="2130"/>
      <c r="M5" s="2131"/>
      <c r="N5" s="2131"/>
      <c r="O5" s="2131"/>
      <c r="P5" s="3297"/>
      <c r="Q5" s="3298"/>
      <c r="R5" s="3283"/>
      <c r="S5" s="3284"/>
      <c r="T5" s="3283"/>
      <c r="U5" s="3284"/>
      <c r="V5" s="3301"/>
      <c r="W5" s="3301"/>
      <c r="X5" s="1565"/>
      <c r="Y5" s="3283"/>
      <c r="Z5" s="3284"/>
      <c r="AA5" s="3277"/>
      <c r="AB5" s="3277"/>
      <c r="AC5" s="3277"/>
    </row>
    <row r="6" spans="1:29" ht="15.75" thickBot="1">
      <c r="A6" s="515"/>
      <c r="B6" s="516"/>
      <c r="C6" s="3302" t="s">
        <v>2937</v>
      </c>
      <c r="D6" s="3303"/>
      <c r="E6" s="3321" t="s">
        <v>2937</v>
      </c>
      <c r="F6" s="3322"/>
      <c r="G6" s="3302" t="s">
        <v>2937</v>
      </c>
      <c r="H6" s="3303"/>
      <c r="I6" s="3302" t="s">
        <v>2937</v>
      </c>
      <c r="J6" s="3303"/>
      <c r="K6" s="512" t="s">
        <v>529</v>
      </c>
      <c r="L6" s="2130"/>
      <c r="M6" s="2131"/>
      <c r="N6" s="2131"/>
      <c r="O6" s="2131"/>
      <c r="P6" s="3299"/>
      <c r="Q6" s="3300"/>
      <c r="R6" s="3283"/>
      <c r="S6" s="3284"/>
      <c r="T6" s="3285"/>
      <c r="U6" s="3286"/>
      <c r="V6" s="3301"/>
      <c r="W6" s="3301"/>
      <c r="X6" s="1565"/>
      <c r="Y6" s="3285"/>
      <c r="Z6" s="3286"/>
      <c r="AA6" s="3278"/>
      <c r="AB6" s="3278"/>
      <c r="AC6" s="3278"/>
    </row>
    <row r="7" spans="1:29" s="1218" customFormat="1" ht="15.75" thickBot="1">
      <c r="A7" s="2875"/>
      <c r="B7" s="2882" t="s">
        <v>530</v>
      </c>
      <c r="C7" s="517">
        <f>'数据-取费表'!B2</f>
        <v>43054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279" t="s">
        <v>531</v>
      </c>
      <c r="Q7" s="3288"/>
      <c r="R7" s="1566" t="s">
        <v>8</v>
      </c>
      <c r="S7" s="1567">
        <f t="shared" ref="S7:S15" si="0">F7</f>
        <v>0</v>
      </c>
      <c r="T7" s="1566" t="s">
        <v>8</v>
      </c>
      <c r="U7" s="1567">
        <f t="shared" ref="U7:U15" si="1">H7</f>
        <v>0</v>
      </c>
      <c r="V7" s="1566" t="s">
        <v>8</v>
      </c>
      <c r="W7" s="1567">
        <f t="shared" ref="W7:W15" si="2">J7</f>
        <v>0</v>
      </c>
      <c r="X7" s="1568"/>
      <c r="Y7" s="3279" t="s">
        <v>531</v>
      </c>
      <c r="Z7" s="3280"/>
      <c r="AA7" s="1569" t="e">
        <f>D7/F7</f>
        <v>#DIV/0!</v>
      </c>
      <c r="AB7" s="1569" t="e">
        <f>D7/H7</f>
        <v>#DIV/0!</v>
      </c>
      <c r="AC7" s="1569" t="e">
        <f>D7/J7</f>
        <v>#DIV/0!</v>
      </c>
    </row>
    <row r="8" spans="1:29" s="1218"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279" t="s">
        <v>534</v>
      </c>
      <c r="Q8" s="3280"/>
      <c r="R8" s="1566" t="s">
        <v>8</v>
      </c>
      <c r="S8" s="1567">
        <f t="shared" si="0"/>
        <v>0</v>
      </c>
      <c r="T8" s="1566" t="s">
        <v>8</v>
      </c>
      <c r="U8" s="1567">
        <f t="shared" si="1"/>
        <v>0</v>
      </c>
      <c r="V8" s="1566" t="s">
        <v>8</v>
      </c>
      <c r="W8" s="1567">
        <f t="shared" si="2"/>
        <v>0</v>
      </c>
      <c r="X8" s="1568"/>
      <c r="Y8" s="3279" t="s">
        <v>534</v>
      </c>
      <c r="Z8" s="3280"/>
      <c r="AA8" s="1569" t="e">
        <f t="shared" ref="AA8:AA40" si="3">D8/F8</f>
        <v>#DIV/0!</v>
      </c>
      <c r="AB8" s="1569" t="e">
        <f t="shared" ref="AB8:AB40" si="4">D8/H8</f>
        <v>#DIV/0!</v>
      </c>
      <c r="AC8" s="1569" t="e">
        <f t="shared" ref="AC8:AC40" si="5">D8/J8</f>
        <v>#DIV/0!</v>
      </c>
    </row>
    <row r="9" spans="1:29" s="1218" customFormat="1" ht="15">
      <c r="A9" s="2877"/>
      <c r="B9" s="2884" t="s">
        <v>2761</v>
      </c>
      <c r="C9" s="855"/>
      <c r="D9" s="254">
        <v>100</v>
      </c>
      <c r="E9" s="858"/>
      <c r="F9" s="254">
        <f>SUMIF(57:57,E9,58:58)-SUMIF(57:57,C9,58:58)+100</f>
        <v>100</v>
      </c>
      <c r="G9" s="856"/>
      <c r="H9" s="254">
        <f>SUMIF(57:57,G9,58:58)-SUMIF(57:57,C9,58:58)+100</f>
        <v>100</v>
      </c>
      <c r="I9" s="856"/>
      <c r="J9" s="254">
        <f>SUMIF(57:57,I9,58:58)-SUMIF(57:57,C9,58:58)+100</f>
        <v>100</v>
      </c>
      <c r="K9" s="522"/>
      <c r="L9" s="2132"/>
      <c r="M9" s="2133"/>
      <c r="N9" s="2133"/>
      <c r="O9" s="2134"/>
      <c r="P9" s="3287" t="s">
        <v>536</v>
      </c>
      <c r="Q9" s="1149" t="str">
        <f t="shared" ref="Q9:Q15" si="6">B9</f>
        <v>用途</v>
      </c>
      <c r="R9" s="1566" t="s">
        <v>8</v>
      </c>
      <c r="S9" s="1567">
        <f t="shared" si="0"/>
        <v>100</v>
      </c>
      <c r="T9" s="1566" t="s">
        <v>8</v>
      </c>
      <c r="U9" s="1567">
        <f t="shared" si="1"/>
        <v>100</v>
      </c>
      <c r="V9" s="1566" t="s">
        <v>8</v>
      </c>
      <c r="W9" s="1567">
        <f t="shared" si="2"/>
        <v>100</v>
      </c>
      <c r="X9" s="1568"/>
      <c r="Y9" s="3244"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SUMIF(59:59,E10,60:60)-SUMIF(59:59,C10,60:60)+100</f>
        <v>100</v>
      </c>
      <c r="G10" s="860"/>
      <c r="H10" s="255">
        <f>SUMIF(59:59,G10,60:60)-SUMIF(59:59,C10,60:60)+100</f>
        <v>100</v>
      </c>
      <c r="I10" s="859"/>
      <c r="J10" s="255">
        <f>SUMIF(59:59,I10,60:60)-SUMIF(59:59,C10,60:60)+100</f>
        <v>100</v>
      </c>
      <c r="K10" s="582"/>
      <c r="L10" s="2135"/>
      <c r="M10" s="2175"/>
      <c r="N10" s="2175"/>
      <c r="O10" s="2136"/>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7"/>
      <c r="M11" s="2131"/>
      <c r="N11" s="2131"/>
      <c r="O11" s="2138"/>
      <c r="P11" s="3287"/>
      <c r="Q11" s="1149" t="str">
        <f t="shared" si="6"/>
        <v>容积率</v>
      </c>
      <c r="R11" s="1566" t="s">
        <v>8</v>
      </c>
      <c r="S11" s="1567" t="e">
        <f t="shared" si="0"/>
        <v>#N/A</v>
      </c>
      <c r="T11" s="1566" t="s">
        <v>8</v>
      </c>
      <c r="U11" s="1567" t="e">
        <f t="shared" si="1"/>
        <v>#N/A</v>
      </c>
      <c r="V11" s="1566" t="s">
        <v>8</v>
      </c>
      <c r="W11" s="1567" t="e">
        <f t="shared" si="2"/>
        <v>#N/A</v>
      </c>
      <c r="X11" s="1568"/>
      <c r="Y11" s="3244"/>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SUMIF(64:64,E12,65:65)-SUMIF(64:64,C12,65:65)+100</f>
        <v>100</v>
      </c>
      <c r="G12" s="918"/>
      <c r="H12" s="255">
        <f>SUMIF(64:64,G12,65:65)-SUMIF(64:64,C12,65:65)+100</f>
        <v>100</v>
      </c>
      <c r="I12" s="878"/>
      <c r="J12" s="255">
        <f>SUMIF(64:64,I12,65:65)-SUMIF(64:64,C12,65:65)+100</f>
        <v>100</v>
      </c>
      <c r="K12" s="579"/>
      <c r="L12" s="2132"/>
      <c r="M12" s="2133"/>
      <c r="N12" s="2133"/>
      <c r="O12" s="2134"/>
      <c r="P12" s="3287"/>
      <c r="Q12" s="1149">
        <f t="shared" si="6"/>
        <v>111</v>
      </c>
      <c r="R12" s="1566" t="s">
        <v>8</v>
      </c>
      <c r="S12" s="1567">
        <f t="shared" si="0"/>
        <v>100</v>
      </c>
      <c r="T12" s="1566" t="s">
        <v>8</v>
      </c>
      <c r="U12" s="1567">
        <f t="shared" si="1"/>
        <v>100</v>
      </c>
      <c r="V12" s="1566" t="s">
        <v>8</v>
      </c>
      <c r="W12" s="1567">
        <f t="shared" si="2"/>
        <v>100</v>
      </c>
      <c r="X12" s="1568"/>
      <c r="Y12" s="3244"/>
      <c r="Z12" s="1148">
        <f t="shared" si="7"/>
        <v>111</v>
      </c>
      <c r="AA12" s="1569">
        <f>D12/F12</f>
        <v>1</v>
      </c>
      <c r="AB12" s="1569">
        <f>D12/H12</f>
        <v>1</v>
      </c>
      <c r="AC12" s="1569">
        <f>D12/J12</f>
        <v>1</v>
      </c>
    </row>
    <row r="13" spans="1:29" ht="15">
      <c r="A13" s="2880"/>
      <c r="B13" s="2886">
        <v>111</v>
      </c>
      <c r="C13" s="537"/>
      <c r="D13" s="538">
        <v>100</v>
      </c>
      <c r="E13" s="537"/>
      <c r="F13" s="255">
        <f>SUMIF(66:66,E13,67:67)-SUMIF(66:66,C13,67:67)+100</f>
        <v>100</v>
      </c>
      <c r="G13" s="918"/>
      <c r="H13" s="538">
        <f>SUMIF(66:66,G13,67:67)-SUMIF(66:66,C13,67:67)+100</f>
        <v>100</v>
      </c>
      <c r="I13" s="878"/>
      <c r="J13" s="538">
        <f>SUMIF(66:66,I13,67:67)-SUMIF(66:66,C13,67:67)+100</f>
        <v>100</v>
      </c>
      <c r="K13" s="579"/>
      <c r="L13" s="2139"/>
      <c r="M13" s="2131"/>
      <c r="N13" s="2131"/>
      <c r="O13" s="2138"/>
      <c r="P13" s="3287"/>
      <c r="Q13" s="1149">
        <f t="shared" si="6"/>
        <v>111</v>
      </c>
      <c r="R13" s="1566" t="s">
        <v>8</v>
      </c>
      <c r="S13" s="1567">
        <f t="shared" si="0"/>
        <v>100</v>
      </c>
      <c r="T13" s="1566" t="s">
        <v>8</v>
      </c>
      <c r="U13" s="1567">
        <f t="shared" si="1"/>
        <v>100</v>
      </c>
      <c r="V13" s="1566" t="s">
        <v>8</v>
      </c>
      <c r="W13" s="1567">
        <f t="shared" si="2"/>
        <v>100</v>
      </c>
      <c r="X13" s="1568"/>
      <c r="Y13" s="3244"/>
      <c r="Z13" s="1148">
        <f t="shared" si="7"/>
        <v>111</v>
      </c>
      <c r="AA13" s="1569">
        <f t="shared" si="3"/>
        <v>1</v>
      </c>
      <c r="AB13" s="1569">
        <f t="shared" si="4"/>
        <v>1</v>
      </c>
      <c r="AC13" s="1569">
        <f t="shared" si="5"/>
        <v>1</v>
      </c>
    </row>
    <row r="14" spans="1:29" ht="15.75" thickBot="1">
      <c r="A14" s="2881"/>
      <c r="B14" s="2887">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287"/>
      <c r="Q14" s="1149">
        <f t="shared" si="6"/>
        <v>111</v>
      </c>
      <c r="R14" s="1566" t="s">
        <v>8</v>
      </c>
      <c r="S14" s="1567">
        <f t="shared" si="0"/>
        <v>100</v>
      </c>
      <c r="T14" s="1566" t="s">
        <v>8</v>
      </c>
      <c r="U14" s="1567">
        <f t="shared" si="1"/>
        <v>100</v>
      </c>
      <c r="V14" s="1566" t="s">
        <v>8</v>
      </c>
      <c r="W14" s="1567">
        <f t="shared" si="2"/>
        <v>100</v>
      </c>
      <c r="X14" s="1568"/>
      <c r="Y14" s="3244"/>
      <c r="Z14" s="1148">
        <f t="shared" si="7"/>
        <v>111</v>
      </c>
      <c r="AA14" s="1569">
        <f t="shared" si="3"/>
        <v>1</v>
      </c>
      <c r="AB14" s="1569">
        <f t="shared" si="4"/>
        <v>1</v>
      </c>
      <c r="AC14" s="1569">
        <f t="shared" si="5"/>
        <v>1</v>
      </c>
    </row>
    <row r="15" spans="1:29" ht="57">
      <c r="A15" s="2873" t="s">
        <v>2759</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289" t="s">
        <v>541</v>
      </c>
      <c r="Q15" s="1570" t="str">
        <f t="shared" si="6"/>
        <v>产业集聚程度</v>
      </c>
      <c r="R15" s="1571" t="s">
        <v>8</v>
      </c>
      <c r="S15" s="1572">
        <f t="shared" si="0"/>
        <v>100</v>
      </c>
      <c r="T15" s="1571" t="s">
        <v>8</v>
      </c>
      <c r="U15" s="1572">
        <f t="shared" si="1"/>
        <v>100</v>
      </c>
      <c r="V15" s="1571" t="s">
        <v>8</v>
      </c>
      <c r="W15" s="1572">
        <f t="shared" si="2"/>
        <v>100</v>
      </c>
      <c r="X15" s="1565"/>
      <c r="Y15" s="3289" t="s">
        <v>541</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290"/>
      <c r="Q16" s="1570"/>
      <c r="R16" s="1571"/>
      <c r="S16" s="1572"/>
      <c r="T16" s="1571"/>
      <c r="U16" s="1572"/>
      <c r="V16" s="1571"/>
      <c r="W16" s="1572"/>
      <c r="X16" s="1565"/>
      <c r="Y16" s="3290"/>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290"/>
      <c r="Q17" s="1570" t="str">
        <f>B17</f>
        <v>交通便捷度</v>
      </c>
      <c r="R17" s="1571" t="s">
        <v>8</v>
      </c>
      <c r="S17" s="1572">
        <f>F17</f>
        <v>100</v>
      </c>
      <c r="T17" s="1571" t="s">
        <v>8</v>
      </c>
      <c r="U17" s="1572">
        <f>H17</f>
        <v>100</v>
      </c>
      <c r="V17" s="1571" t="s">
        <v>8</v>
      </c>
      <c r="W17" s="1572">
        <f>J17</f>
        <v>100</v>
      </c>
      <c r="X17" s="1565"/>
      <c r="Y17" s="3290"/>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290"/>
      <c r="Q18" s="1570"/>
      <c r="R18" s="1571"/>
      <c r="S18" s="1572"/>
      <c r="T18" s="1571"/>
      <c r="U18" s="1572"/>
      <c r="V18" s="1571"/>
      <c r="W18" s="1572"/>
      <c r="X18" s="1565"/>
      <c r="Y18" s="3290"/>
      <c r="Z18" s="1573"/>
      <c r="AA18" s="1574">
        <v>1</v>
      </c>
      <c r="AB18" s="1574">
        <v>1</v>
      </c>
      <c r="AC18" s="1574">
        <v>1</v>
      </c>
    </row>
    <row r="19" spans="1:29" ht="42.75">
      <c r="A19" s="530"/>
      <c r="B19" s="2621" t="s">
        <v>2549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290"/>
      <c r="Q19" s="1570" t="str">
        <f>B19</f>
        <v>公共配套设施</v>
      </c>
      <c r="R19" s="1571" t="s">
        <v>8</v>
      </c>
      <c r="S19" s="1572">
        <f>F19</f>
        <v>100</v>
      </c>
      <c r="T19" s="1571" t="s">
        <v>8</v>
      </c>
      <c r="U19" s="1572">
        <f>H19</f>
        <v>100</v>
      </c>
      <c r="V19" s="1571" t="s">
        <v>8</v>
      </c>
      <c r="W19" s="1572">
        <f>J19</f>
        <v>100</v>
      </c>
      <c r="X19" s="1565"/>
      <c r="Y19" s="3290"/>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290"/>
      <c r="Q20" s="1570"/>
      <c r="R20" s="1571"/>
      <c r="S20" s="1572"/>
      <c r="T20" s="1571"/>
      <c r="U20" s="1572"/>
      <c r="V20" s="1571"/>
      <c r="W20" s="1572"/>
      <c r="X20" s="1565"/>
      <c r="Y20" s="3290"/>
      <c r="Z20" s="1573"/>
      <c r="AA20" s="1574">
        <v>1</v>
      </c>
      <c r="AB20" s="1574">
        <v>1</v>
      </c>
      <c r="AC20" s="1574">
        <v>1</v>
      </c>
    </row>
    <row r="21" spans="1:29" ht="28.5">
      <c r="A21" s="530"/>
      <c r="B21" s="2609" t="s">
        <v>2561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290"/>
      <c r="Q21" s="2597" t="str">
        <f>B21</f>
        <v>基础设施水平</v>
      </c>
      <c r="R21" s="1571" t="s">
        <v>8</v>
      </c>
      <c r="S21" s="1572">
        <f>F21</f>
        <v>100</v>
      </c>
      <c r="T21" s="1571" t="s">
        <v>8</v>
      </c>
      <c r="U21" s="1572">
        <f>H21</f>
        <v>100</v>
      </c>
      <c r="V21" s="1571" t="s">
        <v>8</v>
      </c>
      <c r="W21" s="1572">
        <f>J21</f>
        <v>100</v>
      </c>
      <c r="X21" s="2599"/>
      <c r="Y21" s="3290"/>
      <c r="Z21" s="259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0"/>
      <c r="L22" s="2139"/>
      <c r="M22" s="2131"/>
      <c r="N22" s="2131"/>
      <c r="O22" s="2138"/>
      <c r="P22" s="3290"/>
      <c r="Q22" s="2597"/>
      <c r="R22" s="1571"/>
      <c r="S22" s="1572"/>
      <c r="T22" s="1571"/>
      <c r="U22" s="1572"/>
      <c r="V22" s="1571"/>
      <c r="W22" s="1572"/>
      <c r="X22" s="2599"/>
      <c r="Y22" s="3290"/>
      <c r="Z22" s="2598"/>
      <c r="AA22" s="1574">
        <v>1</v>
      </c>
      <c r="AB22" s="1574">
        <v>1</v>
      </c>
      <c r="AC22" s="1574">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290"/>
      <c r="Q23" s="1570" t="str">
        <f>B23</f>
        <v>环境质量</v>
      </c>
      <c r="R23" s="1571" t="s">
        <v>8</v>
      </c>
      <c r="S23" s="1572">
        <f>F23</f>
        <v>100</v>
      </c>
      <c r="T23" s="1571" t="s">
        <v>8</v>
      </c>
      <c r="U23" s="1572">
        <f>H23</f>
        <v>100</v>
      </c>
      <c r="V23" s="1571" t="s">
        <v>8</v>
      </c>
      <c r="W23" s="1572">
        <f>J23</f>
        <v>100</v>
      </c>
      <c r="X23" s="1565"/>
      <c r="Y23" s="3290"/>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290"/>
      <c r="Q24" s="1570"/>
      <c r="R24" s="1571"/>
      <c r="S24" s="1572"/>
      <c r="T24" s="1571"/>
      <c r="U24" s="1572"/>
      <c r="V24" s="1571"/>
      <c r="W24" s="1572"/>
      <c r="X24" s="1565"/>
      <c r="Y24" s="3290"/>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290"/>
      <c r="Q25" s="1570">
        <f>B25</f>
        <v>111</v>
      </c>
      <c r="R25" s="1571" t="s">
        <v>8</v>
      </c>
      <c r="S25" s="1572">
        <f>F25</f>
        <v>100</v>
      </c>
      <c r="T25" s="1571" t="s">
        <v>8</v>
      </c>
      <c r="U25" s="1572">
        <f>H25</f>
        <v>100</v>
      </c>
      <c r="V25" s="1571" t="s">
        <v>8</v>
      </c>
      <c r="W25" s="1572">
        <f>J25</f>
        <v>100</v>
      </c>
      <c r="X25" s="1565"/>
      <c r="Y25" s="3290"/>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290"/>
      <c r="Q26" s="1570">
        <f t="shared" ref="Q26:Q40" si="11">B26</f>
        <v>111</v>
      </c>
      <c r="R26" s="1571" t="s">
        <v>8</v>
      </c>
      <c r="S26" s="1572">
        <f>F26</f>
        <v>100</v>
      </c>
      <c r="T26" s="1571" t="s">
        <v>8</v>
      </c>
      <c r="U26" s="1572">
        <f>H26</f>
        <v>100</v>
      </c>
      <c r="V26" s="1571" t="s">
        <v>8</v>
      </c>
      <c r="W26" s="1572">
        <f>J26</f>
        <v>100</v>
      </c>
      <c r="X26" s="1565"/>
      <c r="Y26" s="3290"/>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290"/>
      <c r="Q27" s="1149">
        <f t="shared" si="11"/>
        <v>111</v>
      </c>
      <c r="R27" s="1566" t="s">
        <v>8</v>
      </c>
      <c r="S27" s="1567">
        <f>F27</f>
        <v>100</v>
      </c>
      <c r="T27" s="1566" t="s">
        <v>8</v>
      </c>
      <c r="U27" s="1567">
        <f>H27</f>
        <v>100</v>
      </c>
      <c r="V27" s="1566" t="s">
        <v>8</v>
      </c>
      <c r="W27" s="1567">
        <f>J27</f>
        <v>100</v>
      </c>
      <c r="X27" s="1568"/>
      <c r="Y27" s="3290"/>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290"/>
      <c r="Q28" s="1570">
        <f t="shared" si="11"/>
        <v>111</v>
      </c>
      <c r="R28" s="1571" t="s">
        <v>8</v>
      </c>
      <c r="S28" s="1572">
        <f t="shared" ref="S28:S40" si="12">F28</f>
        <v>100</v>
      </c>
      <c r="T28" s="1571" t="s">
        <v>8</v>
      </c>
      <c r="U28" s="1572">
        <f t="shared" ref="U28:U40" si="13">H28</f>
        <v>100</v>
      </c>
      <c r="V28" s="1571" t="s">
        <v>8</v>
      </c>
      <c r="W28" s="1572">
        <f t="shared" ref="W28:W40" si="14">J28</f>
        <v>100</v>
      </c>
      <c r="X28" s="1565"/>
      <c r="Y28" s="3290"/>
      <c r="Z28" s="1573">
        <f t="shared" ref="Z28:Z40" si="15">Q28</f>
        <v>111</v>
      </c>
      <c r="AA28" s="1574">
        <f t="shared" si="3"/>
        <v>1</v>
      </c>
      <c r="AB28" s="1574">
        <f t="shared" si="4"/>
        <v>1</v>
      </c>
      <c r="AC28" s="1574">
        <f t="shared" si="5"/>
        <v>1</v>
      </c>
    </row>
    <row r="29" spans="1:29" ht="15">
      <c r="A29" s="2870" t="s">
        <v>2760</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291" t="s">
        <v>551</v>
      </c>
      <c r="Q29" s="1570" t="str">
        <f t="shared" si="11"/>
        <v>建筑类型</v>
      </c>
      <c r="R29" s="1571" t="s">
        <v>8</v>
      </c>
      <c r="S29" s="1572">
        <f t="shared" si="12"/>
        <v>100</v>
      </c>
      <c r="T29" s="1571" t="s">
        <v>8</v>
      </c>
      <c r="U29" s="1572">
        <f t="shared" si="13"/>
        <v>100</v>
      </c>
      <c r="V29" s="1571" t="s">
        <v>8</v>
      </c>
      <c r="W29" s="1572">
        <f t="shared" si="14"/>
        <v>100</v>
      </c>
      <c r="X29" s="1565"/>
      <c r="Y29" s="3292" t="s">
        <v>551</v>
      </c>
      <c r="Z29" s="1573" t="str">
        <f t="shared" si="15"/>
        <v>建筑类型</v>
      </c>
      <c r="AA29" s="1574">
        <f t="shared" si="3"/>
        <v>1</v>
      </c>
      <c r="AB29" s="1574">
        <f t="shared" si="4"/>
        <v>1</v>
      </c>
      <c r="AC29" s="1574">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7"/>
      <c r="M30" s="2168"/>
      <c r="N30" s="2168"/>
      <c r="O30" s="2140"/>
      <c r="P30" s="3292"/>
      <c r="Q30" s="1603" t="str">
        <f t="shared" si="11"/>
        <v>项目建筑规模</v>
      </c>
      <c r="R30" s="1575" t="s">
        <v>8</v>
      </c>
      <c r="S30" s="1576" t="e">
        <f t="shared" si="12"/>
        <v>#N/A</v>
      </c>
      <c r="T30" s="1575" t="s">
        <v>8</v>
      </c>
      <c r="U30" s="1576" t="e">
        <f t="shared" si="13"/>
        <v>#N/A</v>
      </c>
      <c r="V30" s="1575" t="s">
        <v>8</v>
      </c>
      <c r="W30" s="1576" t="e">
        <f t="shared" si="14"/>
        <v>#N/A</v>
      </c>
      <c r="X30" s="1577"/>
      <c r="Y30" s="3292"/>
      <c r="Z30" s="1578" t="str">
        <f t="shared" si="15"/>
        <v>项目建筑规模</v>
      </c>
      <c r="AA30" s="1574" t="e">
        <f t="shared" si="3"/>
        <v>#N/A</v>
      </c>
      <c r="AB30" s="1574" t="e">
        <f t="shared" si="4"/>
        <v>#N/A</v>
      </c>
      <c r="AC30" s="1574"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292"/>
      <c r="Q31" s="1570" t="str">
        <f t="shared" si="11"/>
        <v>建筑结构</v>
      </c>
      <c r="R31" s="1571" t="s">
        <v>8</v>
      </c>
      <c r="S31" s="1572">
        <f t="shared" si="12"/>
        <v>100</v>
      </c>
      <c r="T31" s="1571" t="s">
        <v>8</v>
      </c>
      <c r="U31" s="1572">
        <f t="shared" si="13"/>
        <v>100</v>
      </c>
      <c r="V31" s="1571" t="s">
        <v>8</v>
      </c>
      <c r="W31" s="1572">
        <f t="shared" si="14"/>
        <v>100</v>
      </c>
      <c r="X31" s="1565"/>
      <c r="Y31" s="3292"/>
      <c r="Z31" s="1573" t="str">
        <f t="shared" si="15"/>
        <v>建筑结构</v>
      </c>
      <c r="AA31" s="1574">
        <f t="shared" si="3"/>
        <v>1</v>
      </c>
      <c r="AB31" s="1574">
        <f t="shared" si="4"/>
        <v>1</v>
      </c>
      <c r="AC31" s="1574">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292"/>
      <c r="Q32" s="1570" t="str">
        <f t="shared" si="11"/>
        <v>公共部分装修</v>
      </c>
      <c r="R32" s="1571" t="s">
        <v>8</v>
      </c>
      <c r="S32" s="1572">
        <f t="shared" si="12"/>
        <v>100</v>
      </c>
      <c r="T32" s="1571" t="s">
        <v>8</v>
      </c>
      <c r="U32" s="1572">
        <f t="shared" si="13"/>
        <v>100</v>
      </c>
      <c r="V32" s="1571" t="s">
        <v>8</v>
      </c>
      <c r="W32" s="1572">
        <f t="shared" si="14"/>
        <v>100</v>
      </c>
      <c r="X32" s="1565"/>
      <c r="Y32" s="3292"/>
      <c r="Z32" s="1573" t="str">
        <f t="shared" si="15"/>
        <v>公共部分装修</v>
      </c>
      <c r="AA32" s="1574">
        <f t="shared" si="3"/>
        <v>1</v>
      </c>
      <c r="AB32" s="1574">
        <f t="shared" si="4"/>
        <v>1</v>
      </c>
      <c r="AC32" s="1574">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292"/>
      <c r="Q33" s="1570" t="str">
        <f t="shared" si="11"/>
        <v>成新度</v>
      </c>
      <c r="R33" s="1571" t="s">
        <v>8</v>
      </c>
      <c r="S33" s="1572" t="e">
        <f t="shared" si="12"/>
        <v>#N/A</v>
      </c>
      <c r="T33" s="1571" t="s">
        <v>8</v>
      </c>
      <c r="U33" s="1572" t="e">
        <f t="shared" si="13"/>
        <v>#N/A</v>
      </c>
      <c r="V33" s="1571" t="s">
        <v>8</v>
      </c>
      <c r="W33" s="1572" t="e">
        <f t="shared" si="14"/>
        <v>#N/A</v>
      </c>
      <c r="X33" s="1565"/>
      <c r="Y33" s="3292"/>
      <c r="Z33" s="1573" t="str">
        <f t="shared" si="15"/>
        <v>成新度</v>
      </c>
      <c r="AA33" s="1574" t="e">
        <f t="shared" si="3"/>
        <v>#N/A</v>
      </c>
      <c r="AB33" s="1574" t="e">
        <f t="shared" si="4"/>
        <v>#N/A</v>
      </c>
      <c r="AC33" s="1574"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292"/>
      <c r="Q34" s="1149" t="str">
        <f t="shared" si="11"/>
        <v>物业管理</v>
      </c>
      <c r="R34" s="1566" t="s">
        <v>8</v>
      </c>
      <c r="S34" s="1567">
        <f t="shared" si="12"/>
        <v>100</v>
      </c>
      <c r="T34" s="1566" t="s">
        <v>8</v>
      </c>
      <c r="U34" s="1567">
        <f t="shared" si="13"/>
        <v>100</v>
      </c>
      <c r="V34" s="1566" t="s">
        <v>8</v>
      </c>
      <c r="W34" s="1567">
        <f t="shared" si="14"/>
        <v>100</v>
      </c>
      <c r="X34" s="1568"/>
      <c r="Y34" s="3292"/>
      <c r="Z34" s="1148" t="str">
        <f t="shared" si="15"/>
        <v>物业管理</v>
      </c>
      <c r="AA34" s="1569">
        <f t="shared" si="3"/>
        <v>1</v>
      </c>
      <c r="AB34" s="1569">
        <f t="shared" si="4"/>
        <v>1</v>
      </c>
      <c r="AC34" s="1569">
        <f t="shared" si="5"/>
        <v>1</v>
      </c>
    </row>
    <row r="35" spans="1:29" ht="15">
      <c r="A35" s="592"/>
      <c r="B35" s="1892" t="s">
        <v>2568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292" t="s">
        <v>551</v>
      </c>
      <c r="Q35" s="1570" t="str">
        <f t="shared" si="11"/>
        <v>市政基础设施</v>
      </c>
      <c r="R35" s="1571" t="s">
        <v>8</v>
      </c>
      <c r="S35" s="1572">
        <f t="shared" si="12"/>
        <v>100</v>
      </c>
      <c r="T35" s="1571" t="s">
        <v>8</v>
      </c>
      <c r="U35" s="1572">
        <f t="shared" si="13"/>
        <v>100</v>
      </c>
      <c r="V35" s="1571" t="s">
        <v>8</v>
      </c>
      <c r="W35" s="1572">
        <f t="shared" si="14"/>
        <v>100</v>
      </c>
      <c r="X35" s="1565"/>
      <c r="Y35" s="3292" t="s">
        <v>551</v>
      </c>
      <c r="Z35" s="1573" t="str">
        <f t="shared" si="15"/>
        <v>市政基础设施</v>
      </c>
      <c r="AA35" s="1574">
        <f t="shared" si="3"/>
        <v>1</v>
      </c>
      <c r="AB35" s="1574">
        <f t="shared" si="4"/>
        <v>1</v>
      </c>
      <c r="AC35" s="1574">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292"/>
      <c r="Q36" s="1570" t="str">
        <f t="shared" si="11"/>
        <v>内部装修</v>
      </c>
      <c r="R36" s="1571" t="s">
        <v>8</v>
      </c>
      <c r="S36" s="1572">
        <f t="shared" si="12"/>
        <v>100</v>
      </c>
      <c r="T36" s="1571" t="s">
        <v>8</v>
      </c>
      <c r="U36" s="1572">
        <f t="shared" si="13"/>
        <v>100</v>
      </c>
      <c r="V36" s="1571" t="s">
        <v>8</v>
      </c>
      <c r="W36" s="1572">
        <f t="shared" si="14"/>
        <v>100</v>
      </c>
      <c r="X36" s="1565"/>
      <c r="Y36" s="3292"/>
      <c r="Z36" s="1573" t="str">
        <f t="shared" si="15"/>
        <v>内部装修</v>
      </c>
      <c r="AA36" s="1574">
        <f t="shared" si="3"/>
        <v>1</v>
      </c>
      <c r="AB36" s="1574">
        <f t="shared" si="4"/>
        <v>1</v>
      </c>
      <c r="AC36" s="1574">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292"/>
      <c r="Q37" s="1570" t="str">
        <f t="shared" si="11"/>
        <v>内部装修状况</v>
      </c>
      <c r="R37" s="1571" t="s">
        <v>8</v>
      </c>
      <c r="S37" s="1572">
        <f t="shared" si="12"/>
        <v>100</v>
      </c>
      <c r="T37" s="1571" t="s">
        <v>8</v>
      </c>
      <c r="U37" s="1572">
        <f t="shared" si="13"/>
        <v>100</v>
      </c>
      <c r="V37" s="1571" t="s">
        <v>8</v>
      </c>
      <c r="W37" s="1572">
        <f t="shared" si="14"/>
        <v>100</v>
      </c>
      <c r="X37" s="1565"/>
      <c r="Y37" s="3292"/>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292"/>
      <c r="Q38" s="1603">
        <f t="shared" si="11"/>
        <v>111</v>
      </c>
      <c r="R38" s="1575" t="s">
        <v>8</v>
      </c>
      <c r="S38" s="1576">
        <f t="shared" si="12"/>
        <v>100</v>
      </c>
      <c r="T38" s="1575" t="s">
        <v>8</v>
      </c>
      <c r="U38" s="1576">
        <f t="shared" si="13"/>
        <v>100</v>
      </c>
      <c r="V38" s="1575" t="s">
        <v>8</v>
      </c>
      <c r="W38" s="1576">
        <f t="shared" si="14"/>
        <v>100</v>
      </c>
      <c r="X38" s="1577"/>
      <c r="Y38" s="3292"/>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292"/>
      <c r="Q39" s="1570">
        <f t="shared" si="11"/>
        <v>111</v>
      </c>
      <c r="R39" s="1571" t="s">
        <v>8</v>
      </c>
      <c r="S39" s="1572">
        <f t="shared" si="12"/>
        <v>100</v>
      </c>
      <c r="T39" s="1571" t="s">
        <v>8</v>
      </c>
      <c r="U39" s="1572">
        <f t="shared" si="13"/>
        <v>100</v>
      </c>
      <c r="V39" s="1571" t="s">
        <v>8</v>
      </c>
      <c r="W39" s="1572">
        <f t="shared" si="14"/>
        <v>100</v>
      </c>
      <c r="X39" s="1565"/>
      <c r="Y39" s="3292"/>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388"/>
      <c r="Q40" s="1570">
        <f t="shared" si="11"/>
        <v>111</v>
      </c>
      <c r="R40" s="1571" t="s">
        <v>8</v>
      </c>
      <c r="S40" s="1572">
        <f t="shared" si="12"/>
        <v>100</v>
      </c>
      <c r="T40" s="1571" t="s">
        <v>8</v>
      </c>
      <c r="U40" s="1572">
        <f t="shared" si="13"/>
        <v>100</v>
      </c>
      <c r="V40" s="1571" t="s">
        <v>8</v>
      </c>
      <c r="W40" s="1572">
        <f t="shared" si="14"/>
        <v>100</v>
      </c>
      <c r="X40" s="1565"/>
      <c r="Y40" s="3388"/>
      <c r="Z40" s="1573">
        <f t="shared" si="15"/>
        <v>111</v>
      </c>
      <c r="AA40" s="1574">
        <f t="shared" si="3"/>
        <v>1</v>
      </c>
      <c r="AB40" s="1574">
        <f t="shared" si="4"/>
        <v>1</v>
      </c>
      <c r="AC40" s="1574">
        <f t="shared" si="5"/>
        <v>1</v>
      </c>
    </row>
    <row r="41" spans="1:29" ht="15">
      <c r="A41" s="605" t="s">
        <v>737</v>
      </c>
      <c r="B41" s="885"/>
      <c r="C41" s="2645" t="s">
        <v>1</v>
      </c>
      <c r="D41" s="2646"/>
      <c r="E41" s="2647"/>
      <c r="F41" s="2648"/>
      <c r="G41" s="2649"/>
      <c r="H41" s="2650"/>
      <c r="I41" s="2647"/>
      <c r="J41" s="2650"/>
      <c r="K41" s="1609"/>
      <c r="L41" s="2141"/>
      <c r="M41" s="2142"/>
      <c r="N41" s="2131"/>
      <c r="O41" s="2142"/>
      <c r="P41" s="3287" t="str">
        <f>A41</f>
        <v>成交单价（元/平方米）</v>
      </c>
      <c r="Q41" s="3287"/>
      <c r="R41" s="3387">
        <f>E41</f>
        <v>0</v>
      </c>
      <c r="S41" s="3387"/>
      <c r="T41" s="3387">
        <f>G41</f>
        <v>0</v>
      </c>
      <c r="U41" s="3387"/>
      <c r="V41" s="3387">
        <f>I41</f>
        <v>0</v>
      </c>
      <c r="W41" s="3387"/>
      <c r="X41" s="1557"/>
      <c r="Y41" s="1579"/>
      <c r="Z41" s="1557"/>
      <c r="AA41" s="1557"/>
      <c r="AB41" s="1557"/>
      <c r="AC41" s="1557"/>
    </row>
    <row r="42" spans="1:29" ht="15.75" thickBot="1">
      <c r="A42" s="613" t="s">
        <v>2765</v>
      </c>
      <c r="B42" s="886"/>
      <c r="C42" s="2651" t="e">
        <f>R43</f>
        <v>#DIV/0!</v>
      </c>
      <c r="D42" s="2652"/>
      <c r="E42" s="2653" t="e">
        <f>R42</f>
        <v>#DIV/0!</v>
      </c>
      <c r="F42" s="2653"/>
      <c r="G42" s="2651" t="e">
        <f>T42</f>
        <v>#DIV/0!</v>
      </c>
      <c r="H42" s="2652"/>
      <c r="I42" s="2653" t="e">
        <f>V42</f>
        <v>#DIV/0!</v>
      </c>
      <c r="J42" s="2652"/>
      <c r="K42" s="1610"/>
      <c r="L42" s="2141"/>
      <c r="M42" s="2142"/>
      <c r="N42" s="2131"/>
      <c r="O42" s="2142"/>
      <c r="P42" s="3287" t="str">
        <f>A42</f>
        <v>比较价格（元/平方米）</v>
      </c>
      <c r="Q42" s="3287"/>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1557"/>
      <c r="Y42" s="1557"/>
      <c r="Z42" s="1557"/>
      <c r="AA42" s="1557"/>
      <c r="AB42" s="1557"/>
      <c r="AC42" s="1557"/>
    </row>
    <row r="43" spans="1:29" ht="15.75" thickBot="1">
      <c r="A43" s="619" t="s">
        <v>2939</v>
      </c>
      <c r="B43" s="620"/>
      <c r="C43" s="2654" t="e">
        <f>R43</f>
        <v>#DIV/0!</v>
      </c>
      <c r="D43" s="2654"/>
      <c r="E43" s="2654"/>
      <c r="F43" s="2654"/>
      <c r="G43" s="2654"/>
      <c r="H43" s="2654"/>
      <c r="I43" s="2654"/>
      <c r="J43" s="2654"/>
      <c r="K43" s="1611"/>
      <c r="L43" s="2141"/>
      <c r="M43" s="2142"/>
      <c r="N43" s="2142"/>
      <c r="O43" s="2142"/>
      <c r="P43" s="3308" t="str">
        <f>A43</f>
        <v>估价对象XX用房的比较价格（楼面单价，元/平方米）</v>
      </c>
      <c r="Q43" s="3309"/>
      <c r="R43" s="3386" t="e">
        <f>IF(F1="售价",ROUND(AVERAGE(R42:V42),0),ROUND(AVERAGE(R42:V42),1))</f>
        <v>#DIV/0!</v>
      </c>
      <c r="S43" s="3386"/>
      <c r="T43" s="3386"/>
      <c r="U43" s="3386"/>
      <c r="V43" s="3386"/>
      <c r="W43" s="3386"/>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575</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530</v>
      </c>
      <c r="B52" s="644"/>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576</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532</v>
      </c>
      <c r="B55" s="646"/>
      <c r="C55" s="658" t="s">
        <v>577</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578</v>
      </c>
      <c r="B57" s="663" t="s">
        <v>535</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540</v>
      </c>
      <c r="B70" s="663" t="s">
        <v>586</v>
      </c>
      <c r="C70" s="701" t="s">
        <v>580</v>
      </c>
      <c r="D70" s="701" t="s">
        <v>581</v>
      </c>
      <c r="E70" s="701" t="s">
        <v>582</v>
      </c>
      <c r="F70" s="701" t="s">
        <v>583</v>
      </c>
      <c r="G70" s="701" t="s">
        <v>584</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587</v>
      </c>
      <c r="C72" s="706" t="s">
        <v>580</v>
      </c>
      <c r="D72" s="706" t="s">
        <v>581</v>
      </c>
      <c r="E72" s="706" t="s">
        <v>582</v>
      </c>
      <c r="F72" s="706" t="s">
        <v>583</v>
      </c>
      <c r="G72" s="706" t="s">
        <v>584</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2560</v>
      </c>
      <c r="C74" s="706" t="s">
        <v>580</v>
      </c>
      <c r="D74" s="706" t="s">
        <v>581</v>
      </c>
      <c r="E74" s="706" t="s">
        <v>582</v>
      </c>
      <c r="F74" s="706" t="s">
        <v>583</v>
      </c>
      <c r="G74" s="706" t="s">
        <v>584</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5" t="s">
        <v>2561</v>
      </c>
      <c r="C76" s="2616" t="s">
        <v>2562</v>
      </c>
      <c r="D76" s="2616" t="s">
        <v>2563</v>
      </c>
      <c r="E76" s="2616" t="s">
        <v>2564</v>
      </c>
      <c r="F76" s="2616" t="s">
        <v>2565</v>
      </c>
      <c r="G76" s="2616" t="s">
        <v>2566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785</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552</v>
      </c>
      <c r="B88" s="663" t="s">
        <v>748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750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752</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754</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756</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K20" sqref="K20"/>
    </sheetView>
  </sheetViews>
  <sheetFormatPr defaultRowHeight="14.25"/>
  <cols>
    <col min="1" max="1" width="10.5" style="1335" customWidth="1"/>
    <col min="2" max="2" width="15.75" style="1335" customWidth="1"/>
    <col min="3" max="3" width="1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t="s">
        <v>2994</v>
      </c>
      <c r="C1" s="502" t="s">
        <v>793</v>
      </c>
      <c r="D1" s="847" t="s">
        <v>35</v>
      </c>
      <c r="E1" s="504"/>
      <c r="F1" s="2827" t="s">
        <v>3128</v>
      </c>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f>IF(B37="元/平方米",ROUND(B3*D3/10000,0),ROUND(F3*C39/10000,0))</f>
        <v>43922</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f>IF(B37="元/平方米",C39,ROUND(B2*10000/D3,0))</f>
        <v>2883</v>
      </c>
      <c r="C3" s="850" t="s">
        <v>797</v>
      </c>
      <c r="D3" s="849">
        <f>SUMIF('数据-汇总表'!$C19:$C33,D1,'数据-汇总表'!$E19:$E33)</f>
        <v>152374.15</v>
      </c>
      <c r="E3" s="1845" t="s">
        <v>2077</v>
      </c>
      <c r="F3" s="849">
        <f>SUMIF('数据-取费表'!A5:A15,D1,'数据-取费表'!AH5:AH15)</f>
        <v>3370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293" t="s">
        <v>799</v>
      </c>
      <c r="D4" s="3294"/>
      <c r="E4" s="3293" t="s">
        <v>800</v>
      </c>
      <c r="F4" s="3294"/>
      <c r="G4" s="3293" t="s">
        <v>801</v>
      </c>
      <c r="H4" s="3294"/>
      <c r="I4" s="3293" t="s">
        <v>802</v>
      </c>
      <c r="J4" s="3294"/>
      <c r="K4" s="512" t="s">
        <v>803</v>
      </c>
      <c r="L4" s="2130"/>
      <c r="M4" s="2131"/>
      <c r="N4" s="2131"/>
      <c r="O4" s="2131"/>
      <c r="P4" s="3295" t="s">
        <v>804</v>
      </c>
      <c r="Q4" s="3296"/>
      <c r="R4" s="3281" t="s">
        <v>800</v>
      </c>
      <c r="S4" s="3282"/>
      <c r="T4" s="3281" t="s">
        <v>801</v>
      </c>
      <c r="U4" s="3282"/>
      <c r="V4" s="3301" t="s">
        <v>802</v>
      </c>
      <c r="W4" s="3301"/>
      <c r="X4" s="1565"/>
      <c r="Y4" s="3281" t="s">
        <v>804</v>
      </c>
      <c r="Z4" s="3282"/>
      <c r="AA4" s="3276" t="s">
        <v>800</v>
      </c>
      <c r="AB4" s="3277" t="s">
        <v>801</v>
      </c>
      <c r="AC4" s="3276" t="s">
        <v>802</v>
      </c>
    </row>
    <row r="5" spans="1:29" ht="15">
      <c r="A5" s="513"/>
      <c r="B5" s="514"/>
      <c r="C5" s="3304" t="s">
        <v>2933</v>
      </c>
      <c r="D5" s="3305"/>
      <c r="E5" s="3410" t="s">
        <v>3073</v>
      </c>
      <c r="F5" s="3411"/>
      <c r="G5" s="3402" t="s">
        <v>3074</v>
      </c>
      <c r="H5" s="3403"/>
      <c r="I5" s="3402" t="s">
        <v>3075</v>
      </c>
      <c r="J5" s="3403"/>
      <c r="K5" s="512"/>
      <c r="L5" s="2130"/>
      <c r="M5" s="2131"/>
      <c r="N5" s="2131"/>
      <c r="O5" s="2131"/>
      <c r="P5" s="3297"/>
      <c r="Q5" s="3298"/>
      <c r="R5" s="3283"/>
      <c r="S5" s="3284"/>
      <c r="T5" s="3283"/>
      <c r="U5" s="3284"/>
      <c r="V5" s="3301"/>
      <c r="W5" s="3301"/>
      <c r="X5" s="1565"/>
      <c r="Y5" s="3283"/>
      <c r="Z5" s="3284"/>
      <c r="AA5" s="3277"/>
      <c r="AB5" s="3277"/>
      <c r="AC5" s="3277"/>
    </row>
    <row r="6" spans="1:29" ht="15.75" thickBot="1">
      <c r="A6" s="515"/>
      <c r="B6" s="516"/>
      <c r="C6" s="3302" t="s">
        <v>2937</v>
      </c>
      <c r="D6" s="3303"/>
      <c r="E6" s="3412" t="s">
        <v>3076</v>
      </c>
      <c r="F6" s="3413"/>
      <c r="G6" s="3406" t="s">
        <v>3077</v>
      </c>
      <c r="H6" s="3407"/>
      <c r="I6" s="3406" t="s">
        <v>3078</v>
      </c>
      <c r="J6" s="3407"/>
      <c r="K6" s="512" t="s">
        <v>529</v>
      </c>
      <c r="L6" s="2130"/>
      <c r="M6" s="2131"/>
      <c r="N6" s="2131"/>
      <c r="O6" s="2131"/>
      <c r="P6" s="3299"/>
      <c r="Q6" s="3300"/>
      <c r="R6" s="3283"/>
      <c r="S6" s="3284"/>
      <c r="T6" s="3285"/>
      <c r="U6" s="3286"/>
      <c r="V6" s="3301"/>
      <c r="W6" s="3301"/>
      <c r="X6" s="1565"/>
      <c r="Y6" s="3285"/>
      <c r="Z6" s="3286"/>
      <c r="AA6" s="3278"/>
      <c r="AB6" s="3278"/>
      <c r="AC6" s="3278"/>
    </row>
    <row r="7" spans="1:29" s="1218" customFormat="1" ht="15.75" thickBot="1">
      <c r="A7" s="2875"/>
      <c r="B7" s="2882" t="s">
        <v>530</v>
      </c>
      <c r="C7" s="517">
        <f>'数据-取费表'!B2</f>
        <v>43054</v>
      </c>
      <c r="D7" s="518">
        <v>100</v>
      </c>
      <c r="E7" s="519">
        <f>C7</f>
        <v>43054</v>
      </c>
      <c r="F7" s="520">
        <f>SUMIF(48:48,YEAR(E7)&amp;"-"&amp;MONTH(E7),49:49)</f>
        <v>100</v>
      </c>
      <c r="G7" s="521">
        <f>C7</f>
        <v>43054</v>
      </c>
      <c r="H7" s="518">
        <f>SUMIF(48:48,YEAR(G7)&amp;"-"&amp;MONTH(G7),49:49)</f>
        <v>100</v>
      </c>
      <c r="I7" s="521">
        <f>C7</f>
        <v>43054</v>
      </c>
      <c r="J7" s="518">
        <f>SUMIF(48:48,YEAR(I7)&amp;"-"&amp;MONTH(I7),49:49)</f>
        <v>100</v>
      </c>
      <c r="K7" s="522"/>
      <c r="L7" s="2132"/>
      <c r="M7" s="2133"/>
      <c r="N7" s="2133"/>
      <c r="O7" s="2133"/>
      <c r="P7" s="3279" t="s">
        <v>531</v>
      </c>
      <c r="Q7" s="3288"/>
      <c r="R7" s="1566" t="s">
        <v>8</v>
      </c>
      <c r="S7" s="1567">
        <f t="shared" ref="S7:S14" si="0">F7</f>
        <v>100</v>
      </c>
      <c r="T7" s="1566" t="s">
        <v>8</v>
      </c>
      <c r="U7" s="1567">
        <f t="shared" ref="U7:U14" si="1">H7</f>
        <v>100</v>
      </c>
      <c r="V7" s="1566" t="s">
        <v>8</v>
      </c>
      <c r="W7" s="1567">
        <f t="shared" ref="W7:W14" si="2">J7</f>
        <v>100</v>
      </c>
      <c r="X7" s="1568"/>
      <c r="Y7" s="3279" t="s">
        <v>531</v>
      </c>
      <c r="Z7" s="3280"/>
      <c r="AA7" s="1569">
        <f>D7/F7</f>
        <v>1</v>
      </c>
      <c r="AB7" s="1569">
        <f>D7/H7</f>
        <v>1</v>
      </c>
      <c r="AC7" s="1569">
        <f>D7/J7</f>
        <v>1</v>
      </c>
    </row>
    <row r="8" spans="1:29" s="1218" customFormat="1" ht="15.75" thickBot="1">
      <c r="A8" s="2876"/>
      <c r="B8" s="2883" t="s">
        <v>532</v>
      </c>
      <c r="C8" s="523" t="s">
        <v>577</v>
      </c>
      <c r="D8" s="518">
        <v>100</v>
      </c>
      <c r="E8" s="523" t="s">
        <v>3031</v>
      </c>
      <c r="F8" s="520">
        <f>SUMIF(51:51,E8,52:52)-SUMIF(51:51,C8,52:52)+100</f>
        <v>100</v>
      </c>
      <c r="G8" s="523" t="s">
        <v>3031</v>
      </c>
      <c r="H8" s="518">
        <f>SUMIF(51:51,G8,52:52)-SUMIF(51:51,C8,52:52)+100</f>
        <v>100</v>
      </c>
      <c r="I8" s="523" t="s">
        <v>3031</v>
      </c>
      <c r="J8" s="518">
        <f>SUMIF(51:51,I8,52:52)-SUMIF(51:51,C8,52:52)+100</f>
        <v>100</v>
      </c>
      <c r="K8" s="522"/>
      <c r="L8" s="2132"/>
      <c r="M8" s="2133"/>
      <c r="N8" s="2133"/>
      <c r="O8" s="2133"/>
      <c r="P8" s="3279" t="s">
        <v>534</v>
      </c>
      <c r="Q8" s="3280"/>
      <c r="R8" s="1566" t="s">
        <v>8</v>
      </c>
      <c r="S8" s="1567">
        <f t="shared" si="0"/>
        <v>100</v>
      </c>
      <c r="T8" s="1566" t="s">
        <v>8</v>
      </c>
      <c r="U8" s="1567">
        <f t="shared" si="1"/>
        <v>100</v>
      </c>
      <c r="V8" s="1566" t="s">
        <v>8</v>
      </c>
      <c r="W8" s="1567">
        <f t="shared" si="2"/>
        <v>100</v>
      </c>
      <c r="X8" s="1568"/>
      <c r="Y8" s="3279" t="s">
        <v>534</v>
      </c>
      <c r="Z8" s="3280"/>
      <c r="AA8" s="1569">
        <f t="shared" ref="AA8:AA36" si="3">D8/F8</f>
        <v>1</v>
      </c>
      <c r="AB8" s="1569">
        <f t="shared" ref="AB8:AB36" si="4">D8/H8</f>
        <v>1</v>
      </c>
      <c r="AC8" s="1569">
        <f t="shared" ref="AC8:AC36" si="5">D8/J8</f>
        <v>1</v>
      </c>
    </row>
    <row r="9" spans="1:29" s="1218" customFormat="1" ht="15">
      <c r="A9" s="2877"/>
      <c r="B9" s="2884" t="s">
        <v>2761</v>
      </c>
      <c r="C9" s="3414" t="s">
        <v>3129</v>
      </c>
      <c r="D9" s="254">
        <v>100</v>
      </c>
      <c r="E9" s="858" t="s">
        <v>35</v>
      </c>
      <c r="F9" s="254">
        <f>SUMIF(53:53,E9,54:54)-SUMIF(53:53,C9,54:54)+100</f>
        <v>100</v>
      </c>
      <c r="G9" s="856" t="s">
        <v>35</v>
      </c>
      <c r="H9" s="254">
        <f>SUMIF(53:53,G9,54:54)-SUMIF(53:53,C9,54:54)+100</f>
        <v>100</v>
      </c>
      <c r="I9" s="856" t="s">
        <v>35</v>
      </c>
      <c r="J9" s="254">
        <f>SUMIF(53:53,I9,54:54)-SUMIF(53:53,C9,54:54)+100</f>
        <v>100</v>
      </c>
      <c r="K9" s="522"/>
      <c r="L9" s="2132"/>
      <c r="M9" s="2133"/>
      <c r="N9" s="2133"/>
      <c r="O9" s="2134"/>
      <c r="P9" s="3287" t="s">
        <v>536</v>
      </c>
      <c r="Q9" s="1149" t="str">
        <f t="shared" ref="Q9:Q14" si="6">B9</f>
        <v>用途</v>
      </c>
      <c r="R9" s="1566" t="s">
        <v>8</v>
      </c>
      <c r="S9" s="1567">
        <f t="shared" si="0"/>
        <v>100</v>
      </c>
      <c r="T9" s="1566" t="s">
        <v>8</v>
      </c>
      <c r="U9" s="1567">
        <f t="shared" si="1"/>
        <v>100</v>
      </c>
      <c r="V9" s="1566" t="s">
        <v>8</v>
      </c>
      <c r="W9" s="1567">
        <f t="shared" si="2"/>
        <v>100</v>
      </c>
      <c r="X9" s="1568"/>
      <c r="Y9" s="3244" t="s">
        <v>537</v>
      </c>
      <c r="Z9" s="1148" t="str">
        <f t="shared" ref="Z9:Z14" si="7">Q9</f>
        <v>用途</v>
      </c>
      <c r="AA9" s="1569">
        <f t="shared" si="3"/>
        <v>1</v>
      </c>
      <c r="AB9" s="1569">
        <f t="shared" si="4"/>
        <v>1</v>
      </c>
      <c r="AC9" s="1569">
        <f t="shared" si="5"/>
        <v>1</v>
      </c>
    </row>
    <row r="10" spans="1:29" s="1336" customFormat="1" ht="27.75" thickBot="1">
      <c r="A10" s="2878"/>
      <c r="B10" s="2883" t="s">
        <v>2762</v>
      </c>
      <c r="C10" s="859" t="s">
        <v>3130</v>
      </c>
      <c r="D10" s="255">
        <v>100</v>
      </c>
      <c r="E10" s="859" t="s">
        <v>3130</v>
      </c>
      <c r="F10" s="255">
        <f>SUMIF(55:55,E10,56:56)-SUMIF(55:55,C10,56:56)+100</f>
        <v>100</v>
      </c>
      <c r="G10" s="860" t="s">
        <v>3130</v>
      </c>
      <c r="H10" s="255">
        <f>SUMIF(55:55,G10,56:56)-SUMIF(55:55,C10,56:56)+100</f>
        <v>100</v>
      </c>
      <c r="I10" s="859" t="s">
        <v>3130</v>
      </c>
      <c r="J10" s="255">
        <f>SUMIF(55:55,I10,56:56)-SUMIF(55:55,C10,56:56)+100</f>
        <v>100</v>
      </c>
      <c r="K10" s="582"/>
      <c r="L10" s="2135"/>
      <c r="M10" s="2175"/>
      <c r="N10" s="2175"/>
      <c r="O10" s="2136"/>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 hidden="1">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7"/>
      <c r="M11" s="2131"/>
      <c r="N11" s="2131"/>
      <c r="O11" s="2138"/>
      <c r="P11" s="3287"/>
      <c r="Q11" s="1149">
        <f t="shared" si="6"/>
        <v>111</v>
      </c>
      <c r="R11" s="1566" t="s">
        <v>8</v>
      </c>
      <c r="S11" s="1567">
        <f t="shared" si="0"/>
        <v>100</v>
      </c>
      <c r="T11" s="1566" t="s">
        <v>8</v>
      </c>
      <c r="U11" s="1567">
        <f t="shared" si="1"/>
        <v>100</v>
      </c>
      <c r="V11" s="1566" t="s">
        <v>8</v>
      </c>
      <c r="W11" s="1567">
        <f t="shared" si="2"/>
        <v>100</v>
      </c>
      <c r="X11" s="1568"/>
      <c r="Y11" s="3244"/>
      <c r="Z11" s="1148">
        <f t="shared" si="7"/>
        <v>111</v>
      </c>
      <c r="AA11" s="1569">
        <f t="shared" si="3"/>
        <v>1</v>
      </c>
      <c r="AB11" s="1569">
        <f t="shared" si="4"/>
        <v>1</v>
      </c>
      <c r="AC11" s="1569">
        <f t="shared" si="5"/>
        <v>1</v>
      </c>
    </row>
    <row r="12" spans="1:29" s="1218" customFormat="1" ht="15" hidden="1">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32"/>
      <c r="M12" s="2133"/>
      <c r="N12" s="2133"/>
      <c r="O12" s="2134"/>
      <c r="P12" s="3287"/>
      <c r="Q12" s="1149">
        <f t="shared" si="6"/>
        <v>111</v>
      </c>
      <c r="R12" s="1566" t="s">
        <v>8</v>
      </c>
      <c r="S12" s="1567">
        <f t="shared" si="0"/>
        <v>100</v>
      </c>
      <c r="T12" s="1566" t="s">
        <v>8</v>
      </c>
      <c r="U12" s="1567">
        <f t="shared" si="1"/>
        <v>100</v>
      </c>
      <c r="V12" s="1566" t="s">
        <v>8</v>
      </c>
      <c r="W12" s="1567">
        <f t="shared" si="2"/>
        <v>100</v>
      </c>
      <c r="X12" s="1568"/>
      <c r="Y12" s="3244"/>
      <c r="Z12" s="1148">
        <f t="shared" si="7"/>
        <v>111</v>
      </c>
      <c r="AA12" s="1569">
        <f>D12/F12</f>
        <v>1</v>
      </c>
      <c r="AB12" s="1569">
        <f>D12/H12</f>
        <v>1</v>
      </c>
      <c r="AC12" s="1569">
        <f>D12/J12</f>
        <v>1</v>
      </c>
    </row>
    <row r="13" spans="1:29" ht="15.75" hidden="1"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9"/>
      <c r="M13" s="2131"/>
      <c r="N13" s="2131"/>
      <c r="O13" s="2138"/>
      <c r="P13" s="3287"/>
      <c r="Q13" s="1149">
        <f t="shared" si="6"/>
        <v>111</v>
      </c>
      <c r="R13" s="1566" t="s">
        <v>8</v>
      </c>
      <c r="S13" s="1567">
        <f t="shared" si="0"/>
        <v>100</v>
      </c>
      <c r="T13" s="1566" t="s">
        <v>8</v>
      </c>
      <c r="U13" s="1567">
        <f t="shared" si="1"/>
        <v>100</v>
      </c>
      <c r="V13" s="1566" t="s">
        <v>8</v>
      </c>
      <c r="W13" s="1567">
        <f t="shared" si="2"/>
        <v>100</v>
      </c>
      <c r="X13" s="1568"/>
      <c r="Y13" s="3244"/>
      <c r="Z13" s="1148">
        <f t="shared" si="7"/>
        <v>111</v>
      </c>
      <c r="AA13" s="1569">
        <f t="shared" si="3"/>
        <v>1</v>
      </c>
      <c r="AB13" s="1569">
        <f t="shared" si="4"/>
        <v>1</v>
      </c>
      <c r="AC13" s="1569">
        <f t="shared" si="5"/>
        <v>1</v>
      </c>
    </row>
    <row r="14" spans="1:29" ht="71.25">
      <c r="A14" s="2873" t="s">
        <v>2759</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f>'比较法-住宅、综合'!K23</f>
        <v>2</v>
      </c>
      <c r="L14" s="2139"/>
      <c r="M14" s="2131"/>
      <c r="N14" s="2131"/>
      <c r="O14" s="2138"/>
      <c r="P14" s="3289" t="s">
        <v>541</v>
      </c>
      <c r="Q14" s="1570" t="str">
        <f t="shared" si="6"/>
        <v>交通便捷度</v>
      </c>
      <c r="R14" s="1571" t="s">
        <v>8</v>
      </c>
      <c r="S14" s="1572">
        <f t="shared" si="0"/>
        <v>100</v>
      </c>
      <c r="T14" s="1571" t="s">
        <v>8</v>
      </c>
      <c r="U14" s="1572">
        <f t="shared" si="1"/>
        <v>100</v>
      </c>
      <c r="V14" s="1571" t="s">
        <v>8</v>
      </c>
      <c r="W14" s="1572">
        <f t="shared" si="2"/>
        <v>100</v>
      </c>
      <c r="X14" s="1565"/>
      <c r="Y14" s="3289" t="s">
        <v>541</v>
      </c>
      <c r="Z14" s="1573" t="str">
        <f t="shared" si="7"/>
        <v>交通便捷度</v>
      </c>
      <c r="AA14" s="1574">
        <f t="shared" si="3"/>
        <v>1</v>
      </c>
      <c r="AB14" s="1574">
        <f t="shared" si="4"/>
        <v>1</v>
      </c>
      <c r="AC14" s="1574">
        <f t="shared" si="5"/>
        <v>1</v>
      </c>
    </row>
    <row r="15" spans="1:29" ht="15">
      <c r="A15" s="513"/>
      <c r="B15" s="922"/>
      <c r="C15" s="574" t="s">
        <v>3040</v>
      </c>
      <c r="D15" s="553"/>
      <c r="E15" s="574" t="s">
        <v>3040</v>
      </c>
      <c r="F15" s="555"/>
      <c r="G15" s="574" t="s">
        <v>3040</v>
      </c>
      <c r="H15" s="557"/>
      <c r="I15" s="574" t="s">
        <v>3040</v>
      </c>
      <c r="J15" s="553"/>
      <c r="K15" s="897"/>
      <c r="L15" s="2139"/>
      <c r="M15" s="2131"/>
      <c r="N15" s="2131"/>
      <c r="O15" s="2138"/>
      <c r="P15" s="3290"/>
      <c r="Q15" s="1570"/>
      <c r="R15" s="1571"/>
      <c r="S15" s="1572"/>
      <c r="T15" s="1571"/>
      <c r="U15" s="1572"/>
      <c r="V15" s="1571"/>
      <c r="W15" s="1572"/>
      <c r="X15" s="1565"/>
      <c r="Y15" s="3290"/>
      <c r="Z15" s="1573"/>
      <c r="AA15" s="1574">
        <v>1</v>
      </c>
      <c r="AB15" s="1574">
        <v>1</v>
      </c>
      <c r="AC15" s="1574">
        <v>1</v>
      </c>
    </row>
    <row r="16" spans="1:29" ht="42.75">
      <c r="A16" s="513"/>
      <c r="B16" s="2621" t="s">
        <v>2549</v>
      </c>
      <c r="C16" s="870" t="str">
        <f>IF(B1="工业",估价对象房地状况!G5,估价对象房地状况!C7)</f>
        <v>估价对象所在区域公共配套设施齐备情况</v>
      </c>
      <c r="D16" s="563">
        <v>100</v>
      </c>
      <c r="E16" s="570"/>
      <c r="F16" s="569">
        <f>SUMIF(65:65,E17,66:66)-SUMIF(65:65,C17,66:66)+100</f>
        <v>98</v>
      </c>
      <c r="G16" s="570"/>
      <c r="H16" s="563">
        <f>SUMIF(65:65,G17,66:66)-SUMIF(65:65,C17,66:66)+100</f>
        <v>96</v>
      </c>
      <c r="I16" s="568"/>
      <c r="J16" s="563">
        <f>SUMIF(65:65,I17,66:66)-SUMIF(65:65,C17,66:66)+100</f>
        <v>98</v>
      </c>
      <c r="K16" s="896">
        <f>'比较法-住宅、综合'!K29</f>
        <v>2</v>
      </c>
      <c r="L16" s="2139"/>
      <c r="M16" s="2131"/>
      <c r="N16" s="2131"/>
      <c r="O16" s="2138"/>
      <c r="P16" s="3290"/>
      <c r="Q16" s="1570" t="str">
        <f>B16</f>
        <v>公共配套设施</v>
      </c>
      <c r="R16" s="1571" t="s">
        <v>8</v>
      </c>
      <c r="S16" s="1572">
        <f>F16</f>
        <v>98</v>
      </c>
      <c r="T16" s="1571" t="s">
        <v>8</v>
      </c>
      <c r="U16" s="1572">
        <f>H16</f>
        <v>96</v>
      </c>
      <c r="V16" s="1571" t="s">
        <v>8</v>
      </c>
      <c r="W16" s="1572">
        <f>J16</f>
        <v>98</v>
      </c>
      <c r="X16" s="1565"/>
      <c r="Y16" s="3290"/>
      <c r="Z16" s="1573" t="str">
        <f>Q16</f>
        <v>公共配套设施</v>
      </c>
      <c r="AA16" s="1574">
        <f t="shared" si="3"/>
        <v>1.0204081632653061</v>
      </c>
      <c r="AB16" s="1574">
        <f t="shared" si="4"/>
        <v>1.0416666666666667</v>
      </c>
      <c r="AC16" s="1574">
        <f t="shared" si="5"/>
        <v>1.0204081632653061</v>
      </c>
    </row>
    <row r="17" spans="1:29" ht="15">
      <c r="A17" s="513"/>
      <c r="B17" s="564"/>
      <c r="C17" s="871" t="s">
        <v>3040</v>
      </c>
      <c r="D17" s="553"/>
      <c r="E17" s="574" t="s">
        <v>3041</v>
      </c>
      <c r="F17" s="555"/>
      <c r="G17" s="574" t="s">
        <v>3042</v>
      </c>
      <c r="H17" s="553"/>
      <c r="I17" s="574" t="s">
        <v>3041</v>
      </c>
      <c r="J17" s="553"/>
      <c r="K17" s="897"/>
      <c r="L17" s="2139"/>
      <c r="M17" s="2131"/>
      <c r="N17" s="2131"/>
      <c r="O17" s="2138"/>
      <c r="P17" s="3290"/>
      <c r="Q17" s="1570"/>
      <c r="R17" s="1571"/>
      <c r="S17" s="1572"/>
      <c r="T17" s="1571"/>
      <c r="U17" s="1572"/>
      <c r="V17" s="1571"/>
      <c r="W17" s="1572"/>
      <c r="X17" s="1565"/>
      <c r="Y17" s="3290"/>
      <c r="Z17" s="1573"/>
      <c r="AA17" s="1574">
        <v>1</v>
      </c>
      <c r="AB17" s="1574">
        <v>1</v>
      </c>
      <c r="AC17" s="1574">
        <v>1</v>
      </c>
    </row>
    <row r="18" spans="1:29" ht="28.5">
      <c r="A18" s="513"/>
      <c r="B18" s="2609" t="s">
        <v>2561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39"/>
      <c r="M18" s="2131"/>
      <c r="N18" s="2131"/>
      <c r="O18" s="2138"/>
      <c r="P18" s="3290"/>
      <c r="Q18" s="2597" t="str">
        <f>B18</f>
        <v>基础设施水平</v>
      </c>
      <c r="R18" s="1571" t="s">
        <v>8</v>
      </c>
      <c r="S18" s="1572">
        <f>F18</f>
        <v>100</v>
      </c>
      <c r="T18" s="1571" t="s">
        <v>8</v>
      </c>
      <c r="U18" s="1572">
        <f>H18</f>
        <v>100</v>
      </c>
      <c r="V18" s="1571" t="s">
        <v>8</v>
      </c>
      <c r="W18" s="1572">
        <f>J18</f>
        <v>100</v>
      </c>
      <c r="X18" s="2599"/>
      <c r="Y18" s="3290"/>
      <c r="Z18" s="2598" t="str">
        <f>Q18</f>
        <v>基础设施水平</v>
      </c>
      <c r="AA18" s="1574">
        <f t="shared" ref="AA18" si="8">D18/F18</f>
        <v>1</v>
      </c>
      <c r="AB18" s="1574">
        <f t="shared" ref="AB18" si="9">D18/H18</f>
        <v>1</v>
      </c>
      <c r="AC18" s="1574">
        <f t="shared" ref="AC18" si="10">D18/J18</f>
        <v>1</v>
      </c>
    </row>
    <row r="19" spans="1:29" ht="15">
      <c r="A19" s="513"/>
      <c r="B19" s="576"/>
      <c r="C19" s="871" t="s">
        <v>3043</v>
      </c>
      <c r="D19" s="557"/>
      <c r="E19" s="574" t="s">
        <v>3043</v>
      </c>
      <c r="F19" s="555"/>
      <c r="G19" s="574" t="s">
        <v>3043</v>
      </c>
      <c r="H19" s="553"/>
      <c r="I19" s="574" t="s">
        <v>3043</v>
      </c>
      <c r="J19" s="553"/>
      <c r="K19" s="2620"/>
      <c r="L19" s="2139"/>
      <c r="M19" s="2131"/>
      <c r="N19" s="2131"/>
      <c r="O19" s="2138"/>
      <c r="P19" s="3290"/>
      <c r="Q19" s="2597"/>
      <c r="R19" s="1571"/>
      <c r="S19" s="1572"/>
      <c r="T19" s="1571"/>
      <c r="U19" s="1572"/>
      <c r="V19" s="1571"/>
      <c r="W19" s="1572"/>
      <c r="X19" s="2599"/>
      <c r="Y19" s="3290"/>
      <c r="Z19" s="2598"/>
      <c r="AA19" s="1574">
        <v>1</v>
      </c>
      <c r="AB19" s="1574">
        <v>1</v>
      </c>
      <c r="AC19" s="1574">
        <v>1</v>
      </c>
    </row>
    <row r="20" spans="1:29" ht="42.75">
      <c r="A20" s="513"/>
      <c r="B20" s="558" t="s">
        <v>805</v>
      </c>
      <c r="C20" s="870" t="str">
        <f>IF(B1="工业",估价对象房地状况!G7,估价对象房地状况!C9)</f>
        <v>区域自然环境：；人文环境；综合评价环境状况一般</v>
      </c>
      <c r="D20" s="563">
        <v>100</v>
      </c>
      <c r="E20" s="560"/>
      <c r="F20" s="561">
        <f>SUMIF(69:69,E21,70:70)-SUMIF(69:69,C21,70:70)+100</f>
        <v>97</v>
      </c>
      <c r="G20" s="562"/>
      <c r="H20" s="557">
        <f>SUMIF(69:69,G21,70:70)-SUMIF(69:69,C21,70:70)+100</f>
        <v>94</v>
      </c>
      <c r="I20" s="560"/>
      <c r="J20" s="557">
        <f>SUMIF(69:69,I21,70:70)-SUMIF(69:69,C21,70:70)+100</f>
        <v>97</v>
      </c>
      <c r="K20" s="896">
        <f>'比较法-住宅、综合'!K27</f>
        <v>3</v>
      </c>
      <c r="L20" s="2139"/>
      <c r="M20" s="2131"/>
      <c r="N20" s="2131"/>
      <c r="O20" s="2138"/>
      <c r="P20" s="3290"/>
      <c r="Q20" s="1570" t="str">
        <f>B20</f>
        <v>自然及人文环境</v>
      </c>
      <c r="R20" s="1571" t="s">
        <v>8</v>
      </c>
      <c r="S20" s="1572">
        <f>F20</f>
        <v>97</v>
      </c>
      <c r="T20" s="1571" t="s">
        <v>8</v>
      </c>
      <c r="U20" s="1572">
        <f>H20</f>
        <v>94</v>
      </c>
      <c r="V20" s="1571" t="s">
        <v>8</v>
      </c>
      <c r="W20" s="1572">
        <f>J20</f>
        <v>97</v>
      </c>
      <c r="X20" s="1565"/>
      <c r="Y20" s="3290"/>
      <c r="Z20" s="1573" t="str">
        <f>Q20</f>
        <v>自然及人文环境</v>
      </c>
      <c r="AA20" s="1574">
        <f t="shared" si="3"/>
        <v>1.0309278350515463</v>
      </c>
      <c r="AB20" s="1574">
        <f t="shared" si="4"/>
        <v>1.0638297872340425</v>
      </c>
      <c r="AC20" s="1574">
        <f t="shared" si="5"/>
        <v>1.0309278350515463</v>
      </c>
    </row>
    <row r="21" spans="1:29" ht="15">
      <c r="A21" s="513"/>
      <c r="B21" s="564"/>
      <c r="C21" s="574" t="s">
        <v>3040</v>
      </c>
      <c r="D21" s="553"/>
      <c r="E21" s="574" t="s">
        <v>3041</v>
      </c>
      <c r="F21" s="555"/>
      <c r="G21" s="574" t="s">
        <v>3042</v>
      </c>
      <c r="H21" s="553"/>
      <c r="I21" s="574" t="s">
        <v>3041</v>
      </c>
      <c r="J21" s="553"/>
      <c r="K21" s="897"/>
      <c r="L21" s="2139"/>
      <c r="M21" s="2131"/>
      <c r="N21" s="2131"/>
      <c r="O21" s="2138"/>
      <c r="P21" s="3290"/>
      <c r="Q21" s="1570"/>
      <c r="R21" s="1571"/>
      <c r="S21" s="1572"/>
      <c r="T21" s="1571"/>
      <c r="U21" s="1572"/>
      <c r="V21" s="1571"/>
      <c r="W21" s="1572"/>
      <c r="X21" s="1565"/>
      <c r="Y21" s="3290"/>
      <c r="Z21" s="1573"/>
      <c r="AA21" s="1574">
        <v>1</v>
      </c>
      <c r="AB21" s="1574">
        <v>1</v>
      </c>
      <c r="AC21" s="1574">
        <v>1</v>
      </c>
    </row>
    <row r="22" spans="1:29" ht="15.75" thickBot="1">
      <c r="A22" s="513"/>
      <c r="B22" s="558" t="s">
        <v>806</v>
      </c>
      <c r="C22" s="581" t="s">
        <v>3133</v>
      </c>
      <c r="D22" s="557">
        <v>100</v>
      </c>
      <c r="E22" s="581" t="s">
        <v>3133</v>
      </c>
      <c r="F22" s="573">
        <f>SUMIF(71:71,E22,72:72)-SUMIF(71:71,C22,72:72)+100</f>
        <v>100</v>
      </c>
      <c r="G22" s="581" t="s">
        <v>3133</v>
      </c>
      <c r="H22" s="538">
        <f>SUMIF(71:71,G22,72:72)-SUMIF(71:71,C22,72:72)+100</f>
        <v>100</v>
      </c>
      <c r="I22" s="581" t="s">
        <v>3133</v>
      </c>
      <c r="J22" s="538">
        <f>SUMIF(71:71,I22,72:72)-SUMIF(71:71,C22,72:72)+100</f>
        <v>100</v>
      </c>
      <c r="K22" s="582">
        <v>5</v>
      </c>
      <c r="L22" s="2139"/>
      <c r="M22" s="2131"/>
      <c r="N22" s="2131"/>
      <c r="O22" s="2138"/>
      <c r="P22" s="3290"/>
      <c r="Q22" s="1570" t="str">
        <f>B22</f>
        <v>楼层</v>
      </c>
      <c r="R22" s="1571" t="s">
        <v>8</v>
      </c>
      <c r="S22" s="1572">
        <f>F22</f>
        <v>100</v>
      </c>
      <c r="T22" s="1571" t="s">
        <v>8</v>
      </c>
      <c r="U22" s="1572">
        <f>H22</f>
        <v>100</v>
      </c>
      <c r="V22" s="1571" t="s">
        <v>8</v>
      </c>
      <c r="W22" s="1572">
        <f>J22</f>
        <v>100</v>
      </c>
      <c r="X22" s="1565"/>
      <c r="Y22" s="3290"/>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290"/>
      <c r="Q23" s="1570">
        <f>B23</f>
        <v>111</v>
      </c>
      <c r="R23" s="1571" t="s">
        <v>8</v>
      </c>
      <c r="S23" s="1572">
        <f>F23</f>
        <v>100</v>
      </c>
      <c r="T23" s="1571" t="s">
        <v>8</v>
      </c>
      <c r="U23" s="1572">
        <f>H23</f>
        <v>100</v>
      </c>
      <c r="V23" s="1571" t="s">
        <v>8</v>
      </c>
      <c r="W23" s="1572">
        <f>J23</f>
        <v>100</v>
      </c>
      <c r="X23" s="1565"/>
      <c r="Y23" s="3290"/>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290"/>
      <c r="Q24" s="1570">
        <f t="shared" ref="Q24:Q36" si="11">B24</f>
        <v>111</v>
      </c>
      <c r="R24" s="1571" t="s">
        <v>8</v>
      </c>
      <c r="S24" s="1572">
        <f>F24</f>
        <v>100</v>
      </c>
      <c r="T24" s="1571" t="s">
        <v>8</v>
      </c>
      <c r="U24" s="1572">
        <f>H24</f>
        <v>100</v>
      </c>
      <c r="V24" s="1571" t="s">
        <v>8</v>
      </c>
      <c r="W24" s="1572">
        <f>J24</f>
        <v>100</v>
      </c>
      <c r="X24" s="1565"/>
      <c r="Y24" s="3290"/>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290"/>
      <c r="Q25" s="1149">
        <f t="shared" si="11"/>
        <v>111</v>
      </c>
      <c r="R25" s="1566" t="s">
        <v>8</v>
      </c>
      <c r="S25" s="1567">
        <f>F25</f>
        <v>100</v>
      </c>
      <c r="T25" s="1566" t="s">
        <v>8</v>
      </c>
      <c r="U25" s="1567">
        <f>H25</f>
        <v>100</v>
      </c>
      <c r="V25" s="1566" t="s">
        <v>8</v>
      </c>
      <c r="W25" s="1567">
        <f>J25</f>
        <v>100</v>
      </c>
      <c r="X25" s="1568"/>
      <c r="Y25" s="3290"/>
      <c r="Z25" s="1148">
        <f>Q25</f>
        <v>111</v>
      </c>
      <c r="AA25" s="1574">
        <f>D25/F25</f>
        <v>1</v>
      </c>
      <c r="AB25" s="1574">
        <f>D25/H25</f>
        <v>1</v>
      </c>
      <c r="AC25" s="1574">
        <f>D25/J25</f>
        <v>1</v>
      </c>
    </row>
    <row r="26" spans="1:29" ht="15">
      <c r="A26" s="2870" t="s">
        <v>2760</v>
      </c>
      <c r="B26" s="170" t="s">
        <v>807</v>
      </c>
      <c r="C26" s="926" t="str">
        <f>B1</f>
        <v>车库</v>
      </c>
      <c r="D26" s="553">
        <v>100</v>
      </c>
      <c r="E26" s="574" t="s">
        <v>2994</v>
      </c>
      <c r="F26" s="555">
        <f>SUMIF(79:79,E26,80:80)-SUMIF(79:79,C26,80:80)+100</f>
        <v>100</v>
      </c>
      <c r="G26" s="574" t="s">
        <v>2994</v>
      </c>
      <c r="H26" s="553">
        <f>SUMIF(79:79,G26,80:80)-SUMIF(79:79,C26,80:80)+100</f>
        <v>100</v>
      </c>
      <c r="I26" s="574" t="s">
        <v>2994</v>
      </c>
      <c r="J26" s="553">
        <f>SUMIF(79:79,I26,80:80)-SUMIF(79:79,C26,80:80)+100</f>
        <v>100</v>
      </c>
      <c r="K26" s="582"/>
      <c r="L26" s="2139"/>
      <c r="M26" s="2131"/>
      <c r="N26" s="2131"/>
      <c r="O26" s="2138"/>
      <c r="P26" s="3291"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292" t="s">
        <v>551</v>
      </c>
      <c r="Z26" s="1573" t="str">
        <f t="shared" ref="Z26:Z36" si="15">Q26</f>
        <v>配套类型</v>
      </c>
      <c r="AA26" s="1574">
        <f t="shared" si="3"/>
        <v>1</v>
      </c>
      <c r="AB26" s="1574">
        <f t="shared" si="4"/>
        <v>1</v>
      </c>
      <c r="AC26" s="1574">
        <f t="shared" si="5"/>
        <v>1</v>
      </c>
    </row>
    <row r="27" spans="1:29" s="1337" customFormat="1" ht="15" hidden="1">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292"/>
      <c r="Q27" s="1603" t="str">
        <f t="shared" si="11"/>
        <v>项目停车位配比</v>
      </c>
      <c r="R27" s="1575" t="s">
        <v>8</v>
      </c>
      <c r="S27" s="1576">
        <f t="shared" si="12"/>
        <v>100</v>
      </c>
      <c r="T27" s="1575" t="s">
        <v>8</v>
      </c>
      <c r="U27" s="1576">
        <f t="shared" si="13"/>
        <v>100</v>
      </c>
      <c r="V27" s="1575" t="s">
        <v>8</v>
      </c>
      <c r="W27" s="1576">
        <f t="shared" si="14"/>
        <v>100</v>
      </c>
      <c r="X27" s="1577"/>
      <c r="Y27" s="3292"/>
      <c r="Z27" s="1578" t="str">
        <f t="shared" si="15"/>
        <v>项目停车位配比</v>
      </c>
      <c r="AA27" s="1574">
        <f t="shared" si="3"/>
        <v>1</v>
      </c>
      <c r="AB27" s="1574">
        <f t="shared" si="4"/>
        <v>1</v>
      </c>
      <c r="AC27" s="1574">
        <f t="shared" si="5"/>
        <v>1</v>
      </c>
    </row>
    <row r="28" spans="1:29" ht="15">
      <c r="A28" s="929"/>
      <c r="B28" s="580" t="s">
        <v>809</v>
      </c>
      <c r="C28" s="572" t="s">
        <v>3117</v>
      </c>
      <c r="D28" s="538">
        <v>100</v>
      </c>
      <c r="E28" s="572" t="s">
        <v>3117</v>
      </c>
      <c r="F28" s="573">
        <f>SUMIF(83:83,E28,84:84)-SUMIF(83:83,C28,84:84)+100</f>
        <v>100</v>
      </c>
      <c r="G28" s="572" t="s">
        <v>3117</v>
      </c>
      <c r="H28" s="538">
        <f>SUMIF(83:83,G28,84:84)-SUMIF(83:83,C28,84:84)+100</f>
        <v>100</v>
      </c>
      <c r="I28" s="572" t="s">
        <v>3117</v>
      </c>
      <c r="J28" s="538">
        <f>SUMIF(83:83,I28,84:84)-SUMIF(83:83,C28,84:84)+100</f>
        <v>100</v>
      </c>
      <c r="K28" s="582"/>
      <c r="L28" s="2139"/>
      <c r="M28" s="2131"/>
      <c r="N28" s="2131"/>
      <c r="O28" s="2138"/>
      <c r="P28" s="3292"/>
      <c r="Q28" s="1570" t="str">
        <f t="shared" si="11"/>
        <v>公共部分装修</v>
      </c>
      <c r="R28" s="1571" t="s">
        <v>8</v>
      </c>
      <c r="S28" s="1572">
        <f t="shared" si="12"/>
        <v>100</v>
      </c>
      <c r="T28" s="1571" t="s">
        <v>8</v>
      </c>
      <c r="U28" s="1572">
        <f t="shared" si="13"/>
        <v>100</v>
      </c>
      <c r="V28" s="1571" t="s">
        <v>8</v>
      </c>
      <c r="W28" s="1572">
        <f t="shared" si="14"/>
        <v>100</v>
      </c>
      <c r="X28" s="1565"/>
      <c r="Y28" s="3292"/>
      <c r="Z28" s="1573" t="str">
        <f t="shared" si="15"/>
        <v>公共部分装修</v>
      </c>
      <c r="AA28" s="1574">
        <f t="shared" si="3"/>
        <v>1</v>
      </c>
      <c r="AB28" s="1574">
        <f t="shared" si="4"/>
        <v>1</v>
      </c>
      <c r="AC28" s="1574">
        <f t="shared" si="5"/>
        <v>1</v>
      </c>
    </row>
    <row r="29" spans="1:29" ht="15">
      <c r="A29" s="929"/>
      <c r="B29" s="580" t="s">
        <v>810</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c r="L29" s="2139"/>
      <c r="M29" s="2131"/>
      <c r="N29" s="2131"/>
      <c r="O29" s="2138"/>
      <c r="P29" s="3292"/>
      <c r="Q29" s="1570" t="str">
        <f t="shared" si="11"/>
        <v>成新率</v>
      </c>
      <c r="R29" s="1571" t="s">
        <v>8</v>
      </c>
      <c r="S29" s="1572">
        <f t="shared" si="12"/>
        <v>100</v>
      </c>
      <c r="T29" s="1571" t="s">
        <v>8</v>
      </c>
      <c r="U29" s="1572">
        <f t="shared" si="13"/>
        <v>100</v>
      </c>
      <c r="V29" s="1571" t="s">
        <v>8</v>
      </c>
      <c r="W29" s="1572">
        <f t="shared" si="14"/>
        <v>100</v>
      </c>
      <c r="X29" s="1565"/>
      <c r="Y29" s="3292"/>
      <c r="Z29" s="1573" t="str">
        <f t="shared" si="15"/>
        <v>成新率</v>
      </c>
      <c r="AA29" s="1574">
        <f t="shared" si="3"/>
        <v>1</v>
      </c>
      <c r="AB29" s="1574">
        <f t="shared" si="4"/>
        <v>1</v>
      </c>
      <c r="AC29" s="1574">
        <f t="shared" si="5"/>
        <v>1</v>
      </c>
    </row>
    <row r="30" spans="1:29" ht="15">
      <c r="A30" s="929"/>
      <c r="B30" s="580" t="s">
        <v>811</v>
      </c>
      <c r="C30" s="930" t="s">
        <v>3136</v>
      </c>
      <c r="D30" s="538">
        <v>100</v>
      </c>
      <c r="E30" s="930" t="s">
        <v>3136</v>
      </c>
      <c r="F30" s="573">
        <f>SUMIF(88:88,E30,89:89)-SUMIF(88:88,C30,89:89)+100</f>
        <v>100</v>
      </c>
      <c r="G30" s="930" t="s">
        <v>3136</v>
      </c>
      <c r="H30" s="538">
        <f>SUMIF(88:88,E30,89:89)-SUMIF(88:88,C30,89:89)+100</f>
        <v>100</v>
      </c>
      <c r="I30" s="930" t="s">
        <v>3136</v>
      </c>
      <c r="J30" s="538">
        <f>SUMIF(88:88,E30,89:89)-SUMIF(88:88,C30,89:89)+100</f>
        <v>100</v>
      </c>
      <c r="K30" s="582"/>
      <c r="L30" s="2139"/>
      <c r="M30" s="2131"/>
      <c r="N30" s="2131"/>
      <c r="O30" s="2138"/>
      <c r="P30" s="3292"/>
      <c r="Q30" s="1570" t="str">
        <f t="shared" si="11"/>
        <v>物业等级</v>
      </c>
      <c r="R30" s="1571" t="s">
        <v>8</v>
      </c>
      <c r="S30" s="1572">
        <f t="shared" si="12"/>
        <v>100</v>
      </c>
      <c r="T30" s="1571" t="s">
        <v>8</v>
      </c>
      <c r="U30" s="1572">
        <f t="shared" si="13"/>
        <v>100</v>
      </c>
      <c r="V30" s="1571" t="s">
        <v>8</v>
      </c>
      <c r="W30" s="1572">
        <f t="shared" si="14"/>
        <v>100</v>
      </c>
      <c r="X30" s="1565"/>
      <c r="Y30" s="3292"/>
      <c r="Z30" s="1573" t="str">
        <f t="shared" si="15"/>
        <v>物业等级</v>
      </c>
      <c r="AA30" s="1574">
        <f t="shared" si="3"/>
        <v>1</v>
      </c>
      <c r="AB30" s="1574">
        <f t="shared" si="4"/>
        <v>1</v>
      </c>
      <c r="AC30" s="1574">
        <f t="shared" si="5"/>
        <v>1</v>
      </c>
    </row>
    <row r="31" spans="1:29" s="1218" customFormat="1" ht="15">
      <c r="A31" s="931"/>
      <c r="B31" s="580" t="s">
        <v>812</v>
      </c>
      <c r="C31" s="878">
        <v>35</v>
      </c>
      <c r="D31" s="255">
        <v>100</v>
      </c>
      <c r="E31" s="878">
        <v>35</v>
      </c>
      <c r="F31" s="573">
        <f>LOOKUP(E31,91:91,92:92)-LOOKUP(C31,91:91,92:92)+100</f>
        <v>100</v>
      </c>
      <c r="G31" s="878">
        <v>35</v>
      </c>
      <c r="H31" s="538">
        <f>LOOKUP(G31,91:91,92:92)-LOOKUP(C31,91:91,92:92)+100</f>
        <v>100</v>
      </c>
      <c r="I31" s="878">
        <v>35</v>
      </c>
      <c r="J31" s="538">
        <f>LOOKUP(I31,91:91,92:92)-LOOKUP(C31,91:91,92:92)+100</f>
        <v>100</v>
      </c>
      <c r="K31" s="582"/>
      <c r="L31" s="2132"/>
      <c r="M31" s="2133"/>
      <c r="N31" s="2133"/>
      <c r="O31" s="2134"/>
      <c r="P31" s="3292"/>
      <c r="Q31" s="1149" t="str">
        <f t="shared" si="11"/>
        <v>停车位面积</v>
      </c>
      <c r="R31" s="1566" t="s">
        <v>8</v>
      </c>
      <c r="S31" s="1567">
        <f t="shared" si="12"/>
        <v>100</v>
      </c>
      <c r="T31" s="1566" t="s">
        <v>8</v>
      </c>
      <c r="U31" s="1567">
        <f t="shared" si="13"/>
        <v>100</v>
      </c>
      <c r="V31" s="1566" t="s">
        <v>8</v>
      </c>
      <c r="W31" s="1567">
        <f t="shared" si="14"/>
        <v>100</v>
      </c>
      <c r="X31" s="1568"/>
      <c r="Y31" s="3292"/>
      <c r="Z31" s="1148" t="str">
        <f t="shared" si="15"/>
        <v>停车位面积</v>
      </c>
      <c r="AA31" s="1569">
        <f t="shared" si="3"/>
        <v>1</v>
      </c>
      <c r="AB31" s="1569">
        <f t="shared" si="4"/>
        <v>1</v>
      </c>
      <c r="AC31" s="1569">
        <f t="shared" si="5"/>
        <v>1</v>
      </c>
    </row>
    <row r="32" spans="1:29" ht="15">
      <c r="A32" s="929"/>
      <c r="B32" s="580" t="s">
        <v>813</v>
      </c>
      <c r="C32" s="572" t="s">
        <v>3140</v>
      </c>
      <c r="D32" s="538">
        <v>100</v>
      </c>
      <c r="E32" s="572" t="s">
        <v>3140</v>
      </c>
      <c r="F32" s="573">
        <f>SUMIF(93:93,E32,94:94)-SUMIF(93:93,C32,94:94)+100</f>
        <v>100</v>
      </c>
      <c r="G32" s="572" t="s">
        <v>3140</v>
      </c>
      <c r="H32" s="538">
        <f>SUMIF(93:93,G32,94:94)-SUMIF(93:93,C32,94:94)+100</f>
        <v>100</v>
      </c>
      <c r="I32" s="572" t="s">
        <v>3140</v>
      </c>
      <c r="J32" s="538">
        <f>SUMIF(93:93,I32,94:94)-SUMIF(93:93,C32,94:94)+100</f>
        <v>100</v>
      </c>
      <c r="K32" s="582"/>
      <c r="L32" s="2139"/>
      <c r="M32" s="2131"/>
      <c r="N32" s="2131"/>
      <c r="O32" s="2138"/>
      <c r="P32" s="3292" t="s">
        <v>551</v>
      </c>
      <c r="Q32" s="1570" t="str">
        <f t="shared" si="11"/>
        <v>车位类型</v>
      </c>
      <c r="R32" s="1571" t="s">
        <v>8</v>
      </c>
      <c r="S32" s="1572">
        <f t="shared" si="12"/>
        <v>100</v>
      </c>
      <c r="T32" s="1571" t="s">
        <v>8</v>
      </c>
      <c r="U32" s="1572">
        <f t="shared" si="13"/>
        <v>100</v>
      </c>
      <c r="V32" s="1571" t="s">
        <v>8</v>
      </c>
      <c r="W32" s="1572">
        <f t="shared" si="14"/>
        <v>100</v>
      </c>
      <c r="X32" s="1565"/>
      <c r="Y32" s="3292" t="s">
        <v>551</v>
      </c>
      <c r="Z32" s="1573" t="str">
        <f t="shared" si="15"/>
        <v>车位类型</v>
      </c>
      <c r="AA32" s="1574">
        <f t="shared" si="3"/>
        <v>1</v>
      </c>
      <c r="AB32" s="1574">
        <f t="shared" si="4"/>
        <v>1</v>
      </c>
      <c r="AC32" s="1574">
        <f t="shared" si="5"/>
        <v>1</v>
      </c>
    </row>
    <row r="33" spans="1:29" ht="15.75" thickBot="1">
      <c r="A33" s="929"/>
      <c r="B33" s="580" t="s">
        <v>814</v>
      </c>
      <c r="C33" s="572" t="s">
        <v>1680</v>
      </c>
      <c r="D33" s="538">
        <v>100</v>
      </c>
      <c r="E33" s="572" t="s">
        <v>1680</v>
      </c>
      <c r="F33" s="573">
        <f>SUMIF(95:95,E33,96:96)-SUMIF(95:95,C33,96:96)+100</f>
        <v>100</v>
      </c>
      <c r="G33" s="572" t="s">
        <v>1680</v>
      </c>
      <c r="H33" s="538">
        <f>SUMIF(95:95,G33,96:96)-SUMIF(95:95,C33,96:96)+100</f>
        <v>100</v>
      </c>
      <c r="I33" s="572" t="s">
        <v>1680</v>
      </c>
      <c r="J33" s="538">
        <f>SUMIF(95:95,I33,96:96)-SUMIF(95:95,C33,96:96)+100</f>
        <v>100</v>
      </c>
      <c r="K33" s="582"/>
      <c r="L33" s="2139"/>
      <c r="M33" s="2131"/>
      <c r="N33" s="2131"/>
      <c r="O33" s="2138"/>
      <c r="P33" s="3292"/>
      <c r="Q33" s="1570" t="str">
        <f t="shared" si="11"/>
        <v>是否直接入户</v>
      </c>
      <c r="R33" s="1571" t="s">
        <v>8</v>
      </c>
      <c r="S33" s="1572">
        <f t="shared" si="12"/>
        <v>100</v>
      </c>
      <c r="T33" s="1571" t="s">
        <v>8</v>
      </c>
      <c r="U33" s="1572">
        <f t="shared" si="13"/>
        <v>100</v>
      </c>
      <c r="V33" s="1571" t="s">
        <v>8</v>
      </c>
      <c r="W33" s="1572">
        <f t="shared" si="14"/>
        <v>100</v>
      </c>
      <c r="X33" s="1565"/>
      <c r="Y33" s="3292"/>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292"/>
      <c r="Q34" s="1570">
        <f t="shared" si="11"/>
        <v>111</v>
      </c>
      <c r="R34" s="1571" t="s">
        <v>8</v>
      </c>
      <c r="S34" s="1572">
        <f t="shared" si="12"/>
        <v>100</v>
      </c>
      <c r="T34" s="1571" t="s">
        <v>8</v>
      </c>
      <c r="U34" s="1572">
        <f t="shared" si="13"/>
        <v>100</v>
      </c>
      <c r="V34" s="1571" t="s">
        <v>8</v>
      </c>
      <c r="W34" s="1572">
        <f t="shared" si="14"/>
        <v>100</v>
      </c>
      <c r="X34" s="1565"/>
      <c r="Y34" s="3292"/>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292"/>
      <c r="Q35" s="1603">
        <f t="shared" si="11"/>
        <v>111</v>
      </c>
      <c r="R35" s="1575" t="s">
        <v>8</v>
      </c>
      <c r="S35" s="1576">
        <f t="shared" si="12"/>
        <v>100</v>
      </c>
      <c r="T35" s="1575" t="s">
        <v>8</v>
      </c>
      <c r="U35" s="1576">
        <f t="shared" si="13"/>
        <v>100</v>
      </c>
      <c r="V35" s="1575" t="s">
        <v>8</v>
      </c>
      <c r="W35" s="1576">
        <f t="shared" si="14"/>
        <v>100</v>
      </c>
      <c r="X35" s="1577"/>
      <c r="Y35" s="3292"/>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292"/>
      <c r="Q36" s="1570">
        <f t="shared" si="11"/>
        <v>111</v>
      </c>
      <c r="R36" s="1571" t="s">
        <v>8</v>
      </c>
      <c r="S36" s="1572">
        <f t="shared" si="12"/>
        <v>100</v>
      </c>
      <c r="T36" s="1571" t="s">
        <v>8</v>
      </c>
      <c r="U36" s="1572">
        <f t="shared" si="13"/>
        <v>100</v>
      </c>
      <c r="V36" s="1571" t="s">
        <v>8</v>
      </c>
      <c r="W36" s="1572">
        <f t="shared" si="14"/>
        <v>100</v>
      </c>
      <c r="X36" s="1565"/>
      <c r="Y36" s="3292"/>
      <c r="Z36" s="1573">
        <f t="shared" si="15"/>
        <v>111</v>
      </c>
      <c r="AA36" s="1574">
        <f t="shared" si="3"/>
        <v>1</v>
      </c>
      <c r="AB36" s="1574">
        <f t="shared" si="4"/>
        <v>1</v>
      </c>
      <c r="AC36" s="1574">
        <f t="shared" si="5"/>
        <v>1</v>
      </c>
    </row>
    <row r="37" spans="1:29" ht="15">
      <c r="A37" s="1843" t="s">
        <v>2078</v>
      </c>
      <c r="B37" s="1844" t="s">
        <v>3145</v>
      </c>
      <c r="C37" s="2645" t="s">
        <v>1</v>
      </c>
      <c r="D37" s="2646"/>
      <c r="E37" s="2647">
        <v>120000</v>
      </c>
      <c r="F37" s="2648"/>
      <c r="G37" s="2649">
        <v>125000</v>
      </c>
      <c r="H37" s="2650"/>
      <c r="I37" s="2647">
        <v>120000</v>
      </c>
      <c r="J37" s="2650"/>
      <c r="K37" s="1609"/>
      <c r="L37" s="2141"/>
      <c r="M37" s="2142"/>
      <c r="N37" s="2131"/>
      <c r="O37" s="2142"/>
      <c r="P37" s="3287" t="str">
        <f>A37</f>
        <v>成交单价</v>
      </c>
      <c r="Q37" s="3287"/>
      <c r="R37" s="3387">
        <f>E37</f>
        <v>120000</v>
      </c>
      <c r="S37" s="3387"/>
      <c r="T37" s="3387">
        <f>G37</f>
        <v>125000</v>
      </c>
      <c r="U37" s="3387"/>
      <c r="V37" s="3387">
        <f>I37</f>
        <v>120000</v>
      </c>
      <c r="W37" s="3387"/>
      <c r="X37" s="1557"/>
      <c r="Y37" s="1579"/>
      <c r="Z37" s="1557"/>
      <c r="AA37" s="1557"/>
      <c r="AB37" s="1557"/>
      <c r="AC37" s="1557"/>
    </row>
    <row r="38" spans="1:29" ht="15.75" thickBot="1">
      <c r="A38" s="613" t="s">
        <v>2765</v>
      </c>
      <c r="B38" s="886"/>
      <c r="C38" s="2651">
        <f>R39</f>
        <v>130331</v>
      </c>
      <c r="D38" s="2652"/>
      <c r="E38" s="2653">
        <f>R38</f>
        <v>126236</v>
      </c>
      <c r="F38" s="2653"/>
      <c r="G38" s="2651">
        <f>T38</f>
        <v>138520</v>
      </c>
      <c r="H38" s="2652"/>
      <c r="I38" s="2653">
        <f>V38</f>
        <v>126236</v>
      </c>
      <c r="J38" s="2652"/>
      <c r="K38" s="1610"/>
      <c r="L38" s="2141"/>
      <c r="M38" s="2142"/>
      <c r="N38" s="2142"/>
      <c r="O38" s="2142"/>
      <c r="P38" s="3287" t="str">
        <f>A38</f>
        <v>比较价格（元/平方米）</v>
      </c>
      <c r="Q38" s="3287"/>
      <c r="R38" s="3387">
        <f>IF(F1="售价",ROUND(PRODUCT(R37,AA7:AA36),0),ROUND(PRODUCT(R37,AA7:AA36),1))</f>
        <v>126236</v>
      </c>
      <c r="S38" s="3387"/>
      <c r="T38" s="3387">
        <f>IF(F1="售价",ROUND(PRODUCT(T37,AB7:AB36),0),ROUND(PRODUCT(T37,AB7:AB36),1))</f>
        <v>138520</v>
      </c>
      <c r="U38" s="3387"/>
      <c r="V38" s="3387">
        <f>IF(F1="售价",ROUND(PRODUCT(V37,AC7:AC36),0),ROUND(PRODUCT(V37,AC7:AC36),1))</f>
        <v>126236</v>
      </c>
      <c r="W38" s="3387"/>
      <c r="X38" s="1557"/>
      <c r="Y38" s="1557"/>
      <c r="Z38" s="1557"/>
      <c r="AA38" s="1557"/>
      <c r="AB38" s="1557"/>
      <c r="AC38" s="1557"/>
    </row>
    <row r="39" spans="1:29" ht="15.75" thickBot="1">
      <c r="A39" s="619" t="s">
        <v>2939</v>
      </c>
      <c r="B39" s="620"/>
      <c r="C39" s="2654">
        <f>R39</f>
        <v>130331</v>
      </c>
      <c r="D39" s="2654"/>
      <c r="E39" s="2654"/>
      <c r="F39" s="2654"/>
      <c r="G39" s="2654"/>
      <c r="H39" s="2654"/>
      <c r="I39" s="2654"/>
      <c r="J39" s="2654"/>
      <c r="K39" s="1611"/>
      <c r="L39" s="2141"/>
      <c r="M39" s="2142"/>
      <c r="N39" s="2142"/>
      <c r="O39" s="2142"/>
      <c r="P39" s="3308" t="str">
        <f>A39</f>
        <v>估价对象XX用房的比较价格（楼面单价，元/平方米）</v>
      </c>
      <c r="Q39" s="3309"/>
      <c r="R39" s="3386">
        <f>IF(F1="售价",ROUND(AVERAGE(R38:V38),0),ROUND(AVERAGE(R38:V38),1))</f>
        <v>130331</v>
      </c>
      <c r="S39" s="3386"/>
      <c r="T39" s="3386"/>
      <c r="U39" s="3386"/>
      <c r="V39" s="3386"/>
      <c r="W39" s="3386"/>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558</v>
      </c>
      <c r="D42" s="623"/>
      <c r="E42" s="624">
        <f>IF(E37&lt;E38,E38/E37-1,E37/E38-1)</f>
        <v>5.1966666666666717E-2</v>
      </c>
      <c r="F42" s="625" t="str">
        <f>IF(OR(E42&gt;=0.3,E42&lt;=-0.3),"超过30%","")</f>
        <v/>
      </c>
      <c r="G42" s="624">
        <f>IF(G37&lt;G38,G38/G37-1,G37/G38-1)</f>
        <v>0.10816000000000003</v>
      </c>
      <c r="H42" s="625" t="str">
        <f>IF(OR(G42&gt;=0.3,G42&lt;=-0.3),"超过30%","")</f>
        <v/>
      </c>
      <c r="I42" s="624">
        <f>IF(I37&lt;I38,I38/I37-1,I37/I38-1)</f>
        <v>5.1966666666666717E-2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559</v>
      </c>
      <c r="D43" s="626"/>
      <c r="E43" s="624">
        <f>IF(E38&lt;G38,G38/E38-1,E38/G38-1)</f>
        <v>9.7309800690769777E-2</v>
      </c>
      <c r="F43" s="625" t="str">
        <f>IF(OR(E43&gt;=0.2,E43&lt;=-0.2),"超过20%","")</f>
        <v/>
      </c>
      <c r="G43" s="624">
        <f>IF(G38&lt;I38,I38/G38-1,G38/I38-1)</f>
        <v>9.7309800690769777E-2</v>
      </c>
      <c r="H43" s="625" t="str">
        <f>IF(OR(G43&gt;=0.2,G43&lt;=-0.2),"超过20%","")</f>
        <v/>
      </c>
      <c r="I43" s="624">
        <f>IF(I38&lt;E38,E38/I38-1,I38/E38-1)</f>
        <v>0</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560</v>
      </c>
      <c r="D44" s="626"/>
      <c r="E44" s="624">
        <f>IF(E37&lt;G37,G37/E37-1,E37/G37-1)</f>
        <v>4.1666666666666741E-2</v>
      </c>
      <c r="F44" s="625" t="str">
        <f>IF(OR(E44&gt;=0.3,E44&lt;=-0.3),"超过30%","")</f>
        <v/>
      </c>
      <c r="G44" s="624">
        <f>IF(G37&lt;I37,I37/G37-1,G37/I37-1)</f>
        <v>4.1666666666666741E-2</v>
      </c>
      <c r="H44" s="625" t="str">
        <f>IF(OR(G44&gt;=0.3,G44&lt;=-0.3),"超过30%","")</f>
        <v/>
      </c>
      <c r="I44" s="624">
        <f>IF(I37&lt;E37,E37/I37-1,I37/E37-1)</f>
        <v>0</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575</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530</v>
      </c>
      <c r="B48" s="644"/>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7"/>
      <c r="Q48" s="2158"/>
      <c r="R48" s="2158"/>
      <c r="S48" s="2158"/>
      <c r="T48" s="2158"/>
      <c r="U48" s="2158"/>
      <c r="V48" s="2158"/>
      <c r="W48" s="2158"/>
      <c r="X48" s="2158"/>
      <c r="Y48" s="2158"/>
      <c r="Z48" s="2158"/>
      <c r="AA48" s="2158"/>
      <c r="AB48" s="2158"/>
      <c r="AC48" s="2158"/>
    </row>
    <row r="49" spans="1:29" s="1218" customFormat="1" ht="15">
      <c r="A49" s="645"/>
      <c r="B49" s="646"/>
      <c r="C49" s="2823">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576</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532</v>
      </c>
      <c r="B51" s="646"/>
      <c r="C51" s="658" t="s">
        <v>577</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578</v>
      </c>
      <c r="B53" s="663" t="s">
        <v>535</v>
      </c>
      <c r="C53" s="702" t="str">
        <f>C9</f>
        <v>地下车库</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hidden="1"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hidden="1"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hidden="1"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hidden="1"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hidden="1"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hidden="1"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2560</v>
      </c>
      <c r="C65" s="706" t="s">
        <v>580</v>
      </c>
      <c r="D65" s="706" t="s">
        <v>581</v>
      </c>
      <c r="E65" s="706" t="s">
        <v>582</v>
      </c>
      <c r="F65" s="706" t="s">
        <v>583</v>
      </c>
      <c r="G65" s="706" t="s">
        <v>584</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98</v>
      </c>
      <c r="E66" s="677">
        <f>D66-$K16</f>
        <v>96</v>
      </c>
      <c r="F66" s="677">
        <f>E66-$K16</f>
        <v>94</v>
      </c>
      <c r="G66" s="677">
        <f>F66-$K16</f>
        <v>92</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5" t="s">
        <v>2561</v>
      </c>
      <c r="C67" s="2616" t="s">
        <v>2562</v>
      </c>
      <c r="D67" s="2616" t="s">
        <v>2563</v>
      </c>
      <c r="E67" s="2616" t="s">
        <v>2564</v>
      </c>
      <c r="F67" s="2616" t="s">
        <v>2565</v>
      </c>
      <c r="G67" s="2616" t="s">
        <v>2566</v>
      </c>
      <c r="H67" s="672"/>
      <c r="I67" s="672"/>
      <c r="J67" s="672"/>
      <c r="K67" s="672"/>
      <c r="L67" s="672"/>
      <c r="M67" s="2619"/>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706" t="s">
        <v>580</v>
      </c>
      <c r="D69" s="706" t="s">
        <v>581</v>
      </c>
      <c r="E69" s="706" t="s">
        <v>582</v>
      </c>
      <c r="F69" s="706" t="s">
        <v>583</v>
      </c>
      <c r="G69" s="706" t="s">
        <v>584</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97</v>
      </c>
      <c r="E70" s="677">
        <f>D70-$K20</f>
        <v>94</v>
      </c>
      <c r="F70" s="677">
        <f>E70-$K20</f>
        <v>91</v>
      </c>
      <c r="G70" s="677">
        <f>F70-$K20</f>
        <v>88</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746</v>
      </c>
      <c r="C71" s="686" t="s">
        <v>3131</v>
      </c>
      <c r="D71" s="686" t="s">
        <v>3132</v>
      </c>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95</v>
      </c>
      <c r="E72" s="677">
        <f>D72-$K22</f>
        <v>90</v>
      </c>
      <c r="F72" s="677">
        <f>E72-$K22</f>
        <v>85</v>
      </c>
      <c r="G72" s="677">
        <f>F72-$K22</f>
        <v>80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hidden="1"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hidden="1"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hidden="1"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hidden="1"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hidden="1"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hidden="1"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552</v>
      </c>
      <c r="B79" s="663" t="s">
        <v>815</v>
      </c>
      <c r="C79" s="702" t="str">
        <f>C26</f>
        <v>车库</v>
      </c>
      <c r="D79" s="3409" t="s">
        <v>3134</v>
      </c>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816</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752</v>
      </c>
      <c r="C83" s="686" t="s">
        <v>3101</v>
      </c>
      <c r="D83" s="1373" t="s">
        <v>3135</v>
      </c>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818</v>
      </c>
      <c r="C88" s="3409" t="s">
        <v>3137</v>
      </c>
      <c r="D88" s="3409" t="s">
        <v>3138</v>
      </c>
      <c r="E88" s="3409" t="s">
        <v>3139</v>
      </c>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819</v>
      </c>
      <c r="C90" s="706" t="str">
        <f>C91&amp;"(含)"&amp;"-"&amp;D91</f>
        <v>0(含)-30</v>
      </c>
      <c r="D90" s="706" t="str">
        <f t="shared" ref="D90:L90" si="21">D91&amp;"(含)"&amp;"-"&amp;E91</f>
        <v>30(含)-50</v>
      </c>
      <c r="E90" s="706" t="str">
        <f t="shared" si="21"/>
        <v>50(含)-80</v>
      </c>
      <c r="F90" s="706" t="str">
        <f t="shared" si="21"/>
        <v>80(含)-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30</v>
      </c>
      <c r="E91" s="728">
        <v>50</v>
      </c>
      <c r="F91" s="728">
        <v>80</v>
      </c>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102</v>
      </c>
      <c r="E92" s="669">
        <v>104</v>
      </c>
      <c r="F92" s="669">
        <v>106</v>
      </c>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820</v>
      </c>
      <c r="C93" s="3418" t="s">
        <v>3141</v>
      </c>
      <c r="D93" s="3418" t="s">
        <v>3142</v>
      </c>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821</v>
      </c>
      <c r="C95" s="3409" t="s">
        <v>3143</v>
      </c>
      <c r="D95" s="3409" t="s">
        <v>3144</v>
      </c>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hidden="1"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hidden="1"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hidden="1"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hidden="1"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hidden="1"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hidden="1"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18.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18.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93.75">
      <c r="A7" s="2836" t="s">
        <v>2753</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2072</v>
      </c>
    </row>
    <row r="14" spans="1:4" ht="18.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18.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38" t="s">
        <v>2754</v>
      </c>
    </row>
    <row r="24" spans="1:1" ht="18.75">
      <c r="A24" s="1788" t="s">
        <v>2076</v>
      </c>
    </row>
    <row r="25" spans="1:1" ht="150">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93.7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C4:H30"/>
  <sheetViews>
    <sheetView topLeftCell="A16" workbookViewId="0">
      <selection activeCell="C20" sqref="C20:G30"/>
    </sheetView>
  </sheetViews>
  <sheetFormatPr defaultRowHeight="13.5"/>
  <cols>
    <col min="4" max="4" width="10.5" bestFit="1" customWidth="1"/>
    <col min="5" max="5" width="11.125" customWidth="1"/>
    <col min="7" max="7" width="17.625" customWidth="1"/>
    <col min="8" max="8" width="13.5" customWidth="1"/>
    <col min="14" max="14" width="10" bestFit="1" customWidth="1"/>
  </cols>
  <sheetData>
    <row r="4" spans="3:8" ht="14.25" thickBot="1"/>
    <row r="5" spans="3:8" ht="27.75" thickBot="1">
      <c r="C5" s="3420" t="s">
        <v>2376</v>
      </c>
      <c r="D5" s="3421"/>
      <c r="E5" s="3421" t="s">
        <v>3149</v>
      </c>
      <c r="F5" s="3421" t="s">
        <v>3150</v>
      </c>
      <c r="G5" s="3421" t="s">
        <v>3151</v>
      </c>
      <c r="H5" s="3421" t="s">
        <v>3152</v>
      </c>
    </row>
    <row r="6" spans="3:8" ht="15" thickBot="1">
      <c r="C6" s="3422">
        <v>1</v>
      </c>
      <c r="D6" s="3429"/>
      <c r="E6" s="3423" t="s">
        <v>3014</v>
      </c>
      <c r="F6" s="3424" t="s">
        <v>924</v>
      </c>
      <c r="G6" s="3425">
        <v>263272.96999999997</v>
      </c>
      <c r="H6" s="3425">
        <f>'[1]数据-基础表'!I13</f>
        <v>239075.36</v>
      </c>
    </row>
    <row r="7" spans="3:8" ht="27.75" thickBot="1">
      <c r="C7" s="3422"/>
      <c r="D7" s="3429"/>
      <c r="E7" s="3426"/>
      <c r="F7" s="3424" t="s">
        <v>3153</v>
      </c>
      <c r="G7" s="3425">
        <v>100000</v>
      </c>
      <c r="H7" s="3425">
        <f>G7</f>
        <v>100000</v>
      </c>
    </row>
    <row r="8" spans="3:8" ht="15" thickBot="1">
      <c r="C8" s="3422">
        <v>2</v>
      </c>
      <c r="D8" s="3429"/>
      <c r="E8" s="3426"/>
      <c r="F8" s="3424" t="s">
        <v>2993</v>
      </c>
      <c r="G8" s="3425">
        <v>66400.600000000006</v>
      </c>
      <c r="H8" s="3425">
        <f>'[1]数据-基础表'!K13</f>
        <v>92503.679999999993</v>
      </c>
    </row>
    <row r="9" spans="3:8" ht="41.25" thickBot="1">
      <c r="C9" s="3422">
        <v>3</v>
      </c>
      <c r="D9" s="3429"/>
      <c r="E9" s="3426"/>
      <c r="F9" s="3424" t="s">
        <v>3154</v>
      </c>
      <c r="G9" s="3425">
        <v>1050</v>
      </c>
      <c r="H9" s="3425">
        <f>'[1]数据-基础表'!AD13</f>
        <v>23423.96</v>
      </c>
    </row>
    <row r="10" spans="3:8" ht="15" thickBot="1">
      <c r="C10" s="3422">
        <v>4</v>
      </c>
      <c r="D10" s="3429"/>
      <c r="E10" s="3423" t="s">
        <v>3018</v>
      </c>
      <c r="F10" s="3424" t="s">
        <v>35</v>
      </c>
      <c r="G10" s="3425">
        <v>103606.77</v>
      </c>
      <c r="H10" s="3425">
        <f>'[1]数据-基础表'!M13</f>
        <v>152374.15</v>
      </c>
    </row>
    <row r="11" spans="3:8" ht="27.75" thickBot="1">
      <c r="C11" s="3422">
        <v>5</v>
      </c>
      <c r="D11" s="3429"/>
      <c r="E11" s="3426"/>
      <c r="F11" s="3424" t="s">
        <v>3155</v>
      </c>
      <c r="G11" s="3425">
        <v>860</v>
      </c>
      <c r="H11" s="3425">
        <v>0</v>
      </c>
    </row>
    <row r="12" spans="3:8" ht="15" thickBot="1">
      <c r="C12" s="3422">
        <v>6</v>
      </c>
      <c r="D12" s="3429"/>
      <c r="E12" s="3426"/>
      <c r="F12" s="3424" t="s">
        <v>3156</v>
      </c>
      <c r="G12" s="3425">
        <v>53316.56</v>
      </c>
      <c r="H12" s="3425">
        <f>'[1]数据-基础表'!AN13</f>
        <v>30102.32</v>
      </c>
    </row>
    <row r="13" spans="3:8" ht="15" thickBot="1">
      <c r="C13" s="3422">
        <v>7</v>
      </c>
      <c r="D13" s="3422"/>
      <c r="E13" s="3427"/>
      <c r="F13" s="3424" t="s">
        <v>3157</v>
      </c>
      <c r="G13" s="3425">
        <v>20800</v>
      </c>
      <c r="H13" s="3425">
        <f>G13</f>
        <v>20800</v>
      </c>
    </row>
    <row r="14" spans="3:8" ht="15" thickBot="1">
      <c r="C14" s="3428" t="s">
        <v>24</v>
      </c>
      <c r="D14" s="3424"/>
      <c r="E14" s="3425" t="s">
        <v>3158</v>
      </c>
      <c r="F14" s="3425" t="s">
        <v>3158</v>
      </c>
      <c r="G14" s="3425">
        <f>G6+G8+G9+G10+G11+G12+G13</f>
        <v>509306.89999999997</v>
      </c>
      <c r="H14" s="3425">
        <f>'[1]数据-基础表'!G13</f>
        <v>587077.85999999987</v>
      </c>
    </row>
    <row r="19" spans="3:8" ht="14.25" thickBot="1"/>
    <row r="20" spans="3:8" ht="27.75" thickBot="1">
      <c r="C20" s="3420" t="s">
        <v>2376</v>
      </c>
      <c r="D20" s="3421" t="s">
        <v>3162</v>
      </c>
      <c r="E20" s="3421" t="s">
        <v>3149</v>
      </c>
      <c r="F20" s="3421" t="s">
        <v>3150</v>
      </c>
      <c r="G20" s="3421" t="s">
        <v>3152</v>
      </c>
    </row>
    <row r="21" spans="3:8" ht="15" thickBot="1">
      <c r="C21" s="3431">
        <v>1</v>
      </c>
      <c r="D21" s="3431">
        <f>'数据-基础表'!A3</f>
        <v>171496.93</v>
      </c>
      <c r="E21" s="3423" t="s">
        <v>3014</v>
      </c>
      <c r="F21" s="3424" t="s">
        <v>924</v>
      </c>
      <c r="G21" s="3425">
        <v>339075.36</v>
      </c>
      <c r="H21">
        <f>G21-G22</f>
        <v>239075.36</v>
      </c>
    </row>
    <row r="22" spans="3:8" ht="27.75" thickBot="1">
      <c r="C22" s="3432"/>
      <c r="D22" s="3430"/>
      <c r="E22" s="3426"/>
      <c r="F22" s="3424" t="s">
        <v>3153</v>
      </c>
      <c r="G22" s="3425">
        <f>H7</f>
        <v>100000</v>
      </c>
    </row>
    <row r="23" spans="3:8" ht="15" thickBot="1">
      <c r="C23" s="3422">
        <v>2</v>
      </c>
      <c r="D23" s="3430"/>
      <c r="E23" s="3426"/>
      <c r="F23" s="3424" t="s">
        <v>2993</v>
      </c>
      <c r="G23" s="3425">
        <f>'数据-基础表'!K13</f>
        <v>72588.709999999992</v>
      </c>
    </row>
    <row r="24" spans="3:8" ht="15" thickBot="1">
      <c r="C24" s="3422">
        <v>3</v>
      </c>
      <c r="D24" s="3430"/>
      <c r="E24" s="3426"/>
      <c r="F24" s="3424" t="s">
        <v>3159</v>
      </c>
      <c r="G24" s="3425">
        <f>'数据-基础表'!M13</f>
        <v>19914.97</v>
      </c>
    </row>
    <row r="25" spans="3:8" ht="15" thickBot="1">
      <c r="C25" s="3422">
        <v>4</v>
      </c>
      <c r="D25" s="3430"/>
      <c r="E25" s="3426"/>
      <c r="F25" s="3424" t="s">
        <v>3160</v>
      </c>
      <c r="G25" s="3425">
        <f>'数据-基础表'!Q13</f>
        <v>8883.42</v>
      </c>
    </row>
    <row r="26" spans="3:8" ht="27.75" thickBot="1">
      <c r="C26" s="3422">
        <v>5</v>
      </c>
      <c r="D26" s="3430"/>
      <c r="E26" s="3426"/>
      <c r="F26" s="3424" t="s">
        <v>3163</v>
      </c>
      <c r="G26" s="3425">
        <f>'[1]数据-基础表'!AD13</f>
        <v>23423.96</v>
      </c>
    </row>
    <row r="27" spans="3:8" ht="15" thickBot="1">
      <c r="C27" s="3422">
        <v>6</v>
      </c>
      <c r="D27" s="3430"/>
      <c r="E27" s="3423" t="s">
        <v>3018</v>
      </c>
      <c r="F27" s="3424" t="s">
        <v>35</v>
      </c>
      <c r="G27" s="3425">
        <f>'[1]数据-基础表'!M13</f>
        <v>152374.15</v>
      </c>
    </row>
    <row r="28" spans="3:8" ht="15" thickBot="1">
      <c r="C28" s="3422">
        <v>7</v>
      </c>
      <c r="D28" s="3430"/>
      <c r="E28" s="3426"/>
      <c r="F28" s="3424" t="s">
        <v>3156</v>
      </c>
      <c r="G28" s="3425">
        <f>'数据-基础表'!AN13</f>
        <v>21218.899999999994</v>
      </c>
    </row>
    <row r="29" spans="3:8" ht="15" thickBot="1">
      <c r="C29" s="3422">
        <v>8</v>
      </c>
      <c r="D29" s="3432"/>
      <c r="E29" s="3427"/>
      <c r="F29" s="3424" t="s">
        <v>3157</v>
      </c>
      <c r="G29" s="3425">
        <f>'[1]数据-基础表'!AT13</f>
        <v>20800</v>
      </c>
    </row>
    <row r="30" spans="3:8" ht="54.75" thickBot="1">
      <c r="C30" s="3428" t="s">
        <v>3161</v>
      </c>
      <c r="D30" s="3424">
        <f>D21</f>
        <v>171496.93</v>
      </c>
      <c r="E30" s="3425" t="s">
        <v>3158</v>
      </c>
      <c r="F30" s="3425" t="s">
        <v>3158</v>
      </c>
      <c r="G30" s="3425">
        <f>H21+G23+G24+G25+G26+G27+G28</f>
        <v>537479.47</v>
      </c>
    </row>
  </sheetData>
  <mergeCells count="6">
    <mergeCell ref="E6:E9"/>
    <mergeCell ref="E10:E13"/>
    <mergeCell ref="E21:E26"/>
    <mergeCell ref="E27:E29"/>
    <mergeCell ref="D21:D29"/>
    <mergeCell ref="C21:C22"/>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7"/>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t="e">
        <f>C37</f>
        <v>#DIV/0!</v>
      </c>
      <c r="C3" s="850" t="s">
        <v>797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293" t="s">
        <v>799</v>
      </c>
      <c r="D4" s="3294"/>
      <c r="E4" s="3317" t="s">
        <v>800</v>
      </c>
      <c r="F4" s="3318"/>
      <c r="G4" s="3293" t="s">
        <v>801</v>
      </c>
      <c r="H4" s="3294"/>
      <c r="I4" s="3293" t="s">
        <v>802</v>
      </c>
      <c r="J4" s="3294"/>
      <c r="K4" s="512" t="s">
        <v>803</v>
      </c>
      <c r="L4" s="2130"/>
      <c r="M4" s="2131"/>
      <c r="N4" s="2131"/>
      <c r="O4" s="2131"/>
      <c r="P4" s="3295" t="s">
        <v>804</v>
      </c>
      <c r="Q4" s="3296"/>
      <c r="R4" s="3281" t="s">
        <v>800</v>
      </c>
      <c r="S4" s="3282"/>
      <c r="T4" s="3281" t="s">
        <v>801</v>
      </c>
      <c r="U4" s="3282"/>
      <c r="V4" s="3301" t="s">
        <v>802</v>
      </c>
      <c r="W4" s="3301"/>
      <c r="X4" s="1565"/>
      <c r="Y4" s="3281" t="s">
        <v>804</v>
      </c>
      <c r="Z4" s="3282"/>
      <c r="AA4" s="3276" t="s">
        <v>800</v>
      </c>
      <c r="AB4" s="3277" t="s">
        <v>801</v>
      </c>
      <c r="AC4" s="3276" t="s">
        <v>802</v>
      </c>
    </row>
    <row r="5" spans="1:29" ht="15">
      <c r="A5" s="513"/>
      <c r="B5" s="514"/>
      <c r="C5" s="3304" t="s">
        <v>2933</v>
      </c>
      <c r="D5" s="3305"/>
      <c r="E5" s="3319" t="s">
        <v>2934</v>
      </c>
      <c r="F5" s="3320"/>
      <c r="G5" s="3304" t="s">
        <v>2935</v>
      </c>
      <c r="H5" s="3305"/>
      <c r="I5" s="3304" t="s">
        <v>2936</v>
      </c>
      <c r="J5" s="3305"/>
      <c r="K5" s="512"/>
      <c r="L5" s="2130"/>
      <c r="M5" s="2131"/>
      <c r="N5" s="2131"/>
      <c r="O5" s="2131"/>
      <c r="P5" s="3297"/>
      <c r="Q5" s="3298"/>
      <c r="R5" s="3283"/>
      <c r="S5" s="3284"/>
      <c r="T5" s="3283"/>
      <c r="U5" s="3284"/>
      <c r="V5" s="3301"/>
      <c r="W5" s="3301"/>
      <c r="X5" s="1565"/>
      <c r="Y5" s="3283"/>
      <c r="Z5" s="3284"/>
      <c r="AA5" s="3277"/>
      <c r="AB5" s="3277"/>
      <c r="AC5" s="3277"/>
    </row>
    <row r="6" spans="1:29" ht="15.75" thickBot="1">
      <c r="A6" s="515"/>
      <c r="B6" s="516"/>
      <c r="C6" s="3302" t="s">
        <v>2937</v>
      </c>
      <c r="D6" s="3303"/>
      <c r="E6" s="3321" t="s">
        <v>2937</v>
      </c>
      <c r="F6" s="3322"/>
      <c r="G6" s="3302" t="s">
        <v>2937</v>
      </c>
      <c r="H6" s="3303"/>
      <c r="I6" s="3302" t="s">
        <v>2937</v>
      </c>
      <c r="J6" s="3303"/>
      <c r="K6" s="512" t="s">
        <v>529</v>
      </c>
      <c r="L6" s="2130"/>
      <c r="M6" s="2131"/>
      <c r="N6" s="2131"/>
      <c r="O6" s="2131"/>
      <c r="P6" s="3299"/>
      <c r="Q6" s="3300"/>
      <c r="R6" s="3283"/>
      <c r="S6" s="3284"/>
      <c r="T6" s="3285"/>
      <c r="U6" s="3286"/>
      <c r="V6" s="3301"/>
      <c r="W6" s="3301"/>
      <c r="X6" s="1565"/>
      <c r="Y6" s="3285"/>
      <c r="Z6" s="3286"/>
      <c r="AA6" s="3278"/>
      <c r="AB6" s="3278"/>
      <c r="AC6" s="3278"/>
    </row>
    <row r="7" spans="1:29" s="1218" customFormat="1" ht="15.75" thickBot="1">
      <c r="A7" s="2875"/>
      <c r="B7" s="2882" t="s">
        <v>530</v>
      </c>
      <c r="C7" s="517">
        <f>'数据-取费表'!B2</f>
        <v>43054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279" t="s">
        <v>531</v>
      </c>
      <c r="Q7" s="3288"/>
      <c r="R7" s="1566" t="s">
        <v>8</v>
      </c>
      <c r="S7" s="1567">
        <f t="shared" ref="S7:S14" si="0">F7</f>
        <v>0</v>
      </c>
      <c r="T7" s="1566" t="s">
        <v>8</v>
      </c>
      <c r="U7" s="1567">
        <f t="shared" ref="U7:U14" si="1">H7</f>
        <v>0</v>
      </c>
      <c r="V7" s="1566" t="s">
        <v>8</v>
      </c>
      <c r="W7" s="1567">
        <f t="shared" ref="W7:W14" si="2">J7</f>
        <v>0</v>
      </c>
      <c r="X7" s="1568"/>
      <c r="Y7" s="3279" t="s">
        <v>531</v>
      </c>
      <c r="Z7" s="3280"/>
      <c r="AA7" s="1569" t="e">
        <f>D7/F7</f>
        <v>#DIV/0!</v>
      </c>
      <c r="AB7" s="1569" t="e">
        <f>D7/H7</f>
        <v>#DIV/0!</v>
      </c>
      <c r="AC7" s="1569" t="e">
        <f>D7/J7</f>
        <v>#DIV/0!</v>
      </c>
    </row>
    <row r="8" spans="1:29" s="1218"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279" t="s">
        <v>534</v>
      </c>
      <c r="Q8" s="3280"/>
      <c r="R8" s="1566" t="s">
        <v>8</v>
      </c>
      <c r="S8" s="1567">
        <f t="shared" si="0"/>
        <v>0</v>
      </c>
      <c r="T8" s="1566" t="s">
        <v>8</v>
      </c>
      <c r="U8" s="1567">
        <f t="shared" si="1"/>
        <v>0</v>
      </c>
      <c r="V8" s="1566" t="s">
        <v>8</v>
      </c>
      <c r="W8" s="1567">
        <f t="shared" si="2"/>
        <v>0</v>
      </c>
      <c r="X8" s="1568"/>
      <c r="Y8" s="3279" t="s">
        <v>534</v>
      </c>
      <c r="Z8" s="3280"/>
      <c r="AA8" s="1569" t="e">
        <f t="shared" ref="AA8:AA34" si="3">D8/F8</f>
        <v>#DIV/0!</v>
      </c>
      <c r="AB8" s="1569" t="e">
        <f t="shared" ref="AB8:AB34" si="4">D8/H8</f>
        <v>#DIV/0!</v>
      </c>
      <c r="AC8" s="1569" t="e">
        <f t="shared" ref="AC8:AC34" si="5">D8/J8</f>
        <v>#DIV/0!</v>
      </c>
    </row>
    <row r="9" spans="1:29" s="1218" customFormat="1" ht="15">
      <c r="A9" s="2877"/>
      <c r="B9" s="2884" t="s">
        <v>2761</v>
      </c>
      <c r="C9" s="855"/>
      <c r="D9" s="254">
        <v>100</v>
      </c>
      <c r="E9" s="858"/>
      <c r="F9" s="254">
        <f>SUMIF(51:51,E9,52:52)-SUMIF(51:51,C9,52:52)+100</f>
        <v>100</v>
      </c>
      <c r="G9" s="858"/>
      <c r="H9" s="254">
        <f>SUMIF(51:51,G9,52:52)-SUMIF(51:51,C9,52:52)+100</f>
        <v>100</v>
      </c>
      <c r="I9" s="858"/>
      <c r="J9" s="254">
        <f>SUMIF(51:51,I9,52:52)-SUMIF(51:51,C9,52:52)+100</f>
        <v>100</v>
      </c>
      <c r="K9" s="522"/>
      <c r="L9" s="2132"/>
      <c r="M9" s="2133"/>
      <c r="N9" s="2133"/>
      <c r="O9" s="2134"/>
      <c r="P9" s="3287" t="s">
        <v>536</v>
      </c>
      <c r="Q9" s="1149" t="str">
        <f t="shared" ref="Q9:Q14" si="6">B9</f>
        <v>用途</v>
      </c>
      <c r="R9" s="1566" t="s">
        <v>8</v>
      </c>
      <c r="S9" s="1567">
        <f t="shared" si="0"/>
        <v>100</v>
      </c>
      <c r="T9" s="1566" t="s">
        <v>8</v>
      </c>
      <c r="U9" s="1567">
        <f t="shared" si="1"/>
        <v>100</v>
      </c>
      <c r="V9" s="1566" t="s">
        <v>8</v>
      </c>
      <c r="W9" s="1567">
        <f t="shared" si="2"/>
        <v>100</v>
      </c>
      <c r="X9" s="1568"/>
      <c r="Y9" s="3244" t="s">
        <v>537</v>
      </c>
      <c r="Z9" s="1148" t="str">
        <f t="shared" ref="Z9:Z14" si="7">Q9</f>
        <v>用途</v>
      </c>
      <c r="AA9" s="1569">
        <f t="shared" si="3"/>
        <v>1</v>
      </c>
      <c r="AB9" s="1569">
        <f t="shared" si="4"/>
        <v>1</v>
      </c>
      <c r="AC9" s="1569">
        <f t="shared" si="5"/>
        <v>1</v>
      </c>
    </row>
    <row r="10" spans="1:29" s="1336" customFormat="1" ht="27">
      <c r="A10" s="2878"/>
      <c r="B10" s="2883" t="s">
        <v>2762</v>
      </c>
      <c r="C10" s="859"/>
      <c r="D10" s="255">
        <v>100</v>
      </c>
      <c r="E10" s="859"/>
      <c r="F10" s="255">
        <f>SUMIF(53:53,E10,54:54)-SUMIF(53:53,C10,54:54)+100</f>
        <v>100</v>
      </c>
      <c r="G10" s="860"/>
      <c r="H10" s="255">
        <f>SUMIF(53:53,G10,54:54)-SUMIF(53:53,C10,54:54)+100</f>
        <v>100</v>
      </c>
      <c r="I10" s="859"/>
      <c r="J10" s="255">
        <f>SUMIF(53:53,I10,54:54)-SUMIF(53:53,C10,54:54)+100</f>
        <v>100</v>
      </c>
      <c r="K10" s="582"/>
      <c r="L10" s="2135"/>
      <c r="M10" s="2175"/>
      <c r="N10" s="2175"/>
      <c r="O10" s="2136"/>
      <c r="P10" s="3287"/>
      <c r="Q10" s="1149" t="str">
        <f t="shared" si="6"/>
        <v>土地使用年限（年）</v>
      </c>
      <c r="R10" s="1566" t="s">
        <v>8</v>
      </c>
      <c r="S10" s="1567">
        <f t="shared" si="0"/>
        <v>100</v>
      </c>
      <c r="T10" s="1566" t="s">
        <v>8</v>
      </c>
      <c r="U10" s="1567">
        <f t="shared" si="1"/>
        <v>100</v>
      </c>
      <c r="V10" s="1566" t="s">
        <v>8</v>
      </c>
      <c r="W10" s="1567">
        <f t="shared" si="2"/>
        <v>100</v>
      </c>
      <c r="X10" s="1568"/>
      <c r="Y10" s="3244"/>
      <c r="Z10" s="1148" t="str">
        <f t="shared" si="7"/>
        <v>土地使用年限（年）</v>
      </c>
      <c r="AA10" s="1569">
        <f t="shared" si="3"/>
        <v>1</v>
      </c>
      <c r="AB10" s="1569">
        <f t="shared" si="4"/>
        <v>1</v>
      </c>
      <c r="AC10" s="1569">
        <f t="shared" si="5"/>
        <v>1</v>
      </c>
    </row>
    <row r="11" spans="1:29" ht="15">
      <c r="A11" s="2880"/>
      <c r="B11" s="2886">
        <v>111</v>
      </c>
      <c r="C11" s="526"/>
      <c r="D11" s="255">
        <v>100</v>
      </c>
      <c r="E11" s="878"/>
      <c r="F11" s="255">
        <f>SUMIF(55:55,E11,56:56)-SUMIF(55:55,C11,56:56)+100</f>
        <v>100</v>
      </c>
      <c r="G11" s="878"/>
      <c r="H11" s="255">
        <f>SUMIF(55:55,G11,56:56)-SUMIF(55:55,C11,56:56)+100</f>
        <v>100</v>
      </c>
      <c r="I11" s="878"/>
      <c r="J11" s="255">
        <f>SUMIF(55:55,I11,56:56)-SUMIF(55:55,C11,56:56)+100</f>
        <v>100</v>
      </c>
      <c r="K11" s="579"/>
      <c r="L11" s="2137"/>
      <c r="M11" s="2131"/>
      <c r="N11" s="2131"/>
      <c r="O11" s="2138"/>
      <c r="P11" s="3287"/>
      <c r="Q11" s="1149">
        <f t="shared" si="6"/>
        <v>111</v>
      </c>
      <c r="R11" s="1566" t="s">
        <v>8</v>
      </c>
      <c r="S11" s="1567">
        <f t="shared" si="0"/>
        <v>100</v>
      </c>
      <c r="T11" s="1566" t="s">
        <v>8</v>
      </c>
      <c r="U11" s="1567">
        <f t="shared" si="1"/>
        <v>100</v>
      </c>
      <c r="V11" s="1566" t="s">
        <v>8</v>
      </c>
      <c r="W11" s="1567">
        <f t="shared" si="2"/>
        <v>100</v>
      </c>
      <c r="X11" s="1568"/>
      <c r="Y11" s="3244"/>
      <c r="Z11" s="1148">
        <f t="shared" si="7"/>
        <v>111</v>
      </c>
      <c r="AA11" s="1569">
        <f t="shared" si="3"/>
        <v>1</v>
      </c>
      <c r="AB11" s="1569">
        <f t="shared" si="4"/>
        <v>1</v>
      </c>
      <c r="AC11" s="1569">
        <f t="shared" si="5"/>
        <v>1</v>
      </c>
    </row>
    <row r="12" spans="1:29" s="1218" customFormat="1" ht="15">
      <c r="A12" s="2880"/>
      <c r="B12" s="2886">
        <v>111</v>
      </c>
      <c r="C12" s="526"/>
      <c r="D12" s="536">
        <v>100</v>
      </c>
      <c r="E12" s="878"/>
      <c r="F12" s="255">
        <f>SUMIF(57:57,E12,58:58)-SUMIF(57:57,C12,58:58)+100</f>
        <v>100</v>
      </c>
      <c r="G12" s="878"/>
      <c r="H12" s="255">
        <f>SUMIF(57:57,G12,58:58)-SUMIF(57:57,C12,58:58)+100</f>
        <v>100</v>
      </c>
      <c r="I12" s="878"/>
      <c r="J12" s="255">
        <f>SUMIF(57:57,I12,58:58)-SUMIF(57:57,C12,58:58)+100</f>
        <v>100</v>
      </c>
      <c r="K12" s="579"/>
      <c r="L12" s="2132"/>
      <c r="M12" s="2133"/>
      <c r="N12" s="2133"/>
      <c r="O12" s="2134"/>
      <c r="P12" s="3287"/>
      <c r="Q12" s="1149">
        <f t="shared" si="6"/>
        <v>111</v>
      </c>
      <c r="R12" s="1566" t="s">
        <v>8</v>
      </c>
      <c r="S12" s="1567">
        <f t="shared" si="0"/>
        <v>100</v>
      </c>
      <c r="T12" s="1566" t="s">
        <v>8</v>
      </c>
      <c r="U12" s="1567">
        <f t="shared" si="1"/>
        <v>100</v>
      </c>
      <c r="V12" s="1566" t="s">
        <v>8</v>
      </c>
      <c r="W12" s="1567">
        <f t="shared" si="2"/>
        <v>100</v>
      </c>
      <c r="X12" s="1568"/>
      <c r="Y12" s="3244"/>
      <c r="Z12" s="1148">
        <f t="shared" si="7"/>
        <v>111</v>
      </c>
      <c r="AA12" s="1569">
        <f>D12/F12</f>
        <v>1</v>
      </c>
      <c r="AB12" s="1569">
        <f>D12/H12</f>
        <v>1</v>
      </c>
      <c r="AC12" s="1569">
        <f>D12/J12</f>
        <v>1</v>
      </c>
    </row>
    <row r="13" spans="1:29" ht="15.75" thickBot="1">
      <c r="A13" s="2881"/>
      <c r="B13" s="2887">
        <v>111</v>
      </c>
      <c r="C13" s="537"/>
      <c r="D13" s="538">
        <v>100</v>
      </c>
      <c r="E13" s="878"/>
      <c r="F13" s="255">
        <f>SUMIF(59:59,E13,60:60)-SUMIF(59:59,C13,60:60)+100</f>
        <v>100</v>
      </c>
      <c r="G13" s="878"/>
      <c r="H13" s="538">
        <f>SUMIF(59:59,G13,60:60)-SUMIF(59:59,C13,60:60)+100</f>
        <v>100</v>
      </c>
      <c r="I13" s="878"/>
      <c r="J13" s="538">
        <f>SUMIF(59:59,I13,60:60)-SUMIF(59:59,C13,60:60)+100</f>
        <v>100</v>
      </c>
      <c r="K13" s="579"/>
      <c r="L13" s="2139"/>
      <c r="M13" s="2131"/>
      <c r="N13" s="2131"/>
      <c r="O13" s="2138"/>
      <c r="P13" s="3287"/>
      <c r="Q13" s="1149">
        <f t="shared" si="6"/>
        <v>111</v>
      </c>
      <c r="R13" s="1566" t="s">
        <v>8</v>
      </c>
      <c r="S13" s="1567">
        <f t="shared" si="0"/>
        <v>100</v>
      </c>
      <c r="T13" s="1566" t="s">
        <v>8</v>
      </c>
      <c r="U13" s="1567">
        <f t="shared" si="1"/>
        <v>100</v>
      </c>
      <c r="V13" s="1566" t="s">
        <v>8</v>
      </c>
      <c r="W13" s="1567">
        <f t="shared" si="2"/>
        <v>100</v>
      </c>
      <c r="X13" s="1568"/>
      <c r="Y13" s="3244"/>
      <c r="Z13" s="1148">
        <f t="shared" si="7"/>
        <v>111</v>
      </c>
      <c r="AA13" s="1569">
        <f t="shared" si="3"/>
        <v>1</v>
      </c>
      <c r="AB13" s="1569">
        <f t="shared" si="4"/>
        <v>1</v>
      </c>
      <c r="AC13" s="1569">
        <f t="shared" si="5"/>
        <v>1</v>
      </c>
    </row>
    <row r="14" spans="1:29" ht="85.5">
      <c r="A14" s="2873" t="s">
        <v>2759</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289" t="s">
        <v>541</v>
      </c>
      <c r="Q14" s="1570" t="str">
        <f t="shared" si="6"/>
        <v>交通便捷度</v>
      </c>
      <c r="R14" s="1571" t="s">
        <v>8</v>
      </c>
      <c r="S14" s="1572">
        <f t="shared" si="0"/>
        <v>100</v>
      </c>
      <c r="T14" s="1571" t="s">
        <v>8</v>
      </c>
      <c r="U14" s="1572">
        <f t="shared" si="1"/>
        <v>100</v>
      </c>
      <c r="V14" s="1571" t="s">
        <v>8</v>
      </c>
      <c r="W14" s="1572">
        <f t="shared" si="2"/>
        <v>100</v>
      </c>
      <c r="X14" s="1565"/>
      <c r="Y14" s="3289" t="s">
        <v>541</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290"/>
      <c r="Q15" s="1570"/>
      <c r="R15" s="1571"/>
      <c r="S15" s="1572"/>
      <c r="T15" s="1571"/>
      <c r="U15" s="1572"/>
      <c r="V15" s="1571"/>
      <c r="W15" s="1572"/>
      <c r="X15" s="1565"/>
      <c r="Y15" s="3290"/>
      <c r="Z15" s="1573"/>
      <c r="AA15" s="1574">
        <v>1</v>
      </c>
      <c r="AB15" s="1574">
        <v>1</v>
      </c>
      <c r="AC15" s="1574">
        <v>1</v>
      </c>
    </row>
    <row r="16" spans="1:29" ht="42.75">
      <c r="A16" s="530"/>
      <c r="B16" s="2621" t="s">
        <v>2549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290"/>
      <c r="Q16" s="1570" t="str">
        <f>B16</f>
        <v>公共配套设施</v>
      </c>
      <c r="R16" s="1571" t="s">
        <v>8</v>
      </c>
      <c r="S16" s="1572">
        <f>F16</f>
        <v>100</v>
      </c>
      <c r="T16" s="1571" t="s">
        <v>8</v>
      </c>
      <c r="U16" s="1572">
        <f>H16</f>
        <v>100</v>
      </c>
      <c r="V16" s="1571" t="s">
        <v>8</v>
      </c>
      <c r="W16" s="1572">
        <f>J16</f>
        <v>100</v>
      </c>
      <c r="X16" s="1565"/>
      <c r="Y16" s="3290"/>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290"/>
      <c r="Q17" s="1570"/>
      <c r="R17" s="1571"/>
      <c r="S17" s="1572"/>
      <c r="T17" s="1571"/>
      <c r="U17" s="1572"/>
      <c r="V17" s="1571"/>
      <c r="W17" s="1572"/>
      <c r="X17" s="1565"/>
      <c r="Y17" s="3290"/>
      <c r="Z17" s="1573"/>
      <c r="AA17" s="1574">
        <v>1</v>
      </c>
      <c r="AB17" s="1574">
        <v>1</v>
      </c>
      <c r="AC17" s="1574">
        <v>1</v>
      </c>
    </row>
    <row r="18" spans="1:29" ht="28.5">
      <c r="A18" s="530"/>
      <c r="B18" s="2609" t="s">
        <v>2561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290"/>
      <c r="Q18" s="2597" t="str">
        <f>B18</f>
        <v>基础设施水平</v>
      </c>
      <c r="R18" s="1571" t="s">
        <v>8</v>
      </c>
      <c r="S18" s="1572">
        <f>F18</f>
        <v>100</v>
      </c>
      <c r="T18" s="1571" t="s">
        <v>8</v>
      </c>
      <c r="U18" s="1572">
        <f>H18</f>
        <v>100</v>
      </c>
      <c r="V18" s="1571" t="s">
        <v>8</v>
      </c>
      <c r="W18" s="1572">
        <f>J18</f>
        <v>100</v>
      </c>
      <c r="X18" s="2599"/>
      <c r="Y18" s="3290"/>
      <c r="Z18" s="259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0"/>
      <c r="L19" s="2139"/>
      <c r="M19" s="2131"/>
      <c r="N19" s="2131"/>
      <c r="O19" s="2138"/>
      <c r="P19" s="3290"/>
      <c r="Q19" s="2597"/>
      <c r="R19" s="1571"/>
      <c r="S19" s="1572"/>
      <c r="T19" s="1571"/>
      <c r="U19" s="1572"/>
      <c r="V19" s="1571"/>
      <c r="W19" s="1572"/>
      <c r="X19" s="2599"/>
      <c r="Y19" s="3290"/>
      <c r="Z19" s="2598"/>
      <c r="AA19" s="1574">
        <v>1</v>
      </c>
      <c r="AB19" s="1574">
        <v>1</v>
      </c>
      <c r="AC19" s="1574">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290"/>
      <c r="Q20" s="1570" t="str">
        <f>B20</f>
        <v>自然及人文环境</v>
      </c>
      <c r="R20" s="1571" t="s">
        <v>8</v>
      </c>
      <c r="S20" s="1572">
        <f>F20</f>
        <v>100</v>
      </c>
      <c r="T20" s="1571" t="s">
        <v>8</v>
      </c>
      <c r="U20" s="1572">
        <f>H20</f>
        <v>100</v>
      </c>
      <c r="V20" s="1571" t="s">
        <v>8</v>
      </c>
      <c r="W20" s="1572">
        <f>J20</f>
        <v>100</v>
      </c>
      <c r="X20" s="1565"/>
      <c r="Y20" s="3290"/>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290"/>
      <c r="Q21" s="1570"/>
      <c r="R21" s="1571"/>
      <c r="S21" s="1572"/>
      <c r="T21" s="1571"/>
      <c r="U21" s="1572"/>
      <c r="V21" s="1571"/>
      <c r="W21" s="1572"/>
      <c r="X21" s="1565"/>
      <c r="Y21" s="3290"/>
      <c r="Z21" s="1573"/>
      <c r="AA21" s="1574">
        <v>1</v>
      </c>
      <c r="AB21" s="1574">
        <v>1</v>
      </c>
      <c r="AC21" s="1574">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290"/>
      <c r="Q22" s="1570" t="str">
        <f>B22</f>
        <v>楼层</v>
      </c>
      <c r="R22" s="1571" t="s">
        <v>8</v>
      </c>
      <c r="S22" s="1572">
        <f>F22</f>
        <v>100</v>
      </c>
      <c r="T22" s="1571" t="s">
        <v>8</v>
      </c>
      <c r="U22" s="1572">
        <f>H22</f>
        <v>100</v>
      </c>
      <c r="V22" s="1571" t="s">
        <v>8</v>
      </c>
      <c r="W22" s="1572">
        <f>J22</f>
        <v>100</v>
      </c>
      <c r="X22" s="1565"/>
      <c r="Y22" s="3290"/>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290"/>
      <c r="Q23" s="1570">
        <f>B23</f>
        <v>111</v>
      </c>
      <c r="R23" s="1571" t="s">
        <v>8</v>
      </c>
      <c r="S23" s="1572">
        <f>F23</f>
        <v>100</v>
      </c>
      <c r="T23" s="1571" t="s">
        <v>8</v>
      </c>
      <c r="U23" s="1572">
        <f>H23</f>
        <v>100</v>
      </c>
      <c r="V23" s="1571" t="s">
        <v>8</v>
      </c>
      <c r="W23" s="1572">
        <f>J23</f>
        <v>100</v>
      </c>
      <c r="X23" s="1565"/>
      <c r="Y23" s="3290"/>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290"/>
      <c r="Q24" s="1570">
        <f t="shared" ref="Q24:Q34" si="11">B24</f>
        <v>111</v>
      </c>
      <c r="R24" s="1571" t="s">
        <v>8</v>
      </c>
      <c r="S24" s="1572">
        <f>F24</f>
        <v>100</v>
      </c>
      <c r="T24" s="1571" t="s">
        <v>8</v>
      </c>
      <c r="U24" s="1572">
        <f>H24</f>
        <v>100</v>
      </c>
      <c r="V24" s="1571" t="s">
        <v>8</v>
      </c>
      <c r="W24" s="1572">
        <f>J24</f>
        <v>100</v>
      </c>
      <c r="X24" s="1565"/>
      <c r="Y24" s="3290"/>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290"/>
      <c r="Q25" s="1149">
        <f t="shared" si="11"/>
        <v>111</v>
      </c>
      <c r="R25" s="1566" t="s">
        <v>8</v>
      </c>
      <c r="S25" s="1567">
        <f>F25</f>
        <v>100</v>
      </c>
      <c r="T25" s="1566" t="s">
        <v>8</v>
      </c>
      <c r="U25" s="1567">
        <f>H25</f>
        <v>100</v>
      </c>
      <c r="V25" s="1566" t="s">
        <v>8</v>
      </c>
      <c r="W25" s="1567">
        <f>J25</f>
        <v>100</v>
      </c>
      <c r="X25" s="1568"/>
      <c r="Y25" s="3290"/>
      <c r="Z25" s="1148">
        <f>Q25</f>
        <v>111</v>
      </c>
      <c r="AA25" s="1574">
        <f>D25/F25</f>
        <v>1</v>
      </c>
      <c r="AB25" s="1574">
        <f>D25/H25</f>
        <v>1</v>
      </c>
      <c r="AC25" s="1574">
        <f>D25/J25</f>
        <v>1</v>
      </c>
    </row>
    <row r="26" spans="1:29" ht="15">
      <c r="A26" s="2870" t="s">
        <v>2760</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291"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292" t="s">
        <v>822</v>
      </c>
      <c r="Z26" s="1573" t="str">
        <f t="shared" ref="Z26:Z34" si="15">Q26</f>
        <v>公共部分装修</v>
      </c>
      <c r="AA26" s="1574">
        <f t="shared" si="3"/>
        <v>1</v>
      </c>
      <c r="AB26" s="1574">
        <f t="shared" si="4"/>
        <v>1</v>
      </c>
      <c r="AC26" s="1574">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292"/>
      <c r="Q27" s="1603" t="str">
        <f t="shared" si="11"/>
        <v>成新率</v>
      </c>
      <c r="R27" s="1575" t="s">
        <v>8</v>
      </c>
      <c r="S27" s="1576" t="e">
        <f t="shared" si="12"/>
        <v>#N/A</v>
      </c>
      <c r="T27" s="1575" t="s">
        <v>8</v>
      </c>
      <c r="U27" s="1576" t="e">
        <f t="shared" si="13"/>
        <v>#N/A</v>
      </c>
      <c r="V27" s="1575" t="s">
        <v>8</v>
      </c>
      <c r="W27" s="1576" t="e">
        <f t="shared" si="14"/>
        <v>#N/A</v>
      </c>
      <c r="X27" s="1577"/>
      <c r="Y27" s="3292"/>
      <c r="Z27" s="1578" t="str">
        <f t="shared" si="15"/>
        <v>成新率</v>
      </c>
      <c r="AA27" s="1574" t="e">
        <f t="shared" si="3"/>
        <v>#N/A</v>
      </c>
      <c r="AB27" s="1574" t="e">
        <f t="shared" si="4"/>
        <v>#N/A</v>
      </c>
      <c r="AC27" s="1574"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292"/>
      <c r="Q28" s="1570" t="str">
        <f t="shared" si="11"/>
        <v>物业等级</v>
      </c>
      <c r="R28" s="1571" t="s">
        <v>8</v>
      </c>
      <c r="S28" s="1572">
        <f t="shared" si="12"/>
        <v>100</v>
      </c>
      <c r="T28" s="1571" t="s">
        <v>8</v>
      </c>
      <c r="U28" s="1572">
        <f t="shared" si="13"/>
        <v>100</v>
      </c>
      <c r="V28" s="1571" t="s">
        <v>8</v>
      </c>
      <c r="W28" s="1572">
        <f t="shared" si="14"/>
        <v>100</v>
      </c>
      <c r="X28" s="1565"/>
      <c r="Y28" s="3292"/>
      <c r="Z28" s="1573" t="str">
        <f t="shared" si="15"/>
        <v>物业等级</v>
      </c>
      <c r="AA28" s="1574">
        <f t="shared" si="3"/>
        <v>1</v>
      </c>
      <c r="AB28" s="1574">
        <f t="shared" si="4"/>
        <v>1</v>
      </c>
      <c r="AC28" s="1574">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292"/>
      <c r="Q29" s="1570" t="str">
        <f t="shared" si="11"/>
        <v>有无电梯</v>
      </c>
      <c r="R29" s="1571" t="s">
        <v>8</v>
      </c>
      <c r="S29" s="1572">
        <f t="shared" si="12"/>
        <v>100</v>
      </c>
      <c r="T29" s="1571" t="s">
        <v>8</v>
      </c>
      <c r="U29" s="1572">
        <f t="shared" si="13"/>
        <v>100</v>
      </c>
      <c r="V29" s="1571" t="s">
        <v>8</v>
      </c>
      <c r="W29" s="1572">
        <f t="shared" si="14"/>
        <v>100</v>
      </c>
      <c r="X29" s="1565"/>
      <c r="Y29" s="3292"/>
      <c r="Z29" s="1573" t="str">
        <f t="shared" si="15"/>
        <v>有无电梯</v>
      </c>
      <c r="AA29" s="1574">
        <f t="shared" si="3"/>
        <v>1</v>
      </c>
      <c r="AB29" s="1574">
        <f t="shared" si="4"/>
        <v>1</v>
      </c>
      <c r="AC29" s="1574">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292"/>
      <c r="Q30" s="1570" t="str">
        <f t="shared" si="11"/>
        <v>建筑面积</v>
      </c>
      <c r="R30" s="1571" t="s">
        <v>8</v>
      </c>
      <c r="S30" s="1572" t="e">
        <f t="shared" si="12"/>
        <v>#N/A</v>
      </c>
      <c r="T30" s="1571" t="s">
        <v>8</v>
      </c>
      <c r="U30" s="1572" t="e">
        <f t="shared" si="13"/>
        <v>#N/A</v>
      </c>
      <c r="V30" s="1571" t="s">
        <v>8</v>
      </c>
      <c r="W30" s="1572" t="e">
        <f t="shared" si="14"/>
        <v>#N/A</v>
      </c>
      <c r="X30" s="1565"/>
      <c r="Y30" s="3292"/>
      <c r="Z30" s="1573" t="str">
        <f t="shared" si="15"/>
        <v>建筑面积</v>
      </c>
      <c r="AA30" s="1574" t="e">
        <f t="shared" si="3"/>
        <v>#N/A</v>
      </c>
      <c r="AB30" s="1574" t="e">
        <f t="shared" si="4"/>
        <v>#N/A</v>
      </c>
      <c r="AC30" s="1574"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292"/>
      <c r="Q31" s="1149" t="str">
        <f t="shared" si="11"/>
        <v>是否封闭</v>
      </c>
      <c r="R31" s="1566" t="s">
        <v>8</v>
      </c>
      <c r="S31" s="1567">
        <f t="shared" si="12"/>
        <v>100</v>
      </c>
      <c r="T31" s="1566" t="s">
        <v>8</v>
      </c>
      <c r="U31" s="1567">
        <f t="shared" si="13"/>
        <v>100</v>
      </c>
      <c r="V31" s="1566" t="s">
        <v>8</v>
      </c>
      <c r="W31" s="1567">
        <f t="shared" si="14"/>
        <v>100</v>
      </c>
      <c r="X31" s="1568"/>
      <c r="Y31" s="3292"/>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292" t="s">
        <v>551</v>
      </c>
      <c r="Q32" s="1570">
        <f t="shared" si="11"/>
        <v>111</v>
      </c>
      <c r="R32" s="1571" t="s">
        <v>8</v>
      </c>
      <c r="S32" s="1572">
        <f t="shared" si="12"/>
        <v>100</v>
      </c>
      <c r="T32" s="1571" t="s">
        <v>8</v>
      </c>
      <c r="U32" s="1572">
        <f t="shared" si="13"/>
        <v>100</v>
      </c>
      <c r="V32" s="1571" t="s">
        <v>8</v>
      </c>
      <c r="W32" s="1572">
        <f t="shared" si="14"/>
        <v>100</v>
      </c>
      <c r="X32" s="1565"/>
      <c r="Y32" s="3292" t="s">
        <v>551</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292"/>
      <c r="Q33" s="1570">
        <f t="shared" si="11"/>
        <v>111</v>
      </c>
      <c r="R33" s="1571" t="s">
        <v>8</v>
      </c>
      <c r="S33" s="1572">
        <f t="shared" si="12"/>
        <v>100</v>
      </c>
      <c r="T33" s="1571" t="s">
        <v>8</v>
      </c>
      <c r="U33" s="1572">
        <f t="shared" si="13"/>
        <v>100</v>
      </c>
      <c r="V33" s="1571" t="s">
        <v>8</v>
      </c>
      <c r="W33" s="1572">
        <f t="shared" si="14"/>
        <v>100</v>
      </c>
      <c r="X33" s="1565"/>
      <c r="Y33" s="3292"/>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292"/>
      <c r="Q34" s="1570">
        <f t="shared" si="11"/>
        <v>111</v>
      </c>
      <c r="R34" s="1571" t="s">
        <v>8</v>
      </c>
      <c r="S34" s="1572">
        <f t="shared" si="12"/>
        <v>100</v>
      </c>
      <c r="T34" s="1571" t="s">
        <v>8</v>
      </c>
      <c r="U34" s="1572">
        <f t="shared" si="13"/>
        <v>100</v>
      </c>
      <c r="V34" s="1571" t="s">
        <v>8</v>
      </c>
      <c r="W34" s="1572">
        <f t="shared" si="14"/>
        <v>100</v>
      </c>
      <c r="X34" s="1565"/>
      <c r="Y34" s="3292"/>
      <c r="Z34" s="1573">
        <f t="shared" si="15"/>
        <v>111</v>
      </c>
      <c r="AA34" s="1574">
        <f t="shared" si="3"/>
        <v>1</v>
      </c>
      <c r="AB34" s="1574">
        <f t="shared" si="4"/>
        <v>1</v>
      </c>
      <c r="AC34" s="1574">
        <f t="shared" si="5"/>
        <v>1</v>
      </c>
    </row>
    <row r="35" spans="1:29" ht="15">
      <c r="A35" s="605" t="s">
        <v>737</v>
      </c>
      <c r="B35" s="885"/>
      <c r="C35" s="2645" t="s">
        <v>1</v>
      </c>
      <c r="D35" s="2646"/>
      <c r="E35" s="2647"/>
      <c r="F35" s="2648"/>
      <c r="G35" s="2649"/>
      <c r="H35" s="2650"/>
      <c r="I35" s="2647"/>
      <c r="J35" s="2650"/>
      <c r="K35" s="1609"/>
      <c r="L35" s="2141"/>
      <c r="M35" s="2142"/>
      <c r="N35" s="2131"/>
      <c r="O35" s="2142"/>
      <c r="P35" s="3287" t="str">
        <f>A35</f>
        <v>成交单价（元/平方米）</v>
      </c>
      <c r="Q35" s="3287"/>
      <c r="R35" s="3387">
        <f>E35</f>
        <v>0</v>
      </c>
      <c r="S35" s="3387"/>
      <c r="T35" s="3387">
        <f>G35</f>
        <v>0</v>
      </c>
      <c r="U35" s="3387"/>
      <c r="V35" s="3387">
        <f>I35</f>
        <v>0</v>
      </c>
      <c r="W35" s="3387"/>
      <c r="X35" s="1557"/>
      <c r="Y35" s="1579"/>
      <c r="Z35" s="1557"/>
      <c r="AA35" s="1557"/>
      <c r="AB35" s="1557"/>
      <c r="AC35" s="1557"/>
    </row>
    <row r="36" spans="1:29" ht="15.75" thickBot="1">
      <c r="A36" s="613" t="s">
        <v>2765</v>
      </c>
      <c r="B36" s="886"/>
      <c r="C36" s="2651" t="e">
        <f>R37</f>
        <v>#DIV/0!</v>
      </c>
      <c r="D36" s="2652"/>
      <c r="E36" s="2653" t="e">
        <f>R36</f>
        <v>#DIV/0!</v>
      </c>
      <c r="F36" s="2653"/>
      <c r="G36" s="2651" t="e">
        <f>T36</f>
        <v>#DIV/0!</v>
      </c>
      <c r="H36" s="2652"/>
      <c r="I36" s="2653" t="e">
        <f>V36</f>
        <v>#DIV/0!</v>
      </c>
      <c r="J36" s="2652"/>
      <c r="K36" s="1610"/>
      <c r="L36" s="2141"/>
      <c r="M36" s="2142"/>
      <c r="N36" s="2131"/>
      <c r="O36" s="2142"/>
      <c r="P36" s="3287" t="str">
        <f>A36</f>
        <v>比较价格（元/平方米）</v>
      </c>
      <c r="Q36" s="3287"/>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1557"/>
      <c r="Y36" s="1557"/>
      <c r="Z36" s="1557"/>
      <c r="AA36" s="1557"/>
      <c r="AB36" s="1557"/>
      <c r="AC36" s="1557"/>
    </row>
    <row r="37" spans="1:29" ht="15.75" thickBot="1">
      <c r="A37" s="619" t="s">
        <v>2939</v>
      </c>
      <c r="B37" s="620"/>
      <c r="C37" s="2654" t="e">
        <f>R37</f>
        <v>#DIV/0!</v>
      </c>
      <c r="D37" s="2654"/>
      <c r="E37" s="2654"/>
      <c r="F37" s="2654"/>
      <c r="G37" s="2654"/>
      <c r="H37" s="2654"/>
      <c r="I37" s="2654"/>
      <c r="J37" s="2654"/>
      <c r="K37" s="1611"/>
      <c r="L37" s="2141"/>
      <c r="M37" s="2142"/>
      <c r="N37" s="2142"/>
      <c r="O37" s="2142"/>
      <c r="P37" s="3308" t="str">
        <f>A37</f>
        <v>估价对象XX用房的比较价格（楼面单价，元/平方米）</v>
      </c>
      <c r="Q37" s="3309"/>
      <c r="R37" s="3386" t="e">
        <f>IF(F1="售价",ROUND(AVERAGE(R36:V36),0),ROUND(AVERAGE(R36:V36),1))</f>
        <v>#DIV/0!</v>
      </c>
      <c r="S37" s="3386"/>
      <c r="T37" s="3386"/>
      <c r="U37" s="3386"/>
      <c r="V37" s="3386"/>
      <c r="W37" s="3386"/>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575</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530</v>
      </c>
      <c r="B46" s="644"/>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576</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532</v>
      </c>
      <c r="B49" s="646"/>
      <c r="C49" s="658" t="s">
        <v>577</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578</v>
      </c>
      <c r="B51" s="663" t="s">
        <v>535</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2560</v>
      </c>
      <c r="C63" s="706" t="s">
        <v>580</v>
      </c>
      <c r="D63" s="706" t="s">
        <v>581</v>
      </c>
      <c r="E63" s="706" t="s">
        <v>582</v>
      </c>
      <c r="F63" s="706" t="s">
        <v>583</v>
      </c>
      <c r="G63" s="706" t="s">
        <v>584</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5" t="s">
        <v>2561</v>
      </c>
      <c r="C65" s="2616" t="s">
        <v>2562</v>
      </c>
      <c r="D65" s="2616" t="s">
        <v>2563</v>
      </c>
      <c r="E65" s="2616" t="s">
        <v>2564</v>
      </c>
      <c r="F65" s="2616" t="s">
        <v>2565</v>
      </c>
      <c r="G65" s="2616" t="s">
        <v>2566</v>
      </c>
      <c r="H65" s="672"/>
      <c r="I65" s="672"/>
      <c r="J65" s="672"/>
      <c r="K65" s="672"/>
      <c r="L65" s="672"/>
      <c r="M65" s="2619"/>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745</v>
      </c>
      <c r="C67" s="706" t="s">
        <v>580</v>
      </c>
      <c r="D67" s="706" t="s">
        <v>581</v>
      </c>
      <c r="E67" s="706" t="s">
        <v>582</v>
      </c>
      <c r="F67" s="706" t="s">
        <v>583</v>
      </c>
      <c r="G67" s="706" t="s">
        <v>584</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746</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552</v>
      </c>
      <c r="B77" s="663" t="s">
        <v>752</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818</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826</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828</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7"/>
    <col min="36" max="16384" width="9" style="1248"/>
  </cols>
  <sheetData>
    <row r="1" spans="1:45" s="257" customFormat="1" ht="14.25" customHeight="1" thickBot="1">
      <c r="A1" s="365"/>
      <c r="B1" s="2231" t="s">
        <v>2304</v>
      </c>
      <c r="C1" s="3396" t="s">
        <v>2305</v>
      </c>
      <c r="D1" s="3397"/>
      <c r="E1" s="3397"/>
      <c r="F1" s="3397"/>
      <c r="G1" s="3397"/>
      <c r="H1" s="3397"/>
      <c r="I1" s="3397"/>
      <c r="J1" s="3397"/>
      <c r="K1" s="3397"/>
      <c r="L1" s="3397"/>
      <c r="M1" s="3397"/>
      <c r="N1" s="3397"/>
      <c r="O1" s="3397"/>
      <c r="P1" s="3397"/>
      <c r="Q1" s="3397"/>
      <c r="R1" s="3397"/>
      <c r="S1" s="3398"/>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4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48" t="s">
        <v>2931</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48" t="s">
        <v>2930</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4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4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4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4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829</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830</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831</v>
      </c>
      <c r="B22" s="53">
        <f>SUM(B24:B10000)</f>
        <v>0</v>
      </c>
      <c r="C22" s="3393" t="s">
        <v>20</v>
      </c>
      <c r="D22" s="3394"/>
      <c r="E22" s="3394"/>
      <c r="F22" s="3394"/>
      <c r="G22" s="3394"/>
      <c r="H22" s="3394"/>
      <c r="I22" s="3394"/>
      <c r="J22" s="3394"/>
      <c r="K22" s="3394"/>
      <c r="L22" s="3394"/>
      <c r="M22" s="3394"/>
      <c r="N22" s="3394"/>
      <c r="O22" s="3394"/>
      <c r="P22" s="3394"/>
      <c r="Q22" s="3395"/>
      <c r="R22" s="488"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2793</v>
      </c>
      <c r="C1" s="2967">
        <f>项目基本情况!D3</f>
        <v>43054</v>
      </c>
      <c r="H1" s="2901">
        <f>IF(C1&gt;C13,0,MATCH(C1,C$13:C$100,-1))+IF(SUMIF(C13:C100,C1,D13:D100)=0,13,12)</f>
        <v>13</v>
      </c>
      <c r="I1" s="2901">
        <f ca="1">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2824</v>
      </c>
      <c r="C2" s="2968">
        <f>'数据-取费表'!B22</f>
        <v>3</v>
      </c>
      <c r="D2" s="2963" t="s">
        <v>2794</v>
      </c>
      <c r="E2" s="2966">
        <f ca="1">INDIRECT("I"&amp;$I$1)/100</f>
        <v>4.7500000000000001E-2</v>
      </c>
      <c r="G2" s="2903"/>
      <c r="H2" s="2903"/>
      <c r="I2" s="2903" t="s">
        <v>2795</v>
      </c>
      <c r="K2" s="2903"/>
      <c r="L2" s="2903"/>
      <c r="M2" s="2903"/>
      <c r="N2" s="2903" t="s">
        <v>2796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2826</v>
      </c>
      <c r="C3" s="2965">
        <f>'数据-取费表'!B19</f>
        <v>0</v>
      </c>
      <c r="D3" s="2963" t="s">
        <v>2794</v>
      </c>
      <c r="E3" s="2966">
        <f ca="1">INDIRECT("J"&amp;$J$1)/100</f>
        <v>0</v>
      </c>
      <c r="G3" s="2905" t="s">
        <v>2797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2825</v>
      </c>
      <c r="C4" s="2966">
        <f ca="1">N4/100</f>
        <v>1.4999999999999999E-2</v>
      </c>
      <c r="G4" s="2911" t="s">
        <v>2798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2800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2801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2802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2803</v>
      </c>
      <c r="C10" s="2930"/>
      <c r="D10" s="2930"/>
      <c r="E10" s="2930"/>
      <c r="F10" s="2930"/>
      <c r="G10" s="2930"/>
      <c r="H10" s="2930"/>
      <c r="I10" s="2904"/>
      <c r="J10" s="2904"/>
      <c r="K10" s="2930"/>
      <c r="L10" s="2931" t="s">
        <v>2804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2805</v>
      </c>
      <c r="C11" s="2935" t="s">
        <v>2806</v>
      </c>
      <c r="D11" s="2936" t="s">
        <v>2807</v>
      </c>
      <c r="E11" s="2937"/>
      <c r="F11" s="2936" t="s">
        <v>2808</v>
      </c>
      <c r="G11" s="2938"/>
      <c r="H11" s="2937"/>
      <c r="I11" s="2936" t="s">
        <v>2809</v>
      </c>
      <c r="J11" s="2937"/>
      <c r="K11" s="2933"/>
      <c r="L11" s="2934" t="s">
        <v>2805</v>
      </c>
      <c r="M11" s="2935" t="s">
        <v>2806</v>
      </c>
      <c r="N11" s="2934" t="s">
        <v>2810</v>
      </c>
      <c r="O11" s="2936" t="s">
        <v>2811</v>
      </c>
      <c r="P11" s="2938"/>
      <c r="Q11" s="2938"/>
      <c r="R11" s="2938"/>
      <c r="S11" s="2938"/>
      <c r="T11" s="2937"/>
      <c r="U11" s="2936" t="s">
        <v>2812</v>
      </c>
      <c r="V11" s="2938"/>
      <c r="W11" s="2937"/>
      <c r="X11" s="2934" t="s">
        <v>2813</v>
      </c>
      <c r="Y11" s="2934" t="s">
        <v>2814</v>
      </c>
      <c r="Z11" s="2934" t="s">
        <v>2815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2816</v>
      </c>
      <c r="E12" s="2943" t="s">
        <v>2817</v>
      </c>
      <c r="F12" s="2943" t="s">
        <v>2818</v>
      </c>
      <c r="G12" s="2943" t="s">
        <v>2819</v>
      </c>
      <c r="H12" s="2943" t="s">
        <v>2801</v>
      </c>
      <c r="I12" s="2944" t="s">
        <v>2820</v>
      </c>
      <c r="J12" s="2944" t="s">
        <v>2820</v>
      </c>
      <c r="K12" s="2940"/>
      <c r="L12" s="2941"/>
      <c r="M12" s="2942"/>
      <c r="N12" s="2941"/>
      <c r="O12" s="2944" t="s">
        <v>2821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2822</v>
      </c>
      <c r="C13" s="2948">
        <v>42301</v>
      </c>
      <c r="D13" s="2949">
        <v>4.3499999999999996</v>
      </c>
      <c r="E13" s="2949">
        <v>4.3499999999999996</v>
      </c>
      <c r="F13" s="2949">
        <v>4.75</v>
      </c>
      <c r="G13" s="2949">
        <v>4.75</v>
      </c>
      <c r="H13" s="2949">
        <v>4.9000000000000004</v>
      </c>
      <c r="I13" s="2949">
        <v>2.75</v>
      </c>
      <c r="J13" s="2949">
        <v>3.25</v>
      </c>
      <c r="K13" s="2946"/>
      <c r="L13" s="2947" t="s">
        <v>2822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2823</v>
      </c>
      <c r="Y42" s="2953" t="s">
        <v>2823</v>
      </c>
      <c r="Z42" s="2953" t="s">
        <v>2823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2823</v>
      </c>
      <c r="Y43" s="2953" t="s">
        <v>2823</v>
      </c>
      <c r="Z43" s="2953" t="s">
        <v>2823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2823</v>
      </c>
      <c r="Y44" s="2953" t="s">
        <v>2823</v>
      </c>
      <c r="Z44" s="2953" t="s">
        <v>2823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2823</v>
      </c>
      <c r="Y45" s="2953" t="s">
        <v>2823</v>
      </c>
      <c r="Z45" s="2953" t="s">
        <v>2823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2823</v>
      </c>
      <c r="Y46" s="2953" t="s">
        <v>2823</v>
      </c>
      <c r="Z46" s="2953" t="s">
        <v>2823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2823</v>
      </c>
      <c r="Y47" s="2953" t="s">
        <v>2823</v>
      </c>
      <c r="Z47" s="2953" t="s">
        <v>2823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2823</v>
      </c>
      <c r="Y48" s="2953" t="s">
        <v>2823</v>
      </c>
      <c r="Z48" s="2953" t="s">
        <v>2823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2823</v>
      </c>
      <c r="Y49" s="2953" t="s">
        <v>2823</v>
      </c>
      <c r="Z49" s="2953" t="s">
        <v>2823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2823</v>
      </c>
      <c r="Y50" s="2953" t="s">
        <v>2823</v>
      </c>
      <c r="Z50" s="2953" t="s">
        <v>2823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2823</v>
      </c>
      <c r="V51" s="2953" t="s">
        <v>2823</v>
      </c>
      <c r="W51" s="2953" t="s">
        <v>2823</v>
      </c>
      <c r="X51" s="2953" t="s">
        <v>2823</v>
      </c>
      <c r="Y51" s="2953" t="s">
        <v>2823</v>
      </c>
      <c r="Z51" s="2953" t="s">
        <v>2823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2823</v>
      </c>
      <c r="J55" s="2953" t="s">
        <v>2823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10" t="s">
        <v>2039</v>
      </c>
      <c r="B1" s="3110"/>
      <c r="C1" s="3110"/>
      <c r="D1" s="3110"/>
      <c r="E1" s="3110"/>
      <c r="F1" s="3110"/>
      <c r="G1" s="3110"/>
      <c r="H1" s="3110"/>
      <c r="I1" s="3110"/>
      <c r="J1" s="3110"/>
      <c r="K1" s="3110"/>
      <c r="L1" s="3110"/>
      <c r="M1" s="3110"/>
      <c r="N1" s="3110"/>
      <c r="O1" s="3110"/>
      <c r="P1" s="3110"/>
      <c r="Q1" s="3110"/>
      <c r="R1" s="3110"/>
    </row>
    <row r="2" spans="1:18">
      <c r="A2" s="1804" t="s">
        <v>2041</v>
      </c>
      <c r="B2" s="1804"/>
      <c r="C2" s="1804"/>
      <c r="D2" s="1804"/>
      <c r="E2" s="1804"/>
      <c r="F2" s="1804"/>
      <c r="G2" s="1804"/>
      <c r="H2" s="1804"/>
      <c r="I2" s="1805"/>
      <c r="J2" s="1805"/>
      <c r="K2" s="1806" t="str">
        <f>"估价期日："&amp;TEXT(项目基本情况!D3,"yyyy年m月d日;;")</f>
        <v>估价期日：2017年11月15日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111" t="s">
        <v>2030</v>
      </c>
      <c r="B3" s="3111" t="s">
        <v>2736</v>
      </c>
      <c r="C3" s="3112" t="s">
        <v>2031</v>
      </c>
      <c r="D3" s="3111" t="s">
        <v>2740</v>
      </c>
      <c r="E3" s="3114" t="s">
        <v>2032</v>
      </c>
      <c r="F3" s="3114"/>
      <c r="G3" s="3114"/>
      <c r="H3" s="3114" t="s">
        <v>2033</v>
      </c>
      <c r="I3" s="3114"/>
      <c r="J3" s="3114"/>
      <c r="K3" s="3112" t="s">
        <v>2034</v>
      </c>
      <c r="L3" s="3112" t="s">
        <v>2035</v>
      </c>
      <c r="M3" s="3111" t="s">
        <v>2737</v>
      </c>
      <c r="N3" s="3113" t="str">
        <f>"（分摊）"&amp;项目基本情况!B16&amp;"国有建设用地使用权面积/㎡"</f>
        <v>（分摊）出让国有建设用地使用权面积/㎡</v>
      </c>
      <c r="O3" s="3111" t="s">
        <v>2064</v>
      </c>
      <c r="P3" s="3112" t="s">
        <v>2044</v>
      </c>
      <c r="Q3" s="3112" t="s">
        <v>2065</v>
      </c>
      <c r="R3" s="3112" t="s">
        <v>2036</v>
      </c>
    </row>
    <row r="4" spans="1:18" ht="36.75" customHeight="1">
      <c r="A4" s="3111"/>
      <c r="B4" s="3111"/>
      <c r="C4" s="3112"/>
      <c r="D4" s="3111"/>
      <c r="E4" s="2668" t="s">
        <v>2043</v>
      </c>
      <c r="F4" s="2668" t="s">
        <v>2749</v>
      </c>
      <c r="G4" s="2668" t="s">
        <v>2037</v>
      </c>
      <c r="H4" s="2668" t="s">
        <v>2038</v>
      </c>
      <c r="I4" s="2668" t="s">
        <v>2750</v>
      </c>
      <c r="J4" s="2668" t="s">
        <v>2037</v>
      </c>
      <c r="K4" s="3112"/>
      <c r="L4" s="3112"/>
      <c r="M4" s="3111"/>
      <c r="N4" s="3113"/>
      <c r="O4" s="3111"/>
      <c r="P4" s="3112"/>
      <c r="Q4" s="3112"/>
      <c r="R4" s="3112"/>
    </row>
    <row r="5" spans="1:18" ht="135" customHeight="1">
      <c r="A5" s="1940" t="s">
        <v>2660</v>
      </c>
      <c r="B5" s="2830" t="s">
        <v>2658</v>
      </c>
      <c r="C5" s="2667">
        <v>22</v>
      </c>
      <c r="D5" s="2666" t="s">
        <v>2659</v>
      </c>
      <c r="E5" s="1807" t="str">
        <f>项目基本情况!B12</f>
        <v>住宅、商业</v>
      </c>
      <c r="F5" s="2666">
        <v>258</v>
      </c>
      <c r="G5" s="1807" t="str">
        <f>项目基本情况!B13</f>
        <v>住宅、商业</v>
      </c>
      <c r="H5" s="2666">
        <v>1.5</v>
      </c>
      <c r="I5" s="2666">
        <v>1.5</v>
      </c>
      <c r="J5" s="2666">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t="str">
        <f>IF(项目基本情况!B16="出让",项目基本情况!D20,"——")</f>
        <v>住宅70年、商业40年、办公40年、地下车库50年</v>
      </c>
      <c r="N5" s="1807">
        <f>项目基本情况!C22</f>
        <v>171496.93</v>
      </c>
      <c r="O5" s="1807">
        <f>项目基本情况!C21</f>
        <v>537479.47</v>
      </c>
      <c r="P5" s="1807">
        <f ca="1">结果表!E42</f>
        <v>7318</v>
      </c>
      <c r="Q5" s="1807">
        <f ca="1">结果表!D42</f>
        <v>2335</v>
      </c>
      <c r="R5" s="1808">
        <f ca="1">结果表!C42</f>
        <v>125507</v>
      </c>
    </row>
    <row r="6" spans="1:18">
      <c r="A6" s="3107" t="str">
        <f>IF(项目基本情况!B9="市场价格","——","抵押价格")</f>
        <v>——</v>
      </c>
      <c r="B6" s="3108"/>
      <c r="C6" s="3108"/>
      <c r="D6" s="3108"/>
      <c r="E6" s="3108"/>
      <c r="F6" s="3108"/>
      <c r="G6" s="3108"/>
      <c r="H6" s="3108"/>
      <c r="I6" s="3108"/>
      <c r="J6" s="3108"/>
      <c r="K6" s="3108"/>
      <c r="L6" s="3108"/>
      <c r="M6" s="3108"/>
      <c r="N6" s="3108"/>
      <c r="O6" s="3108"/>
      <c r="P6" s="3108"/>
      <c r="Q6" s="3109"/>
      <c r="R6" s="1809" t="str">
        <f>结果表!O39</f>
        <v>——</v>
      </c>
    </row>
    <row r="7" spans="1:18">
      <c r="A7" s="3107" t="str">
        <f>IF(项目基本情况!B9="市场价格","——",IF(项目基本情况!E8="已注销及未注销","抵押担保权已注销时的抵押价格","——"))</f>
        <v>——</v>
      </c>
      <c r="B7" s="3108"/>
      <c r="C7" s="3108"/>
      <c r="D7" s="3108"/>
      <c r="E7" s="3108"/>
      <c r="F7" s="3108"/>
      <c r="G7" s="3108"/>
      <c r="H7" s="3108"/>
      <c r="I7" s="3108"/>
      <c r="J7" s="3108"/>
      <c r="K7" s="3108"/>
      <c r="L7" s="3108"/>
      <c r="M7" s="3108"/>
      <c r="N7" s="3108"/>
      <c r="O7" s="3108"/>
      <c r="P7" s="3108"/>
      <c r="Q7" s="3109"/>
      <c r="R7" s="1809">
        <f ca="1">结果表!O40</f>
        <v>125507</v>
      </c>
    </row>
    <row r="8" spans="1:18">
      <c r="A8" s="3107" t="str">
        <f>IF(项目基本情况!B9="市场价格","——",项目基本情况!E9)</f>
        <v>——</v>
      </c>
      <c r="B8" s="3108"/>
      <c r="C8" s="3108"/>
      <c r="D8" s="3108"/>
      <c r="E8" s="3108"/>
      <c r="F8" s="3108"/>
      <c r="G8" s="3108"/>
      <c r="H8" s="3108"/>
      <c r="I8" s="3108"/>
      <c r="J8" s="3108"/>
      <c r="K8" s="3108"/>
      <c r="L8" s="3108"/>
      <c r="M8" s="3108"/>
      <c r="N8" s="3108"/>
      <c r="O8" s="3108"/>
      <c r="P8" s="3108"/>
      <c r="Q8" s="3109"/>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115" t="s">
        <v>2066</v>
      </c>
      <c r="B1" s="3115"/>
      <c r="C1" s="3115"/>
      <c r="D1" s="3115"/>
    </row>
    <row r="2" spans="1:4" ht="47.25" customHeight="1">
      <c r="A2" s="3119" t="str">
        <f>"1.权利限制："&amp;项目基本情况!L24&amp;"未设定租赁等其他他项权利。"</f>
        <v>1.权利限制：根据估价对象——复印件，截至估价期日，估价对象抵押权未见登记。未设定租赁等其他他项权利。</v>
      </c>
      <c r="B2" s="3119"/>
      <c r="C2" s="3119"/>
      <c r="D2" s="3119"/>
    </row>
    <row r="3" spans="1:4" ht="48" customHeight="1">
      <c r="A3" s="31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15"/>
      <c r="C3" s="3115"/>
      <c r="D3" s="3115"/>
    </row>
    <row r="4" spans="1:4" ht="36.75" customHeight="1">
      <c r="A4" s="3115" t="str">
        <f>"3.估价规划限制条件：详见"&amp;项目基本情况!E21&amp;"。"</f>
        <v>3.估价规划限制条件：详见《抵押物清单》。</v>
      </c>
      <c r="B4" s="3115"/>
      <c r="C4" s="3115"/>
      <c r="D4" s="3115"/>
    </row>
    <row r="5" spans="1:4">
      <c r="A5" s="3118" t="s">
        <v>2067</v>
      </c>
      <c r="B5" s="3118"/>
      <c r="C5" s="3118"/>
      <c r="D5" s="3118"/>
    </row>
    <row r="6" spans="1:4">
      <c r="A6" s="3115" t="s">
        <v>2045</v>
      </c>
      <c r="B6" s="3115"/>
      <c r="C6" s="3115"/>
      <c r="D6" s="3115"/>
    </row>
    <row r="7" spans="1:4" ht="33" customHeight="1">
      <c r="A7" s="3115" t="s">
        <v>2578</v>
      </c>
      <c r="B7" s="3115"/>
      <c r="C7" s="3115"/>
      <c r="D7" s="3115"/>
    </row>
    <row r="8" spans="1:4" ht="32.25" customHeight="1">
      <c r="A8" s="31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15"/>
      <c r="C8" s="3115"/>
      <c r="D8" s="3115"/>
    </row>
    <row r="9" spans="1:4" ht="33.75" customHeight="1">
      <c r="A9" s="3115" t="str">
        <f>IF(项目基本情况!B8="抵押","3.抵押双方在办理抵押登记手续时，应使用本公司出具的正式《土地估价报告》，特提请报告使用者注意。","——")</f>
        <v>——</v>
      </c>
      <c r="B9" s="3115"/>
      <c r="C9" s="3115"/>
      <c r="D9" s="3115"/>
    </row>
    <row r="10" spans="1:4">
      <c r="A10" s="3115" t="str">
        <f>IF(项目基本情况!B8="抵押","4.估价师所知悉的法定优先受偿款情况为：","——")</f>
        <v>——</v>
      </c>
      <c r="B10" s="3115"/>
      <c r="C10" s="3115"/>
      <c r="D10" s="3115"/>
    </row>
    <row r="11" spans="1:4" ht="37.5" customHeight="1">
      <c r="A11" s="3117" t="str">
        <f>IF(项目基本情况!B8="抵押","（1）"&amp;CONCATENATE(项目基本情况!L24,项目基本情况!L25,项目基本情况!L26),"——")</f>
        <v>——</v>
      </c>
      <c r="B11" s="3117"/>
      <c r="C11" s="3117"/>
      <c r="D11" s="3117"/>
    </row>
    <row r="12" spans="1:4" ht="168" customHeight="1">
      <c r="A12" s="3118" t="s">
        <v>2069</v>
      </c>
      <c r="B12" s="3118"/>
      <c r="C12" s="3118"/>
      <c r="D12" s="3118"/>
    </row>
    <row r="13" spans="1:4">
      <c r="A13" s="3116" t="s">
        <v>2751</v>
      </c>
      <c r="B13" s="3116"/>
      <c r="C13" s="3116"/>
      <c r="D13" s="3116"/>
    </row>
    <row r="14" spans="1:4">
      <c r="A14" s="3117" t="str">
        <f>IF(项目基本情况!B8="抵押","综上，"&amp;结果表!K47,"——")</f>
        <v>——</v>
      </c>
      <c r="B14" s="3117"/>
      <c r="C14" s="3117"/>
      <c r="D14" s="3117"/>
    </row>
    <row r="15" spans="1:4" ht="58.5" customHeight="1">
      <c r="A15" s="31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15"/>
      <c r="C15" s="3115"/>
      <c r="D15" s="3115"/>
    </row>
    <row r="16" spans="1:4" ht="70.5" customHeight="1">
      <c r="A16" s="31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15"/>
      <c r="C16" s="3115"/>
      <c r="D16" s="3115"/>
    </row>
    <row r="17" spans="1:4">
      <c r="A17" s="3115" t="s">
        <v>2707</v>
      </c>
      <c r="B17" s="3115"/>
      <c r="C17" s="3115"/>
      <c r="D17" s="3115"/>
    </row>
    <row r="18" spans="1:4">
      <c r="A18" s="3115" t="s">
        <v>2699</v>
      </c>
      <c r="B18" s="3115"/>
      <c r="C18" s="3115"/>
      <c r="D18" s="3115"/>
    </row>
    <row r="19" spans="1:4">
      <c r="A19" s="2831" t="s">
        <v>2700</v>
      </c>
      <c r="B19" s="2831" t="s">
        <v>2701</v>
      </c>
      <c r="C19" s="2831" t="s">
        <v>2702</v>
      </c>
      <c r="D19" s="2831" t="s">
        <v>2703</v>
      </c>
    </row>
    <row r="20" spans="1:4">
      <c r="A20" s="2831" t="str">
        <f>项目基本情况!B4</f>
        <v>王鹏</v>
      </c>
      <c r="B20" s="2831">
        <f ca="1">项目基本情况!C4</f>
        <v>2002110030</v>
      </c>
      <c r="C20" s="2833"/>
      <c r="D20" s="1797" t="s">
        <v>2708</v>
      </c>
    </row>
    <row r="21" spans="1:4">
      <c r="A21" s="2831" t="str">
        <f>项目基本情况!D4</f>
        <v>郑燚</v>
      </c>
      <c r="B21" s="2831">
        <f>项目基本情况!E4</f>
        <v>2014110011</v>
      </c>
      <c r="C21" s="2833"/>
      <c r="D21" s="1797" t="s">
        <v>2709</v>
      </c>
    </row>
    <row r="23" spans="1:4">
      <c r="A23" s="3115" t="s">
        <v>2704</v>
      </c>
      <c r="B23" s="3115"/>
      <c r="C23" s="3115"/>
      <c r="D23" s="3115"/>
    </row>
    <row r="24" spans="1:4">
      <c r="A24" s="2831" t="s">
        <v>2700</v>
      </c>
      <c r="B24" s="2831" t="s">
        <v>2705</v>
      </c>
      <c r="C24" s="2831" t="s">
        <v>2702</v>
      </c>
      <c r="D24" s="2831" t="s">
        <v>2703</v>
      </c>
    </row>
    <row r="25" spans="1:4">
      <c r="A25" s="2834" t="s">
        <v>2706</v>
      </c>
      <c r="B25" s="2831" t="s">
        <v>953</v>
      </c>
      <c r="C25" s="2833"/>
      <c r="D25" s="1797" t="s">
        <v>2709</v>
      </c>
    </row>
    <row r="29" spans="1:4">
      <c r="D29" s="2832" t="s">
        <v>2040</v>
      </c>
    </row>
    <row r="30" spans="1:4">
      <c r="D30" s="28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127" t="s">
        <v>53</v>
      </c>
      <c r="B15" s="3128" t="s">
        <v>847</v>
      </c>
      <c r="C15" s="3124"/>
    </row>
    <row r="16" spans="1:7" ht="14.25">
      <c r="A16" s="3127"/>
      <c r="B16" s="3125" t="s">
        <v>54</v>
      </c>
      <c r="C16" s="1170" t="s">
        <v>53</v>
      </c>
    </row>
    <row r="17" spans="1:3" ht="14.25">
      <c r="A17" s="3127"/>
      <c r="B17" s="3125"/>
      <c r="C17" s="1170" t="s">
        <v>55</v>
      </c>
    </row>
    <row r="18" spans="1:3" ht="14.25">
      <c r="A18" s="3127"/>
      <c r="B18" s="3125"/>
      <c r="C18" s="1170" t="s">
        <v>56</v>
      </c>
    </row>
    <row r="19" spans="1:3" ht="14.25">
      <c r="A19" s="3127"/>
      <c r="B19" s="3123" t="s">
        <v>57</v>
      </c>
      <c r="C19" s="3124"/>
    </row>
    <row r="20" spans="1:3" ht="14.25">
      <c r="A20" s="1171" t="s">
        <v>58</v>
      </c>
      <c r="B20" s="1172"/>
      <c r="C20" s="1173"/>
    </row>
    <row r="21" spans="1:3" ht="14.25">
      <c r="A21" s="3126" t="s">
        <v>59</v>
      </c>
      <c r="B21" s="3123" t="s">
        <v>60</v>
      </c>
      <c r="C21" s="3124"/>
    </row>
    <row r="22" spans="1:3" ht="14.25">
      <c r="A22" s="3126"/>
      <c r="B22" s="3123" t="s">
        <v>61</v>
      </c>
      <c r="C22" s="3124"/>
    </row>
    <row r="23" spans="1:3" ht="14.25">
      <c r="A23" s="3126"/>
      <c r="B23" s="3123" t="s">
        <v>62</v>
      </c>
      <c r="C23" s="3124"/>
    </row>
    <row r="24" spans="1:3" ht="14.25">
      <c r="A24" s="3126"/>
      <c r="B24" s="3129" t="s">
        <v>63</v>
      </c>
      <c r="C24" s="1174" t="s">
        <v>838</v>
      </c>
    </row>
    <row r="25" spans="1:3" ht="14.25">
      <c r="A25" s="3126"/>
      <c r="B25" s="3130"/>
      <c r="C25" s="1174" t="s">
        <v>839</v>
      </c>
    </row>
    <row r="26" spans="1:3" ht="14.25">
      <c r="A26" s="3126"/>
      <c r="B26" s="3130"/>
      <c r="C26" s="1174" t="s">
        <v>840</v>
      </c>
    </row>
    <row r="27" spans="1:3" ht="14.25">
      <c r="A27" s="3126"/>
      <c r="B27" s="3130"/>
      <c r="C27" s="1174" t="s">
        <v>841</v>
      </c>
    </row>
    <row r="28" spans="1:3" ht="14.25">
      <c r="A28" s="3126"/>
      <c r="B28" s="3130"/>
      <c r="C28" s="1174" t="s">
        <v>842</v>
      </c>
    </row>
    <row r="29" spans="1:3" ht="14.25">
      <c r="A29" s="3126"/>
      <c r="B29" s="3130"/>
      <c r="C29" s="1174" t="s">
        <v>843</v>
      </c>
    </row>
    <row r="30" spans="1:3" ht="14.25">
      <c r="A30" s="3126"/>
      <c r="B30" s="3130"/>
      <c r="C30" s="1174" t="s">
        <v>844</v>
      </c>
    </row>
    <row r="31" spans="1:3" ht="14.25">
      <c r="A31" s="3126"/>
      <c r="B31" s="3130"/>
      <c r="C31" s="1174" t="s">
        <v>845</v>
      </c>
    </row>
    <row r="32" spans="1:3" ht="14.25">
      <c r="A32" s="3126"/>
      <c r="B32" s="3130"/>
      <c r="C32" s="1174" t="s">
        <v>1648</v>
      </c>
    </row>
    <row r="33" spans="1:3" ht="14.25">
      <c r="A33" s="3126"/>
      <c r="B33" s="3120" t="s">
        <v>1654</v>
      </c>
      <c r="C33" s="1174" t="s">
        <v>1649</v>
      </c>
    </row>
    <row r="34" spans="1:3" ht="14.25">
      <c r="A34" s="3126"/>
      <c r="B34" s="3121"/>
      <c r="C34" s="1179" t="s">
        <v>1650</v>
      </c>
    </row>
    <row r="35" spans="1:3" ht="14.25">
      <c r="A35" s="3126"/>
      <c r="B35" s="3121"/>
      <c r="C35" s="1180" t="s">
        <v>1651</v>
      </c>
    </row>
    <row r="36" spans="1:3" ht="14.25">
      <c r="A36" s="3126"/>
      <c r="B36" s="3121"/>
      <c r="C36" s="1180" t="s">
        <v>1652</v>
      </c>
    </row>
    <row r="37" spans="1:3" ht="14.25">
      <c r="A37" s="3126"/>
      <c r="B37" s="3122"/>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4">
        <f ca="1">TODAY()</f>
        <v>43103</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2969">
        <v>43849</v>
      </c>
      <c r="D4" s="2340" t="s">
        <v>1916</v>
      </c>
      <c r="E4" s="2340">
        <f ca="1">IF(F4&lt;B2,"已过期",96010014)</f>
        <v>96010014</v>
      </c>
      <c r="F4" s="2970">
        <v>47118</v>
      </c>
    </row>
    <row r="5" spans="1:6" ht="20.25" customHeight="1">
      <c r="A5" s="2340" t="s">
        <v>1917</v>
      </c>
      <c r="B5" s="2340">
        <f ca="1">IF(C5&lt;B2,"已过期",1119970074)</f>
        <v>1119970074</v>
      </c>
      <c r="C5" s="2969">
        <v>43849</v>
      </c>
      <c r="D5" s="2340" t="s">
        <v>1917</v>
      </c>
      <c r="E5" s="2340">
        <f ca="1">IF(F5&lt;B2,"已过期",2002110027)</f>
        <v>2002110027</v>
      </c>
      <c r="F5" s="2970">
        <v>46752</v>
      </c>
    </row>
    <row r="6" spans="1:6" ht="20.25" customHeight="1">
      <c r="A6" s="2340" t="s">
        <v>1918</v>
      </c>
      <c r="B6" s="2340">
        <f ca="1">IF(C6&lt;B2,"已过期",1119970111)</f>
        <v>1119970111</v>
      </c>
      <c r="C6" s="2969">
        <v>43849</v>
      </c>
      <c r="D6" s="2340" t="s">
        <v>1918</v>
      </c>
      <c r="E6" s="2340">
        <f ca="1">IF(F6&lt;B2,"已过期",94010078)</f>
        <v>94010078</v>
      </c>
      <c r="F6" s="2970">
        <v>46387</v>
      </c>
    </row>
    <row r="7" spans="1:6" ht="20.25" customHeight="1">
      <c r="A7" s="2340" t="s">
        <v>1919</v>
      </c>
      <c r="B7" s="2340">
        <f ca="1">IF(C7&lt;B2,"已过期",1120050019)</f>
        <v>1120050019</v>
      </c>
      <c r="C7" s="2969">
        <v>43359</v>
      </c>
      <c r="D7" s="2340" t="s">
        <v>1919</v>
      </c>
      <c r="E7" s="2340">
        <f ca="1">IF(F7&lt;B2,"已过期",2002110030)</f>
        <v>2002110030</v>
      </c>
      <c r="F7" s="2970">
        <v>46387</v>
      </c>
    </row>
    <row r="8" spans="1:6" ht="20.25" customHeight="1">
      <c r="A8" s="2340" t="s">
        <v>1920</v>
      </c>
      <c r="B8" s="2340">
        <f ca="1">IF(C8&lt;B2,"已过期",1120000080)</f>
        <v>1120000080</v>
      </c>
      <c r="C8" s="2969">
        <v>43849</v>
      </c>
      <c r="D8" s="2340" t="s">
        <v>1920</v>
      </c>
      <c r="E8" s="2340">
        <f ca="1">IF(F8&lt;B2,"已过期",2000110082)</f>
        <v>2000110082</v>
      </c>
      <c r="F8" s="2970">
        <v>46387</v>
      </c>
    </row>
    <row r="9" spans="1:6" ht="20.25" customHeight="1">
      <c r="A9" s="2340" t="s">
        <v>1921</v>
      </c>
      <c r="B9" s="2340">
        <f ca="1">IF(C9&lt;B2,"已过期",1419970001)</f>
        <v>1419970001</v>
      </c>
      <c r="C9" s="2969">
        <v>43867</v>
      </c>
      <c r="D9" s="2340" t="s">
        <v>1921</v>
      </c>
      <c r="E9" s="2340">
        <f ca="1">IF(F9&lt;B2,"已过期",2002110125)</f>
        <v>2002110125</v>
      </c>
      <c r="F9" s="2970">
        <v>47118</v>
      </c>
    </row>
    <row r="10" spans="1:6" ht="20.25" customHeight="1">
      <c r="A10" s="2340" t="s">
        <v>1922</v>
      </c>
      <c r="B10" s="2340">
        <f ca="1">IF(C10&lt;B2,"已过期",1120060040)</f>
        <v>1120060040</v>
      </c>
      <c r="C10" s="2969">
        <v>43483</v>
      </c>
      <c r="D10" s="2340" t="s">
        <v>1922</v>
      </c>
      <c r="E10" s="2340">
        <f ca="1">IF(F10&lt;B2,"已过期",2004110096)</f>
        <v>2004110096</v>
      </c>
      <c r="F10" s="2970">
        <v>47118</v>
      </c>
    </row>
    <row r="11" spans="1:6" ht="20.25" customHeight="1">
      <c r="A11" s="2340" t="s">
        <v>1923</v>
      </c>
      <c r="B11" s="2340">
        <f ca="1">IF(C11&lt;B2,"已过期",1120100036)</f>
        <v>1120100036</v>
      </c>
      <c r="C11" s="2969">
        <v>43622</v>
      </c>
      <c r="D11" s="2340" t="s">
        <v>1923</v>
      </c>
      <c r="E11" s="2340">
        <f ca="1">IF(F11&lt;B2,"已过期",2010110070)</f>
        <v>2010110070</v>
      </c>
      <c r="F11" s="2970">
        <v>47907</v>
      </c>
    </row>
    <row r="12" spans="1:6" ht="20.25" customHeight="1">
      <c r="A12" s="2340"/>
      <c r="B12" s="2340"/>
      <c r="C12" s="2969"/>
      <c r="D12" s="2340"/>
      <c r="E12" s="2340"/>
      <c r="F12" s="2340"/>
    </row>
    <row r="13" spans="1:6" ht="20.25" customHeight="1">
      <c r="A13" s="2340" t="s">
        <v>1924</v>
      </c>
      <c r="B13" s="2340">
        <f ca="1">IF(C13&lt;B2,"已过期",1120070131)</f>
        <v>1120070131</v>
      </c>
      <c r="C13" s="2969">
        <v>43814</v>
      </c>
      <c r="D13" s="2340" t="s">
        <v>1924</v>
      </c>
      <c r="E13" s="2340">
        <v>2014110011</v>
      </c>
      <c r="F13" s="2970">
        <v>49302</v>
      </c>
    </row>
    <row r="14" spans="1:6" ht="20.25" customHeight="1">
      <c r="A14" s="2340" t="s">
        <v>1925</v>
      </c>
      <c r="B14" s="2340">
        <f ca="1">IF(C14&lt;B2,"已过期",1120130020)</f>
        <v>1120130020</v>
      </c>
      <c r="C14" s="2969">
        <v>43622</v>
      </c>
      <c r="D14" s="2340"/>
      <c r="E14" s="2340"/>
      <c r="F14" s="2340"/>
    </row>
    <row r="15" spans="1:6" ht="20.25" customHeight="1">
      <c r="A15" s="2340" t="s">
        <v>2577</v>
      </c>
      <c r="B15" s="2340">
        <v>1120070085</v>
      </c>
      <c r="C15" s="2969">
        <v>43814</v>
      </c>
      <c r="D15" s="2340" t="s">
        <v>2577</v>
      </c>
      <c r="E15" s="2340">
        <v>2004110128</v>
      </c>
      <c r="F15" s="2970">
        <v>47118</v>
      </c>
    </row>
    <row r="16" spans="1:6" ht="20.25" customHeight="1">
      <c r="A16" s="2340" t="s">
        <v>1926</v>
      </c>
      <c r="B16" s="2340">
        <f ca="1">IF(C16&lt;B2,"已过期",1120140022)</f>
        <v>1120140022</v>
      </c>
      <c r="C16" s="2969">
        <v>44029</v>
      </c>
      <c r="D16" s="2340" t="s">
        <v>1926</v>
      </c>
      <c r="E16" s="2340">
        <f ca="1">IF(F16&lt;B2,"已过期",2008110059)</f>
        <v>2008110059</v>
      </c>
      <c r="F16" s="2970">
        <v>47177</v>
      </c>
    </row>
    <row r="17" spans="1:7" ht="20.25" customHeight="1">
      <c r="A17" s="2340"/>
      <c r="B17" s="2340"/>
      <c r="C17" s="2969"/>
      <c r="D17" s="2340"/>
      <c r="E17" s="2340"/>
      <c r="F17" s="2970"/>
    </row>
    <row r="18" spans="1:7" ht="20.25" customHeight="1">
      <c r="A18" s="2340"/>
      <c r="B18" s="2340"/>
      <c r="C18" s="2969"/>
      <c r="D18" s="2340"/>
      <c r="E18" s="2340"/>
      <c r="F18" s="2970"/>
    </row>
    <row r="19" spans="1:7" ht="20.25" customHeight="1">
      <c r="A19" s="2340"/>
      <c r="B19" s="2340"/>
      <c r="C19" s="2969"/>
      <c r="D19" s="2340"/>
      <c r="E19" s="2340"/>
      <c r="F19" s="2340"/>
    </row>
    <row r="20" spans="1:7" ht="20.25" customHeight="1">
      <c r="A20" s="2340"/>
      <c r="B20" s="2340"/>
      <c r="C20" s="2969"/>
      <c r="D20" s="2340"/>
      <c r="E20" s="2340"/>
      <c r="F20" s="2340"/>
    </row>
    <row r="21" spans="1:7" ht="20.25" customHeight="1">
      <c r="A21" s="2340"/>
      <c r="B21" s="2340"/>
      <c r="C21" s="2969"/>
      <c r="D21" s="2340" t="s">
        <v>1927</v>
      </c>
      <c r="E21" s="2340">
        <f ca="1">IF(F21&lt;B2,"已过期",2011110090)</f>
        <v>2011110090</v>
      </c>
      <c r="F21" s="2970">
        <v>48302</v>
      </c>
    </row>
    <row r="22" spans="1:7" ht="20.25" customHeight="1">
      <c r="A22" s="2340" t="s">
        <v>1928</v>
      </c>
      <c r="B22" s="2340">
        <f ca="1">IF(C22&lt;B2,"已过期",1120020033)</f>
        <v>1120020033</v>
      </c>
      <c r="C22" s="2969">
        <v>43304</v>
      </c>
      <c r="D22" s="2340" t="s">
        <v>1928</v>
      </c>
      <c r="E22" s="2340">
        <f ca="1">IF(F22&lt;B2,"已过期",2000110137)</f>
        <v>2000110137</v>
      </c>
      <c r="F22" s="2970">
        <v>46387</v>
      </c>
    </row>
    <row r="23" spans="1:7" ht="20.25" customHeight="1">
      <c r="A23" s="2340" t="s">
        <v>1929</v>
      </c>
      <c r="B23" s="2340">
        <f ca="1">IF(C23&lt;B2,"已过期",1120130048)</f>
        <v>1120130048</v>
      </c>
      <c r="C23" s="2969">
        <v>43686</v>
      </c>
      <c r="D23" s="2340"/>
      <c r="E23" s="2340"/>
      <c r="F23" s="2340"/>
    </row>
    <row r="24" spans="1:7" s="2344" customFormat="1" ht="20.25" customHeight="1">
      <c r="A24" s="2342" t="s">
        <v>2054</v>
      </c>
      <c r="B24" s="2342" t="s">
        <v>2054</v>
      </c>
      <c r="C24" s="2969"/>
      <c r="D24" s="2971" t="s">
        <v>2054</v>
      </c>
      <c r="E24" s="2342" t="s">
        <v>2054</v>
      </c>
      <c r="F24" s="2343"/>
    </row>
    <row r="25" spans="1:7" ht="20.25" customHeight="1">
      <c r="A25" s="3131" t="s">
        <v>1930</v>
      </c>
      <c r="B25" s="3131"/>
      <c r="C25" s="3131"/>
      <c r="D25" s="3131"/>
      <c r="E25" s="3131"/>
      <c r="F25" s="3131"/>
      <c r="G25" s="3131"/>
    </row>
    <row r="26" spans="1:7" ht="20.25" customHeight="1">
      <c r="A26" s="3132" t="s">
        <v>1931</v>
      </c>
      <c r="B26" s="3132"/>
      <c r="C26" s="3132"/>
      <c r="D26" s="3132" t="s">
        <v>1932</v>
      </c>
      <c r="E26" s="3132"/>
      <c r="F26" s="3132"/>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2" sqref="AB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9" t="s">
        <v>1713</v>
      </c>
      <c r="D4" s="9" t="s">
        <v>1996</v>
      </c>
      <c r="E4" s="9" t="s">
        <v>88</v>
      </c>
      <c r="F4" s="9" t="s">
        <v>89</v>
      </c>
      <c r="G4" s="9">
        <v>70</v>
      </c>
      <c r="H4" s="9" t="s">
        <v>90</v>
      </c>
      <c r="I4" s="9" t="s">
        <v>91</v>
      </c>
      <c r="K4" s="9" t="s">
        <v>92</v>
      </c>
      <c r="L4" s="9" t="s">
        <v>92</v>
      </c>
      <c r="M4" s="9" t="s">
        <v>92</v>
      </c>
      <c r="N4" s="9" t="s">
        <v>92</v>
      </c>
      <c r="O4" s="9" t="s">
        <v>92</v>
      </c>
      <c r="P4" s="1004" t="s">
        <v>761</v>
      </c>
      <c r="Q4" s="9" t="s">
        <v>92</v>
      </c>
      <c r="R4" s="1004" t="s">
        <v>2545</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073" t="s">
        <v>2962</v>
      </c>
      <c r="C18" s="1552"/>
    </row>
    <row r="19" spans="1:3">
      <c r="A19" s="8" t="s">
        <v>120</v>
      </c>
      <c r="B19" s="3073" t="s">
        <v>2970</v>
      </c>
      <c r="C19" s="1552"/>
    </row>
    <row r="20" spans="1:3">
      <c r="A20" s="8" t="s">
        <v>121</v>
      </c>
      <c r="B20" s="8" t="s">
        <v>3124</v>
      </c>
      <c r="C20" s="1552"/>
    </row>
    <row r="21" spans="1:3">
      <c r="A21" s="8" t="s">
        <v>122</v>
      </c>
      <c r="B21" s="8" t="s">
        <v>3125</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和泓房地产开发有限公司拟使用河北省霸州市河北省廊坊市霸州市益津中路西侧国蕴城一区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133"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c r="D53" s="1764"/>
      <c r="E53" s="1764"/>
    </row>
    <row r="54" spans="1:5">
      <c r="A54" s="3133"/>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133"/>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133"/>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133"/>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(2)</vt:lpstr>
      <vt:lpstr>不动产收益法 (3)</vt:lpstr>
      <vt:lpstr>酒店收入计算</vt:lpstr>
      <vt:lpstr>成本逼近法</vt:lpstr>
      <vt:lpstr>不动产比较法-商业</vt:lpstr>
      <vt:lpstr>不动产比较法-办公</vt:lpstr>
      <vt:lpstr>不动产比较法-工业</vt:lpstr>
      <vt:lpstr>不动产比较法-车位</vt:lpstr>
      <vt:lpstr>Sheet3</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2018-01-03T07:47:24Z</dcterms:modified>
</cp:coreProperties>
</file>