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r:id="rId34"/>
    <sheet name="修正" sheetId="45" state="hidden" r:id="rId35"/>
    <sheet name="容积率修正" sheetId="46" state="hidden" r:id="rId36"/>
    <sheet name="地价" sheetId="71"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2" sheetId="76" r:id="rId43"/>
  </sheets>
  <externalReferences>
    <externalReference r:id="rId4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6" i="68" l="1"/>
  <c r="D3" i="39"/>
  <c r="I46" i="39"/>
  <c r="G46" i="39"/>
  <c r="E46" i="39"/>
  <c r="C38" i="39"/>
  <c r="C11" i="39"/>
  <c r="C10" i="39"/>
  <c r="J11" i="15" l="1"/>
  <c r="U6" i="1"/>
  <c r="C11" i="15"/>
  <c r="Z6" i="1"/>
  <c r="AF6" i="1" l="1"/>
  <c r="AE8" i="1"/>
  <c r="L72" i="76"/>
  <c r="K70" i="76"/>
  <c r="L74" i="76"/>
  <c r="M74" i="76" s="1"/>
  <c r="L73" i="76"/>
  <c r="M73" i="76" s="1"/>
  <c r="M72" i="76"/>
  <c r="Y6" i="1"/>
  <c r="B29" i="1" l="1"/>
  <c r="N6" i="1"/>
  <c r="F19" i="6"/>
  <c r="I11" i="39" l="1"/>
  <c r="G11" i="39"/>
  <c r="E11" i="39"/>
  <c r="I38" i="39"/>
  <c r="G38" i="39"/>
  <c r="E38" i="39"/>
  <c r="I7" i="39"/>
  <c r="G7" i="39"/>
  <c r="E7" i="39"/>
  <c r="I5" i="39"/>
  <c r="G5" i="39"/>
  <c r="E5" i="39"/>
  <c r="D3" i="4" l="1"/>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6" i="73"/>
  <c r="F4" i="73"/>
  <c r="F5" i="73"/>
  <c r="D4" i="73"/>
  <c r="E20" i="43" l="1"/>
  <c r="I1" i="73"/>
  <c r="B39" i="1" s="1"/>
  <c r="D3" i="73"/>
  <c r="D7" i="73"/>
  <c r="D6"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2" i="1"/>
  <c r="AO13" i="1"/>
  <c r="AO10" i="1"/>
  <c r="AO11" i="1"/>
  <c r="AO9"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W14"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E8" i="6" s="1"/>
  <c r="F27" i="6" s="1"/>
  <c r="BR5" i="3"/>
  <c r="G28" i="6" s="1"/>
  <c r="AZ384" i="3"/>
  <c r="AZ392" i="3"/>
  <c r="AZ396" i="3"/>
  <c r="AZ394" i="3"/>
  <c r="G29" i="6"/>
  <c r="F29" i="6"/>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BL15" i="3" l="1"/>
  <c r="AZ15" i="3" s="1"/>
  <c r="BL18" i="3"/>
  <c r="BA19" i="3"/>
  <c r="AZ19" i="3" s="1"/>
  <c r="BA20" i="3"/>
  <c r="AZ20" i="3" s="1"/>
  <c r="BA21" i="3"/>
  <c r="AZ21" i="3" s="1"/>
  <c r="AZ18" i="3"/>
  <c r="E15" i="6"/>
  <c r="E60" i="40" s="1"/>
  <c r="E29" i="6"/>
  <c r="E12" i="6"/>
  <c r="G20" i="43"/>
  <c r="C20" i="43" s="1"/>
  <c r="S42" i="39"/>
  <c r="AA41" i="39"/>
  <c r="U40" i="39"/>
  <c r="C15" i="39"/>
  <c r="C25" i="39"/>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AZ13" i="3" s="1"/>
  <c r="E10" i="6"/>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G5" i="3"/>
  <c r="B3" i="3" s="1"/>
  <c r="E69" i="3"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3" i="1"/>
  <c r="AQ13" i="1"/>
  <c r="T13" i="1"/>
  <c r="AR11" i="1"/>
  <c r="AQ11" i="1"/>
  <c r="T11" i="1"/>
  <c r="AR9" i="1"/>
  <c r="AQ9" i="1"/>
  <c r="T9"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C24" i="43" s="1"/>
  <c r="E70" i="43"/>
  <c r="B68" i="43" s="1"/>
  <c r="G109" i="43"/>
  <c r="N109"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M28" i="15"/>
  <c r="F36" i="15"/>
  <c r="F37" i="15"/>
  <c r="F43" i="67"/>
  <c r="M22" i="15"/>
  <c r="M26" i="67"/>
  <c r="F26" i="67"/>
  <c r="C76" i="15"/>
  <c r="F9" i="67"/>
  <c r="M9" i="15"/>
  <c r="M24" i="15"/>
  <c r="F8" i="67"/>
  <c r="F7" i="67"/>
  <c r="C76" i="67"/>
  <c r="M9" i="67"/>
  <c r="M23" i="67"/>
  <c r="F38" i="67"/>
  <c r="F42" i="67"/>
  <c r="F16" i="67"/>
  <c r="F26" i="15"/>
  <c r="M8" i="67"/>
  <c r="F38" i="15"/>
  <c r="F43" i="15"/>
  <c r="M6" i="67"/>
  <c r="F16" i="15"/>
  <c r="M29" i="15"/>
  <c r="F6" i="15"/>
  <c r="M29" i="67"/>
  <c r="F40" i="15"/>
  <c r="M6" i="15"/>
  <c r="M24" i="67"/>
  <c r="F6" i="67"/>
  <c r="J15" i="67"/>
  <c r="F8" i="15"/>
  <c r="M26" i="15"/>
  <c r="M22" i="67"/>
  <c r="L48" i="15"/>
  <c r="F9" i="15"/>
  <c r="F42" i="15"/>
  <c r="M8" i="15"/>
  <c r="L47" i="67"/>
  <c r="L47" i="15"/>
  <c r="F40" i="67"/>
  <c r="F36" i="67"/>
  <c r="J15" i="15"/>
  <c r="L48" i="67"/>
  <c r="M23" i="15"/>
  <c r="M28" i="67"/>
  <c r="F7" i="15"/>
  <c r="F13" i="67"/>
  <c r="F37" i="67"/>
  <c r="F13" i="15"/>
  <c r="G1" i="73"/>
  <c r="D19" i="12" l="1"/>
  <c r="C19" i="12" s="1"/>
  <c r="E565" i="3"/>
  <c r="E528" i="3"/>
  <c r="E395" i="3"/>
  <c r="E563" i="3"/>
  <c r="E56" i="40"/>
  <c r="E415" i="3"/>
  <c r="E304" i="3"/>
  <c r="E278" i="3"/>
  <c r="E261" i="3"/>
  <c r="E114" i="3"/>
  <c r="E237" i="3"/>
  <c r="D9" i="69"/>
  <c r="E343" i="3"/>
  <c r="E553" i="3"/>
  <c r="E501" i="3"/>
  <c r="E526" i="3"/>
  <c r="E530" i="3"/>
  <c r="E366" i="3"/>
  <c r="E319" i="3"/>
  <c r="E217" i="3"/>
  <c r="E175" i="3"/>
  <c r="E125" i="3"/>
  <c r="E53" i="3"/>
  <c r="BA5" i="3"/>
  <c r="E27" i="6" s="1"/>
  <c r="K20" i="6" s="1"/>
  <c r="E16" i="6"/>
  <c r="E59" i="40"/>
  <c r="C6" i="43"/>
  <c r="C16" i="43"/>
  <c r="M18" i="67"/>
  <c r="F30" i="69"/>
  <c r="F32" i="67"/>
  <c r="F60" i="67" s="1"/>
  <c r="F32" i="15"/>
  <c r="F60" i="15" s="1"/>
  <c r="F28" i="67"/>
  <c r="F30" i="68"/>
  <c r="F31" i="12"/>
  <c r="C31" i="12" s="1"/>
  <c r="F30" i="11"/>
  <c r="F52" i="9"/>
  <c r="F28" i="15"/>
  <c r="C28" i="67"/>
  <c r="C28" i="1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14" i="1"/>
  <c r="M14" i="1" s="1"/>
  <c r="O14" i="1" s="1"/>
  <c r="P14" i="1" s="1"/>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E102" i="43"/>
  <c r="E104" i="43"/>
  <c r="E106" i="43"/>
  <c r="E107" i="43"/>
  <c r="E103" i="43"/>
  <c r="E105" i="43"/>
  <c r="M102" i="43"/>
  <c r="M104" i="43"/>
  <c r="M106" i="43"/>
  <c r="M107" i="43"/>
  <c r="M103" i="43"/>
  <c r="M105" i="43"/>
  <c r="H102" i="43"/>
  <c r="H107" i="43"/>
  <c r="H103" i="43"/>
  <c r="H106" i="43"/>
  <c r="H104" i="43"/>
  <c r="H105" i="43"/>
  <c r="K19" i="6"/>
  <c r="S6" i="1" s="1"/>
  <c r="AQ6" i="1"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D9" i="68"/>
  <c r="M17" i="67"/>
  <c r="F59" i="15"/>
  <c r="F31" i="67"/>
  <c r="C17" i="15"/>
  <c r="F31" i="15"/>
  <c r="C16" i="15"/>
  <c r="M17" i="15"/>
  <c r="F59" i="67"/>
  <c r="C16" i="67"/>
  <c r="C9" i="68" l="1"/>
  <c r="AR6" i="1"/>
  <c r="K25" i="6"/>
  <c r="M25" i="6" s="1"/>
  <c r="I25" i="6" s="1"/>
  <c r="S25" i="6" s="1"/>
  <c r="K22" i="6"/>
  <c r="M22" i="6" s="1"/>
  <c r="I22" i="6" s="1"/>
  <c r="S22" i="6" s="1"/>
  <c r="K21" i="6"/>
  <c r="M21" i="6" s="1"/>
  <c r="I21" i="6" s="1"/>
  <c r="S21" i="6" s="1"/>
  <c r="K24" i="6"/>
  <c r="M24" i="6" s="1"/>
  <c r="I24" i="6" s="1"/>
  <c r="S24" i="6" s="1"/>
  <c r="M19" i="6"/>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AE6" i="1"/>
  <c r="C29" i="68" l="1"/>
  <c r="D27" i="68" s="1"/>
  <c r="K27" i="6"/>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D10" i="68"/>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5" i="68" s="1"/>
  <c r="C23" i="68" s="1"/>
  <c r="C12" i="12"/>
  <c r="C15" i="12"/>
  <c r="U7" i="21"/>
  <c r="C22" i="11"/>
  <c r="C31" i="11" s="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6" i="68"/>
  <c r="C34" i="68"/>
  <c r="R49" i="21" l="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M21" i="15"/>
  <c r="F35" i="67"/>
  <c r="C49" i="21" l="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C66" i="15" l="1"/>
  <c r="C60" i="15"/>
  <c r="C59" i="15" s="1"/>
  <c r="AG6" i="1"/>
  <c r="C80" i="15"/>
  <c r="C79" i="15" s="1"/>
  <c r="C65" i="15"/>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C46" i="15" l="1"/>
  <c r="B2" i="69"/>
  <c r="B3" i="69" s="1"/>
  <c r="B8" i="70"/>
  <c r="B6" i="70"/>
  <c r="B2" i="68"/>
  <c r="B3" i="67"/>
  <c r="B7" i="70"/>
  <c r="D2" i="33"/>
  <c r="D2" i="36"/>
  <c r="C19" i="9"/>
  <c r="D2" i="35"/>
  <c r="E2" i="68"/>
  <c r="D2" i="37"/>
  <c r="D2" i="34"/>
  <c r="D2" i="21"/>
  <c r="B2" i="36" l="1"/>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<sst xmlns="http://schemas.openxmlformats.org/spreadsheetml/2006/main" count="7635" uniqueCount="3258">
  <si>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</si>
  <si>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</si>
  <si>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</si>
  <si>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</si>
  <si>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</si>
  <si>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</si>
  <si>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</si>
  <si>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</si>
  <si>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</si>
  <si>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</si>
  <si>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</si>
  <si>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</si>
  <si>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</si>
  <si>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</si>
  <si>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</si>
  <si>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</si>
  <si>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</si>
  <si>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</si>
  <si>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</si>
  <si>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</si>
  <si>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</si>
  <si>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</si>
  <si>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</si>
  <si>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</si>
  <si>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</si>
  <si>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</si>
  <si>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</si>
  <si>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</si>
  <si>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</si>
  <si>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</si>
  <si>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</si>
  <si>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</si>
  <si>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</si>
  <si>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</si>
  <si>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</si>
  <si>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</si>
  <si>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</si>
  <si>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</si>
  <si>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</si>
  <si>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</si>
  <si>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</si>
  <si>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</si>
  <si>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</si>
  <si>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</si>
  <si>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</si>
  <si>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</si>
  <si>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</si>
  <si>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</si>
  <si>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</si>
  <si>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</si>
  <si>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</si>
  <si>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</si>
  <si>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</si>
  <si>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</si>
  <si>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</si>
  <si>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</si>
  <si>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</si>
  <si>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</si>
  <si>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</si>
  <si>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</si>
  <si>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</si>
  <si>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</si>
  <si>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</si>
  <si>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</si>
  <si>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</si>
  <si>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</si>
  <si>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</si>
  <si>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</si>
  <si>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</si>
  <si>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</si>
  <si>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</si>
  <si>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</si>
  <si>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</si>
  <si>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</si>
  <si>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</si>
  <si>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</si>
  <si>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</si>
  <si>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</si>
  <si>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</si>
  <si>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</si>
  <si>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</si>
  <si>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</si>
  <si>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</si>
  <si>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</si>
  <si>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</si>
  <si>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</si>
  <si>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</si>
  <si>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</si>
  <si>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</si>
  <si>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</si>
  <si>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</si>
  <si>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</si>
  <si>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</si>
  <si>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</si>
  <si>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</si>
  <si>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</si>
  <si>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</si>
  <si>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</si>
  <si>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</si>
  <si>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</si>
  <si>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</si>
  <si>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</si>
  <si>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</si>
  <si>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</si>
  <si>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</si>
  <si>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</si>
  <si>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</si>
  <si>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</si>
  <si>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</si>
  <si>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</si>
  <si>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</si>
  <si>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</si>
  <si>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</si>
  <si>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</si>
  <si>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</si>
  <si>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</si>
  <si>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</si>
  <si>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</si>
  <si>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</si>
  <si>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</si>
  <si>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</si>
  <si>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</si>
  <si>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</si>
  <si>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</si>
  <si>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</si>
  <si>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</si>
  <si>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</si>
  <si>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</si>
  <si>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</si>
  <si>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</si>
  <si>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</si>
  <si>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</si>
  <si>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</si>
  <si>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</si>
  <si>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</si>
  <si>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</si>
  <si>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</si>
  <si>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</si>
  <si>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</si>
  <si>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</si>
  <si>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</si>
  <si>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</si>
  <si>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</si>
  <si>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</si>
  <si>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</si>
  <si>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</si>
  <si>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</si>
  <si>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</si>
  <si>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</si>
  <si>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</si>
  <si>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</si>
  <si>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</si>
  <si>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</si>
  <si>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</si>
  <si>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</si>
  <si>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</si>
  <si>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</si>
  <si>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</si>
  <si>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</si>
  <si>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</si>
  <si>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</si>
  <si>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</si>
  <si>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</si>
  <si>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</si>
  <si>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</si>
  <si>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</si>
  <si>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</si>
  <si>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</si>
  <si>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</si>
  <si>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</si>
  <si>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</si>
  <si>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</si>
  <si>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</si>
  <si>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</si>
  <si>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</si>
  <si>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</si>
  <si>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</si>
  <si>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</si>
  <si>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</si>
  <si>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</si>
  <si>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</si>
  <si>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</si>
  <si>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</si>
  <si>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</si>
  <si>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</si>
  <si>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</si>
  <si>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</si>
  <si>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</si>
  <si>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</si>
  <si>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</si>
  <si>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</si>
  <si>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</si>
  <si>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</si>
  <si>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</si>
  <si>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</si>
  <si>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</si>
  <si>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</si>
  <si>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</si>
  <si>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</si>
  <si>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</si>
  <si>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</si>
  <si>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</si>
  <si>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</si>
  <si>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</si>
  <si>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</si>
  <si>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</si>
  <si>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</si>
  <si>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</si>
  <si>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</si>
  <si>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</si>
  <si>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</si>
  <si>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</si>
  <si>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</si>
  <si>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</si>
  <si>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</si>
  <si>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</si>
  <si>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</si>
  <si>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</si>
  <si>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</si>
  <si>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</si>
  <si>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</si>
  <si>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</si>
  <si>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</si>
  <si>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</si>
  <si>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</si>
  <si>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</si>
  <si>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</si>
  <si>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</si>
  <si>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</si>
  <si>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</si>
  <si>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</si>
  <si>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</si>
  <si>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</si>
  <si>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</si>
  <si>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</si>
  <si>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</si>
  <si>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</si>
  <si>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</si>
  <si>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</si>
  <si>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</si>
  <si>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</si>
  <si>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</si>
  <si>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</si>
  <si>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</si>
  <si>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</si>
  <si>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</si>
  <si>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</si>
  <si>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</si>
  <si>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</si>
  <si>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</si>
  <si>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</si>
  <si>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</si>
  <si>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</si>
  <si>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</si>
  <si>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</si>
  <si>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</si>
  <si>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</si>
  <si>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</si>
  <si>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</si>
  <si>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</si>
  <si>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</si>
  <si>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</si>
  <si>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</si>
  <si>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</si>
  <si>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</si>
  <si>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</si>
  <si>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</si>
  <si>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</si>
  <si>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</si>
  <si>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</si>
  <si>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</si>
  <si>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</si>
  <si>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</si>
  <si>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</si>
  <si>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</si>
  <si>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</si>
  <si>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</si>
  <si>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</si>
  <si>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</si>
  <si>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</si>
  <si>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</si>
  <si>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</si>
  <si>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</si>
  <si>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</si>
  <si>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</si>
  <si>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</si>
  <si>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</si>
  <si>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</si>
  <si>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</si>
  <si>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</si>
  <si>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</si>
  <si>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</si>
  <si>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</si>
  <si>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</si>
  <si>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</si>
  <si>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</si>
  <si>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</si>
  <si>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</si>
  <si>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</si>
  <si>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</si>
  <si>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</si>
  <si>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</si>
  <si>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</si>
  <si>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</si>
  <si>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</si>
  <si>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</si>
  <si>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</si>
  <si>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</si>
  <si>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</si>
  <si>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</si>
  <si>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</si>
  <si>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</si>
  <si>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</si>
  <si>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</si>
  <si>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</si>
  <si>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</si>
  <si>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</si>
  <si>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</si>
  <si>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</si>
  <si>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</si>
  <si>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</si>
  <si>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</si>
  <si>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</si>
  <si>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</si>
  <si>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</si>
  <si>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</si>
  <si>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</si>
  <si>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</si>
  <si>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</si>
  <si>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</si>
  <si>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</si>
  <si>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</si>
  <si>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</si>
  <si>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</si>
  <si>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</si>
  <si>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</si>
  <si>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</si>
  <si>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</si>
  <si>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</si>
  <si>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</si>
  <si>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</si>
  <si>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</si>
  <si>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</si>
  <si>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</si>
  <si>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</si>
  <si>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</si>
  <si>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</si>
  <si>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</si>
  <si>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</si>
  <si>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</si>
  <si>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</si>
  <si>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</si>
  <si>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</si>
  <si>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</si>
  <si>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</si>
  <si>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</si>
  <si>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</si>
  <si>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</si>
  <si>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</si>
  <si>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</si>
  <si>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</si>
  <si>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</si>
  <si>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</si>
  <si>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</si>
  <si>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</si>
  <si>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</si>
  <si>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</si>
  <si>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</si>
  <si>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</si>
  <si>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</si>
  <si>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</si>
  <si>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</si>
  <si>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</si>
  <si>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</si>
  <si>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</si>
  <si>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</si>
  <si>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</si>
  <si>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</si>
  <si>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</si>
  <si>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</si>
  <si>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</si>
  <si>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</si>
  <si>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</si>
  <si>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</si>
  <si>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</si>
  <si>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</si>
  <si>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</si>
  <si>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</si>
  <si>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</si>
  <si>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</si>
  <si>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</si>
  <si>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</si>
  <si>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</si>
  <si>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</si>
  <si>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</si>
  <si>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</si>
  <si>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</si>
  <si>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</si>
  <si>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</si>
  <si>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</si>
  <si>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</si>
  <si>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</si>
  <si>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</si>
  <si>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</si>
  <si>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</si>
  <si>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</si>
  <si>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</si>
  <si>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</si>
  <si>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</si>
  <si>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</si>
  <si>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</si>
  <si>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</si>
  <si>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</si>
  <si>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</si>
  <si>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</si>
  <si>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</si>
  <si>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</si>
  <si>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</si>
  <si>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</si>
  <si>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</si>
  <si>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</si>
  <si>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</si>
  <si>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</si>
  <si>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</si>
  <si>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</si>
  <si>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</si>
  <si>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</si>
  <si>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</si>
  <si>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</si>
  <si>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</si>
  <si>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</si>
  <si>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</si>
  <si>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</si>
  <si>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</si>
  <si>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</si>
  <si>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</si>
  <si>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</si>
  <si>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</si>
  <si>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</si>
  <si>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</si>
  <si>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</si>
  <si>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</si>
  <si>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</si>
  <si>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</si>
  <si>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</si>
  <si>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</si>
  <si>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</si>
  <si>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</si>
  <si>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</si>
  <si>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</si>
  <si>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</si>
  <si>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</si>
  <si>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</si>
  <si>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</si>
  <si>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</si>
  <si>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</si>
  <si>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</si>
  <si>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</si>
  <si>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</si>
  <si>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</si>
  <si>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</si>
  <si>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</si>
  <si>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</si>
  <si>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</si>
  <si>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</si>
  <si>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</si>
  <si>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</si>
  <si>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</si>
  <si>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</si>
  <si>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</si>
  <si>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</si>
  <si>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</si>
  <si>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</si>
  <si>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</si>
  <si>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</si>
  <si>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</si>
  <si>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</si>
  <si>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</si>
  <si>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</si>
  <si>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</si>
  <si>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</si>
  <si>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</si>
  <si>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</si>
  <si>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</si>
  <si>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</si>
  <si>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</si>
  <si>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</si>
  <si>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</si>
  <si>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</si>
  <si>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</si>
  <si>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</si>
  <si>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</si>
  <si>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</si>
  <si>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</si>
  <si>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</si>
  <si>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</si>
  <si>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</si>
  <si>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</si>
  <si>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</si>
  <si>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</si>
  <si>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</si>
  <si>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</si>
  <si>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</si>
  <si>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</si>
  <si>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</si>
  <si>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</si>
  <si>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</si>
  <si>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</si>
  <si>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</si>
  <si>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</si>
  <si>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</si>
  <si>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</si>
  <si>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</si>
  <si>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</si>
  <si>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</si>
  <si>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</si>
  <si>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</si>
  <si>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</si>
  <si>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</si>
  <si>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</si>
  <si>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</si>
  <si>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</si>
  <si>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</si>
  <si>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</si>
  <si>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</si>
  <si>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</si>
  <si>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</si>
  <si>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</si>
  <si>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</si>
  <si>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</si>
  <si>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</si>
  <si>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</si>
  <si>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</si>
  <si>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</si>
  <si>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</si>
  <si>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</si>
  <si>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</si>
  <si>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</si>
  <si>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</si>
  <si>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</si>
  <si>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</si>
  <si>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</si>
  <si>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</si>
  <si>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</si>
  <si>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</si>
  <si>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</si>
  <si>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</si>
  <si>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</si>
  <si>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</si>
  <si>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</si>
  <si>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</si>
  <si>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</si>
  <si>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</si>
  <si>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</si>
  <si>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</si>
  <si>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</si>
  <si>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</si>
  <si>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</si>
  <si>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</si>
  <si>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</si>
  <si>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</si>
  <si>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</si>
  <si>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</si>
  <si>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</si>
  <si>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</si>
  <si>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</si>
  <si>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</si>
  <si>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</si>
  <si>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</si>
  <si>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</si>
  <si>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</si>
  <si>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</si>
  <si>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</si>
  <si>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</si>
  <si>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</si>
  <si>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</si>
  <si>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</si>
  <si>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</si>
  <si>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</si>
  <si>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</si>
  <si>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</si>
  <si>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</si>
  <si>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</si>
  <si>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</si>
  <si>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</si>
  <si>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</si>
  <si>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</si>
  <si>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</si>
  <si>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</si>
  <si>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</si>
  <si>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</si>
  <si>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</si>
  <si>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</si>
  <si>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</si>
  <si>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</si>
  <si>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</si>
  <si>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</si>
  <si>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</si>
  <si>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</si>
  <si>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</si>
  <si>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</si>
  <si>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</si>
  <si>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</si>
  <si>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</si>
  <si>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</si>
  <si>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</si>
  <si>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</si>
  <si>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</si>
  <si>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</si>
  <si>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</si>
  <si>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</si>
  <si>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</si>
  <si>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</si>
  <si>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</si>
  <si>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</si>
  <si>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</si>
  <si>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</si>
  <si>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</si>
  <si>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</si>
  <si>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</si>
  <si>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</si>
  <si>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</si>
  <si>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</si>
  <si>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</si>
  <si>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</si>
  <si>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</si>
  <si>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</si>
  <si>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</si>
  <si>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</si>
  <si>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</si>
  <si>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</si>
  <si>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</si>
  <si>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</si>
  <si>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</si>
  <si>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</si>
  <si>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</si>
  <si>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</si>
  <si>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</si>
  <si>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</si>
  <si>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</si>
  <si>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</si>
  <si>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</si>
  <si>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</si>
  <si>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</si>
  <si>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</si>
  <si>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</si>
  <si>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</si>
  <si>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</si>
  <si>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</si>
  <si>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</si>
  <si>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</si>
  <si>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</si>
  <si>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</si>
  <si>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</si>
  <si>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</si>
  <si>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</si>
  <si>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</si>
  <si>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</si>
  <si>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</si>
  <si>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</si>
  <si>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</si>
  <si>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</si>
  <si>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</si>
  <si>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</si>
  <si>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</si>
  <si>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</si>
  <si>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</si>
  <si>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</si>
  <si>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</si>
  <si>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</si>
  <si>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</si>
  <si>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</si>
  <si>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</si>
  <si>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</si>
  <si>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</si>
  <si>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</si>
  <si>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</si>
  <si>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</si>
  <si>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</si>
  <si>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</si>
  <si>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</si>
  <si>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</si>
  <si>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</si>
  <si>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</si>
  <si>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</si>
  <si>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</si>
  <si>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</si>
  <si>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</si>
  <si>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</si>
  <si>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</si>
  <si>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</si>
  <si>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</si>
  <si>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</si>
  <si>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</si>
  <si>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</si>
  <si>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</si>
  <si>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</si>
  <si>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</si>
  <si>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</si>
  <si>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</si>
  <si>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</si>
  <si>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</si>
  <si>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</si>
  <si>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</si>
  <si>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</si>
  <si>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</si>
  <si>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</si>
  <si>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</si>
  <si>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</si>
  <si>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</si>
  <si>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</si>
  <si>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</si>
  <si>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</si>
  <si>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</si>
  <si>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</si>
  <si>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</si>
  <si>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</si>
  <si>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</si>
  <si>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</si>
  <si>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</si>
  <si>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</si>
  <si>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</si>
  <si>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</si>
  <si>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</si>
  <si>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</si>
  <si>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</si>
  <si>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</si>
  <si>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</si>
  <si>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</si>
  <si>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</si>
  <si>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</si>
  <si>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</si>
  <si>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</si>
  <si>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</si>
  <si>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</si>
  <si>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</si>
  <si>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</si>
  <si>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</si>
  <si>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</si>
  <si>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</si>
  <si>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</si>
  <si>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</si>
  <si>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</si>
  <si>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</si>
  <si>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</si>
  <si>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</si>
  <si>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</si>
  <si>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</si>
  <si>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</si>
  <si>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</si>
  <si>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</si>
  <si>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</si>
  <si>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</si>
  <si>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</si>
  <si>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</si>
  <si>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</si>
  <si>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</si>
  <si>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</si>
  <si>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</si>
  <si>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</si>
  <si>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</si>
  <si>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</si>
  <si>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</si>
  <si>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</si>
  <si>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</si>
  <si>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</si>
  <si>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</si>
  <si>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</si>
  <si>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</si>
  <si>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</si>
  <si>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</si>
  <si>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</si>
  <si>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</si>
  <si>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</si>
  <si>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</si>
  <si>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</si>
  <si>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</si>
  <si>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</si>
  <si>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</si>
  <si>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</si>
  <si>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</si>
  <si>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</si>
  <si>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</si>
  <si>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</si>
  <si>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</si>
  <si>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</si>
  <si>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</si>
  <si>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</si>
  <si>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</si>
  <si>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</si>
  <si>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</si>
  <si>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</si>
  <si>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</si>
  <si>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</si>
  <si>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</si>
  <si>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</si>
  <si>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</si>
  <si>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</si>
  <si>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</si>
  <si>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</si>
  <si>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</si>
  <si>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</si>
  <si>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</si>
  <si>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</si>
  <si>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</si>
  <si>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</si>
  <si>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</si>
  <si>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</si>
  <si>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</si>
  <si>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</si>
  <si>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</si>
  <si>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</si>
  <si>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</si>
  <si>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</si>
  <si>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</si>
  <si>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</si>
  <si>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</si>
  <si>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</si>
  <si>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</si>
  <si>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</si>
  <si>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</si>
  <si>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</si>
  <si>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</si>
  <si>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</si>
  <si>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</si>
  <si>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</si>
  <si>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</si>
  <si>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</si>
  <si>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</si>
  <si>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</si>
  <si>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</si>
  <si>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</si>
  <si>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</si>
  <si>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</si>
  <si>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</si>
  <si>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</si>
  <si>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</si>
  <si>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</si>
  <si>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</si>
  <si>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</si>
  <si>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</si>
  <si>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</si>
  <si>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</si>
  <si>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</si>
  <si>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</si>
  <si>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</si>
  <si>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</si>
  <si>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</si>
  <si>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</si>
  <si>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</si>
  <si>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</si>
  <si>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</si>
  <si>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</si>
  <si>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</si>
  <si>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</si>
  <si>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</si>
  <si>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</si>
  <si>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</si>
  <si>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</si>
  <si>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</si>
  <si>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</si>
  <si>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</si>
  <si>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</si>
  <si>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</si>
  <si>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</si>
  <si>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</si>
  <si>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</si>
  <si>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</si>
  <si>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</si>
  <si>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</si>
  <si>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</si>
  <si>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</si>
  <si>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</si>
  <si>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</si>
  <si>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</si>
  <si>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</si>
  <si>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</si>
  <si>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</si>
  <si>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</si>
  <si>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</si>
  <si>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</si>
  <si>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</si>
  <si>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</si>
  <si>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</si>
  <si>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</si>
  <si>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</si>
  <si>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</si>
  <si>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</si>
  <si>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</si>
  <si>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</si>
  <si>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</si>
  <si>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</si>
  <si>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</si>
  <si>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</si>
  <si>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</si>
  <si>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</si>
  <si>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</si>
  <si>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</si>
  <si>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</si>
  <si>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</si>
  <si>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</si>
  <si>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</si>
  <si>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</si>
  <si>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</si>
  <si>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</si>
  <si>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</si>
  <si>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</si>
  <si>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</si>
  <si>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</si>
  <si>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</si>
  <si>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</si>
  <si>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</si>
  <si>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</si>
  <si>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</si>
  <si>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</si>
  <si>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</si>
  <si>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</si>
  <si>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</si>
  <si>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</si>
  <si>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</si>
  <si>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</si>
  <si>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</si>
  <si>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</si>
  <si>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</si>
  <si>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</si>
  <si>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</si>
  <si>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</si>
  <si>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</si>
  <si>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</si>
  <si>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</si>
  <si>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</si>
  <si>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</si>
  <si>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</si>
  <si>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</si>
  <si>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</si>
  <si>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</si>
  <si>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</si>
  <si>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</si>
  <si>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</si>
  <si>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</si>
  <si>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</si>
  <si>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</si>
  <si>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</si>
  <si>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</si>
  <si>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</si>
  <si>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</si>
  <si>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</si>
  <si>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</si>
  <si>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</si>
  <si>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</si>
  <si>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</si>
  <si>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</si>
  <si>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</si>
  <si>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</si>
  <si>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</si>
  <si>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</si>
  <si>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</si>
  <si>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</si>
  <si>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</si>
  <si>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</si>
  <si>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</si>
  <si>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</si>
  <si>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</si>
  <si>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</si>
  <si>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</si>
  <si>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</si>
  <si>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</si>
  <si>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</si>
  <si>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</si>
  <si>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</si>
  <si>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</si>
  <si>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</si>
  <si>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</si>
  <si>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</si>
  <si>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</si>
  <si>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</si>
  <si>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</si>
  <si>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</si>
  <si>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</si>
  <si>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</si>
  <si>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</si>
  <si>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</si>
  <si>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</si>
  <si>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</si>
  <si>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</si>
  <si>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</si>
  <si>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</si>
  <si>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</si>
  <si>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</si>
  <si>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</si>
  <si>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</si>
  <si>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</si>
  <si>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</si>
  <si>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</si>
  <si>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</si>
  <si>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</si>
  <si>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</si>
  <si>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</si>
  <si>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</si>
  <si>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</si>
  <si>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</si>
  <si>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</si>
  <si>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</si>
  <si>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</si>
  <si>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</si>
  <si>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</si>
  <si>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</si>
  <si>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</si>
  <si>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</si>
  <si>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</si>
  <si>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</si>
  <si>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</si>
  <si>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</si>
  <si>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</si>
  <si>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</si>
  <si>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</si>
  <si>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</si>
  <si>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</si>
  <si>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</si>
  <si>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</si>
  <si>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</si>
  <si>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</si>
  <si>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</si>
  <si>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</si>
  <si>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</si>
  <si>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</si>
  <si>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</si>
  <si>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</si>
  <si>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</si>
  <si>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</si>
  <si>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</si>
  <si>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</si>
  <si>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</si>
  <si>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</si>
  <si>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</si>
  <si>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</si>
  <si>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</si>
  <si>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</si>
  <si>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</si>
  <si>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</si>
  <si>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</si>
  <si>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</si>
  <si>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</si>
  <si>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</si>
  <si>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</si>
  <si>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</si>
  <si>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</si>
  <si>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</si>
  <si>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</si>
  <si>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</si>
  <si>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</si>
  <si>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</si>
  <si>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</si>
  <si>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</si>
  <si>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</si>
  <si>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</si>
  <si>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</si>
  <si>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</si>
  <si>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</si>
  <si>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</si>
  <si>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</si>
  <si>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</si>
  <si>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</si>
  <si>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</si>
  <si>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</si>
  <si>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</si>
  <si>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</si>
  <si>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</si>
  <si>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</si>
  <si>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</si>
  <si>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</si>
  <si>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</si>
  <si>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</si>
  <si>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</si>
  <si>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</si>
  <si>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</si>
  <si>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</si>
  <si>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</si>
  <si>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</si>
  <si>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</si>
  <si>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</si>
  <si>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</si>
  <si>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</si>
  <si>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</si>
  <si>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</si>
  <si>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</si>
  <si>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</si>
  <si>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</si>
  <si>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</si>
  <si>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</si>
  <si>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</si>
  <si>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</si>
  <si>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</si>
  <si>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</si>
  <si>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</si>
  <si>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</si>
  <si>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</si>
  <si>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</si>
  <si>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</si>
  <si>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</si>
  <si>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</si>
  <si>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</si>
  <si>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</si>
  <si>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</si>
  <si>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</si>
  <si>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</si>
  <si>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</si>
  <si>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</si>
  <si>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</si>
  <si>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</si>
  <si>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</si>
  <si>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</si>
  <si>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</si>
  <si>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</si>
  <si>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</si>
  <si>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</si>
  <si>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</si>
  <si>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</si>
  <si>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</si>
  <si>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</si>
  <si>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</si>
  <si>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</si>
  <si>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</si>
  <si>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</si>
  <si>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</si>
  <si>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</si>
  <si>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</si>
  <si>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</si>
  <si>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</si>
  <si>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</si>
  <si>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</si>
  <si>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</si>
  <si>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</si>
  <si>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</si>
  <si>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</si>
  <si>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</si>
  <si>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</si>
  <si>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</si>
  <si>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</si>
  <si>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</si>
  <si>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</si>
  <si>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</si>
  <si>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</si>
  <si>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</si>
  <si>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</si>
  <si>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</si>
  <si>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</si>
  <si>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</si>
  <si>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</si>
  <si>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</si>
  <si>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</si>
  <si>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</si>
  <si>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</si>
  <si>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</si>
  <si>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</si>
  <si>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</si>
  <si>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</si>
  <si>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</si>
  <si>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</si>
  <si>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</si>
  <si>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</si>
  <si>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</si>
  <si>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</si>
  <si>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</si>
  <si>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</si>
  <si>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</si>
  <si>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</si>
  <si>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</si>
  <si>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</si>
  <si>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</si>
  <si>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</si>
  <si>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</si>
  <si>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</si>
  <si>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</si>
  <si>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</si>
  <si>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</si>
  <si>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</si>
  <si>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</si>
  <si>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</si>
  <si>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</si>
  <si>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</si>
  <si>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</si>
  <si>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</si>
  <si>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</si>
  <si>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</si>
  <si>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</si>
  <si>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</si>
  <si>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</si>
  <si>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</si>
  <si>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</si>
  <si>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</si>
  <si>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</si>
  <si>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</si>
  <si>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</si>
  <si>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</si>
  <si>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</si>
  <si>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</si>
  <si>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</si>
  <si>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</si>
  <si>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</si>
  <si>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</si>
  <si>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</si>
  <si>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</si>
  <si>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</si>
  <si>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</si>
  <si>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</si>
  <si>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</si>
  <si>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</si>
  <si>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</si>
  <si>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</si>
  <si>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</si>
  <si>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</si>
  <si>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</si>
  <si>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</si>
  <si>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</si>
  <si>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</si>
  <si>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</si>
  <si>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</si>
  <si>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</si>
  <si>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</si>
  <si>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</si>
  <si>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</si>
  <si>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</si>
  <si>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</si>
  <si>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</si>
  <si>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</si>
  <si>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</si>
  <si>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</si>
  <si>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</si>
  <si>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</si>
  <si>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</si>
  <si>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</si>
  <si>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</si>
  <si>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</si>
  <si>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</si>
  <si>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</si>
  <si>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</si>
  <si>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</si>
  <si>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</si>
  <si>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</si>
  <si>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</si>
  <si>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</si>
  <si>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</si>
  <si>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</si>
  <si>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</si>
  <si>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</si>
  <si>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</si>
  <si>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</si>
  <si>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</si>
  <si>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</si>
  <si>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</si>
  <si>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</si>
  <si>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</si>
  <si>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</si>
  <si>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</si>
  <si>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</si>
  <si>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</si>
  <si>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</si>
  <si>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</si>
  <si>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</si>
  <si>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</si>
  <si>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</si>
  <si>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</si>
  <si>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</si>
  <si>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</si>
  <si>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</si>
  <si>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</si>
  <si>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</si>
  <si>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</si>
  <si>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</si>
  <si>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</si>
  <si>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</si>
  <si>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</si>
  <si>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</si>
  <si>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</si>
  <si>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</si>
  <si>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</si>
  <si>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</si>
  <si>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</si>
  <si>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</si>
  <si>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</si>
  <si>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</si>
  <si>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</si>
  <si>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</si>
  <si>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</si>
  <si>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</si>
  <si>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</si>
  <si>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</si>
  <si>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</si>
  <si>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</si>
  <si>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</si>
  <si>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</si>
  <si>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</si>
  <si>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</si>
  <si>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</si>
  <si>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</si>
  <si>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</si>
  <si>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</si>
  <si>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</si>
  <si>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</si>
  <si>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</si>
  <si>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</si>
  <si>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</si>
  <si>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</si>
  <si>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</si>
  <si>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</si>
  <si>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</si>
  <si>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</si>
  <si>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</si>
  <si>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</si>
  <si>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</si>
  <si>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</si>
  <si>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</si>
  <si>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</si>
  <si>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</si>
  <si>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</si>
  <si>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</si>
  <si>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</si>
  <si>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</si>
  <si>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</si>
  <si>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</si>
  <si>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</si>
  <si>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</si>
  <si>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</si>
  <si>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</si>
  <si>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</si>
  <si>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</si>
  <si>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</si>
  <si>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</si>
  <si>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</si>
  <si>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</si>
  <si>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</si>
  <si>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</si>
  <si>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</si>
  <si>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</si>
  <si>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</si>
  <si>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</si>
  <si>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</si>
  <si>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</si>
  <si>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</si>
  <si>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</si>
  <si>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</si>
  <si>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</si>
  <si>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</si>
  <si>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</si>
  <si>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</si>
  <si>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</si>
  <si>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</si>
  <si>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</si>
  <si>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</si>
  <si>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</si>
  <si>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</si>
  <si>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</si>
  <si>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</si>
  <si>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</si>
  <si>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</si>
  <si>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</si>
  <si>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</si>
  <si>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</si>
  <si>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</si>
  <si>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</si>
  <si>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</si>
  <si>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</si>
  <si>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</si>
  <si>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</si>
  <si>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</si>
  <si>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</si>
  <si>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</si>
  <si>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</si>
  <si>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</si>
  <si>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</si>
  <si>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</si>
  <si>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</si>
  <si>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</si>
  <si>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</si>
  <si>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</si>
  <si>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</si>
  <si>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</si>
  <si>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</si>
  <si>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</si>
  <si>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</si>
  <si>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</si>
  <si>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</si>
  <si>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</si>
  <si>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</si>
  <si>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</si>
  <si>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</si>
  <si>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</si>
  <si>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</si>
  <si>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</si>
  <si>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</si>
  <si>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</si>
  <si>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</si>
  <si>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</si>
  <si>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</si>
  <si>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</si>
  <si>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</si>
  <si>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</si>
  <si>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</si>
  <si>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</si>
  <si>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</si>
  <si>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</si>
  <si>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</si>
  <si>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</si>
  <si>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</si>
  <si>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</si>
  <si>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</si>
  <si>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</si>
  <si>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</si>
  <si>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</si>
  <si>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</si>
  <si>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</si>
  <si>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</si>
  <si>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</si>
  <si>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</si>
  <si>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</si>
  <si>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</si>
  <si>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</si>
  <si>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</si>
  <si>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</si>
  <si>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</si>
  <si>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</si>
  <si>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</si>
  <si>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</si>
  <si>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</si>
  <si>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</si>
  <si>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</si>
  <si>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</si>
  <si>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</si>
  <si>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</si>
  <si>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</si>
  <si>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</si>
  <si>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</si>
  <si>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</si>
  <si>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</si>
  <si>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</si>
  <si>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</si>
  <si>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</si>
  <si>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</si>
  <si>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</si>
  <si>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</si>
  <si>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</si>
  <si>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</si>
  <si>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</si>
  <si>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</si>
  <si>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</si>
  <si>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</si>
  <si>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</si>
  <si>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</si>
  <si>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</si>
  <si>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</si>
  <si>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</si>
  <si>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</si>
  <si>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</si>
  <si>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</si>
  <si>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</si>
  <si>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</si>
  <si>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</si>
  <si>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</si>
  <si>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</si>
  <si>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</si>
  <si>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</si>
  <si>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</si>
  <si>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</si>
  <si>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</si>
  <si>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</si>
  <si>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</si>
  <si>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</si>
  <si>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</si>
  <si>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</si>
  <si>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</si>
  <si>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</si>
  <si>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</si>
  <si>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</si>
  <si>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</si>
  <si>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</si>
  <si>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</si>
  <si>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</si>
  <si>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</si>
  <si>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</si>
  <si>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</si>
  <si>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</si>
  <si>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</si>
  <si>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</si>
  <si>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</si>
  <si>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</si>
  <si>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</si>
  <si>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</si>
  <si>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</si>
  <si>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</si>
  <si>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</si>
  <si>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</si>
  <si>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</si>
  <si>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</si>
  <si>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</si>
  <si>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</si>
  <si>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</si>
  <si>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</si>
  <si>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</si>
  <si>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</si>
  <si>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</si>
  <si>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</si>
  <si>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</si>
  <si>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</si>
  <si>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</si>
  <si>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</si>
  <si>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</si>
  <si>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</si>
  <si>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</si>
  <si>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</si>
  <si>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</si>
  <si>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</si>
  <si>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</si>
  <si>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</si>
  <si>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</si>
  <si>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</si>
  <si>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</si>
  <si>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</si>
  <si>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</si>
  <si>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</si>
  <si>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</si>
  <si>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</si>
  <si>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</si>
  <si>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</si>
  <si>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</si>
  <si>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</si>
  <si>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</si>
  <si>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</si>
  <si>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</si>
  <si>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</si>
  <si>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</si>
  <si>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</si>
  <si>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</si>
  <si>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</si>
  <si>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</si>
  <si>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</si>
  <si>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</si>
  <si>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</si>
  <si>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</si>
  <si>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</si>
  <si>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</si>
  <si>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</si>
  <si>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</si>
  <si>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</si>
  <si>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</si>
  <si>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</si>
  <si>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</si>
  <si>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</si>
  <si>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</si>
  <si>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</si>
  <si>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</si>
  <si>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</si>
  <si>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</si>
  <si>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</si>
  <si>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</si>
  <si>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</si>
  <si>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</si>
  <si>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</si>
  <si>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</si>
  <si>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</si>
  <si>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</si>
  <si>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</si>
  <si>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</si>
  <si>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</si>
  <si>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</si>
  <si>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</si>
  <si>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</si>
  <si>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</si>
  <si>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</si>
  <si>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</si>
  <si>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</si>
  <si>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</si>
  <si>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</si>
  <si>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</si>
  <si>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</si>
  <si>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</si>
  <si>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</si>
  <si>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</si>
  <si>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</si>
  <si>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</si>
  <si>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</si>
  <si>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</si>
  <si>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</si>
  <si>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</si>
  <si>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</si>
  <si>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</si>
  <si>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</si>
  <si>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</si>
  <si>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</si>
  <si>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</si>
  <si>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</si>
  <si>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</si>
  <si>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</si>
  <si>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</si>
  <si>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</si>
  <si>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</si>
  <si>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</si>
  <si>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</si>
  <si>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</si>
  <si>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</si>
  <si>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</si>
  <si>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</si>
  <si>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</si>
  <si>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</si>
  <si>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</si>
  <si>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</si>
  <si>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</si>
  <si>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</si>
  <si>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</si>
  <si>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</si>
  <si>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</si>
  <si>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</si>
  <si>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</si>
  <si>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</si>
  <si>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</si>
  <si>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</si>
  <si>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</si>
  <si>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</si>
  <si>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</si>
  <si>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</si>
  <si>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</si>
  <si>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</si>
  <si>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</si>
  <si>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</si>
  <si>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</si>
  <si>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</si>
  <si>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</si>
  <si>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</si>
  <si>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</si>
  <si>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</si>
  <si>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</si>
  <si>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</si>
  <si>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</si>
  <si>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</si>
  <si>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</si>
  <si>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</si>
  <si>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</si>
  <si>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</si>
  <si>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</si>
  <si>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</si>
  <si>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</si>
  <si>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</si>
  <si>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</si>
  <si>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</si>
  <si>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</si>
  <si>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</si>
  <si>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</si>
  <si>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</si>
  <si>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</si>
  <si>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</si>
  <si>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</si>
  <si>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</si>
  <si>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</si>
  <si>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</si>
  <si>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</si>
  <si>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</si>
  <si>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</si>
  <si>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</si>
  <si>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</si>
  <si>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</si>
  <si>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</si>
  <si>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</si>
  <si>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</si>
  <si>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</si>
  <si>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</si>
  <si>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</si>
  <si>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</si>
  <si>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</si>
  <si>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</si>
  <si>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</si>
  <si>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</si>
  <si>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</si>
  <si>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</si>
  <si>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</si>
  <si>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</si>
  <si>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</si>
  <si>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</si>
  <si>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</si>
  <si>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</si>
  <si>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</si>
  <si>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</si>
  <si>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</si>
  <si>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</si>
  <si>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</si>
  <si>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</si>
  <si>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</si>
  <si>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</si>
  <si>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</si>
  <si>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</si>
  <si>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</si>
  <si>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</si>
  <si>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</si>
  <si>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</si>
  <si>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</si>
  <si>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</si>
  <si>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</si>
  <si>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</si>
  <si>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</si>
  <si>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</si>
  <si>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</si>
  <si>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</si>
  <si>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</si>
  <si>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</si>
  <si>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</si>
  <si>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</si>
  <si>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</si>
  <si>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</si>
  <si>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</si>
  <si>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</si>
  <si>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</si>
  <si>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</si>
  <si>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</si>
  <si>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</si>
  <si>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</si>
  <si>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</si>
  <si>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</si>
  <si>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</si>
  <si>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</si>
  <si>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</si>
  <si>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</si>
  <si>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</si>
  <si>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</si>
  <si>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</si>
  <si>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</si>
  <si>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</si>
  <si>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</si>
  <si>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</si>
  <si>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</si>
  <si>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</si>
  <si>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</si>
  <si>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</si>
  <si>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</si>
  <si>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</si>
  <si>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</si>
  <si>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</si>
  <si>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</si>
  <si>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</si>
  <si>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</si>
  <si>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</si>
  <si>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</si>
  <si>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</si>
  <si>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</si>
  <si>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</si>
  <si>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</si>
  <si>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</si>
  <si>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</si>
  <si>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</si>
  <si>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</si>
  <si>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</si>
  <si>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</si>
  <si>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</si>
  <si>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</si>
  <si>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</si>
  <si>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</si>
  <si>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</si>
  <si>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</si>
  <si>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</si>
  <si>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</si>
  <si>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</si>
  <si>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</si>
  <si>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</si>
  <si>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</si>
  <si>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</si>
  <si>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</si>
  <si>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</si>
  <si>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</si>
  <si>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</si>
  <si>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</si>
  <si>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</si>
  <si>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</si>
  <si>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</si>
  <si>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</si>
  <si>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</si>
  <si>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</si>
  <si>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</si>
  <si>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</si>
  <si>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</si>
  <si>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</si>
  <si>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</si>
  <si>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</si>
  <si>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</si>
  <si>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</si>
  <si>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</si>
  <si>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</si>
  <si>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</si>
  <si>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</si>
  <si>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</si>
  <si>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</si>
  <si>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</si>
  <si>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</si>
  <si>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</si>
  <si>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</si>
  <si>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</si>
  <si>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</si>
  <si>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</si>
  <si>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</si>
  <si>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</si>
  <si>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</si>
  <si>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</si>
  <si>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</si>
  <si>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</si>
  <si>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</si>
  <si>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</si>
  <si>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</si>
  <si>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</si>
  <si>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</si>
  <si>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</si>
  <si>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</si>
  <si>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</si>
  <si>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</si>
  <si>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</si>
  <si>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</si>
  <si>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</si>
  <si>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</si>
  <si>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</si>
  <si>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</si>
  <si>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</si>
  <si>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</si>
  <si>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</si>
  <si>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</si>
  <si>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</si>
  <si>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</si>
  <si>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</si>
  <si>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</si>
  <si>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</si>
  <si>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</si>
  <si>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</si>
  <si>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</si>
  <si>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</si>
  <si>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</si>
  <si>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</si>
  <si>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</si>
  <si>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</si>
  <si>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</si>
  <si>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</si>
  <si>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</si>
  <si>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</si>
  <si>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</si>
  <si>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</si>
  <si>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</si>
  <si>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</si>
  <si>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</si>
  <si>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</si>
  <si>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</si>
  <si>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</si>
  <si>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</si>
  <si>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</si>
  <si>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</si>
  <si>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</si>
  <si>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</si>
  <si>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</si>
  <si>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</si>
  <si>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</si>
  <si>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</si>
  <si>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</si>
  <si>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</si>
  <si>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</si>
  <si>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</si>
  <si>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</si>
  <si>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</si>
  <si>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</si>
  <si>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</si>
  <si>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</si>
  <si>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</si>
  <si>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</si>
  <si>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</si>
  <si>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</si>
  <si>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</si>
  <si>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</si>
  <si>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</si>
  <si>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</si>
  <si>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</si>
  <si>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</si>
  <si>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</si>
  <si>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</si>
  <si>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</si>
  <si>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</si>
  <si>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</si>
  <si>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</si>
  <si>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</si>
  <si>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</si>
  <si>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</si>
  <si>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</si>
  <si>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</si>
  <si>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</si>
  <si>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</si>
  <si>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</si>
  <si>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</si>
  <si>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</si>
  <si>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</si>
  <si>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</si>
  <si>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</si>
  <si>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</si>
  <si>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</si>
  <si>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</si>
  <si>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</si>
  <si>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</si>
  <si>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</si>
  <si>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</si>
  <si>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</si>
  <si>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</si>
  <si>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</si>
  <si>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</si>
  <si>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</si>
  <si>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</si>
  <si>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</si>
  <si>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</si>
  <si>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</si>
  <si>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</si>
  <si>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</si>
  <si>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</si>
  <si>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</si>
  <si>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</si>
  <si>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</si>
  <si>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</si>
  <si>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</si>
  <si>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</si>
  <si>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</si>
  <si>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</si>
  <si>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</si>
  <si>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</si>
  <si>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</si>
  <si>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</si>
  <si>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</si>
  <si>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</si>
  <si>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</si>
  <si>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</si>
  <si>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</si>
  <si>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</si>
  <si>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</si>
  <si>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</si>
  <si>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</si>
  <si>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</si>
  <si>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</si>
  <si>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</si>
  <si>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</si>
  <si>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</si>
  <si>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</si>
  <si>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</si>
  <si>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</si>
  <si>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</si>
  <si>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</si>
  <si>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</si>
  <si>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</si>
  <si>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</si>
  <si>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</si>
  <si>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</si>
  <si>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</si>
  <si>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</si>
  <si>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</si>
  <si>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</si>
  <si>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</si>
  <si>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</si>
  <si>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</si>
  <si>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</si>
  <si>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</si>
  <si>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</si>
  <si>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</si>
  <si>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</si>
  <si>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</si>
  <si>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</si>
  <si>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</si>
  <si>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</si>
  <si>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</si>
  <si>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</si>
  <si>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</si>
  <si>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</si>
  <si>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</si>
  <si>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</si>
  <si>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</si>
  <si>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</si>
  <si>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</si>
  <si>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</si>
  <si>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</si>
  <si>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</si>
  <si>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</si>
  <si>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</si>
  <si>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</si>
  <si>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</si>
  <si>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</si>
  <si>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</si>
  <si>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</si>
  <si>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</si>
  <si>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</si>
  <si>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</si>
  <si>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</si>
  <si>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</si>
  <si>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</si>
  <si>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</si>
  <si>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</si>
  <si>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</si>
  <si>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</si>
  <si>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</si>
  <si>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</si>
  <si>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</si>
  <si>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</si>
  <si>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</si>
  <si>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</si>
  <si>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</si>
  <si>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</si>
  <si>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</si>
  <si>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</si>
  <si>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</si>
  <si>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</si>
  <si>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</si>
  <si>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</si>
  <si>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</si>
  <si>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</si>
  <si>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</si>
  <si>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</si>
  <si>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</si>
  <si>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</si>
  <si>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</si>
  <si>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</si>
  <si>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</si>
  <si>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</si>
  <si>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</si>
  <si>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</si>
  <si>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</si>
  <si>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</si>
  <si>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</si>
  <si>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</si>
  <si>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</si>
  <si>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</si>
  <si>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</si>
  <si>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</si>
  <si>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</si>
  <si>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</si>
  <si>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</si>
  <si>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</si>
  <si>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</si>
  <si>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</si>
  <si>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</si>
  <si>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</si>
  <si>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</si>
  <si>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</si>
  <si>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</si>
  <si>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</si>
  <si>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</si>
  <si>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</si>
  <si>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</si>
  <si>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</si>
  <si>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</si>
  <si>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</si>
  <si>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</si>
  <si>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</si>
  <si>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</si>
  <si>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</si>
  <si>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</si>
  <si>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</si>
  <si>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</si>
  <si>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</si>
  <si>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</si>
  <si>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</si>
  <si>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</si>
  <si>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</si>
  <si>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</si>
  <si>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</si>
  <si>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</si>
  <si>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</si>
  <si>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</si>
  <si>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</si>
  <si>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</si>
  <si>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</si>
  <si>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</si>
  <si>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</si>
  <si>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</si>
  <si>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</si>
  <si>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</si>
  <si>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</si>
  <si>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</si>
  <si>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</si>
  <si>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</si>
  <si>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</si>
  <si>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</si>
  <si>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</si>
  <si>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</si>
  <si>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</si>
  <si>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</si>
  <si>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</si>
  <si>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</si>
  <si>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</si>
  <si>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</si>
  <si>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</si>
  <si>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</si>
  <si>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</si>
  <si>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</si>
  <si>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</si>
  <si>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</si>
  <si>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</si>
  <si>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</si>
  <si>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</si>
  <si>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</si>
  <si>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</si>
  <si>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</si>
  <si>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</si>
  <si>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</si>
  <si>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</si>
  <si>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</si>
  <si>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</si>
  <si>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</si>
  <si>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</si>
  <si>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</si>
  <si>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</si>
  <si>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</si>
  <si>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</si>
  <si>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</si>
  <si>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</si>
  <si>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</si>
  <si>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</si>
  <si>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</si>
  <si>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</si>
  <si>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</si>
  <si>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</si>
  <si>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</si>
  <si>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</si>
  <si>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</si>
  <si>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</si>
  <si>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</si>
  <si>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</si>
  <si>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</si>
  <si>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</si>
  <si>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</si>
  <si>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</si>
  <si>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</si>
  <si>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</si>
  <si>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</si>
  <si>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</si>
  <si>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</si>
  <si>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</si>
  <si>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</si>
  <si>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</si>
  <si>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</si>
  <si>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</si>
  <si>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</si>
  <si>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</si>
  <si>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</si>
  <si>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</si>
  <si>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</si>
  <si>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</si>
  <si>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</si>
  <si>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</si>
  <si>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</si>
  <si>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</si>
  <si>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</si>
  <si>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</si>
  <si>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</si>
  <si>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</si>
  <si>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</si>
  <si>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</si>
  <si>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</si>
  <si>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</si>
  <si>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</si>
  <si>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</si>
  <si>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</si>
  <si>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</si>
  <si>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</si>
  <si>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</si>
  <si>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</si>
  <si>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</si>
  <si>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</si>
  <si>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</si>
  <si>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</si>
  <si>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</si>
  <si>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</si>
  <si>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</si>
  <si>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</si>
  <si>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</si>
  <si>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</si>
  <si>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</si>
  <si>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</si>
  <si>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</si>
  <si>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</si>
  <si>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</si>
  <si>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</si>
  <si>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</si>
  <si>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</si>
  <si>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</si>
  <si>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</si>
  <si>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</si>
  <si>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</si>
  <si>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</si>
  <si>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</si>
  <si>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</si>
  <si>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</si>
  <si>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</si>
  <si>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</si>
  <si>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</si>
  <si>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</si>
  <si>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</si>
  <si>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</si>
  <si>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</si>
  <si>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</si>
  <si>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</si>
  <si>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</si>
  <si>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</si>
  <si>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</si>
  <si>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</si>
  <si>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</si>
  <si>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</si>
  <si>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</si>
  <si>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</si>
  <si>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</si>
  <si>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</si>
  <si>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</si>
  <si>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</si>
  <si>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</si>
  <si>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</si>
  <si>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</si>
  <si>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</si>
  <si>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</si>
  <si>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</si>
  <si>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</si>
  <si>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</si>
  <si>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</si>
  <si>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</si>
  <si>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</si>
  <si>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</si>
  <si>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</si>
  <si>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</si>
  <si>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</si>
  <si>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</si>
  <si>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</si>
  <si>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</si>
  <si>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</si>
  <si>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</si>
  <si>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</si>
  <si>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</si>
  <si>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</si>
  <si>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</si>
  <si>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</si>
  <si>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</si>
  <si>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</si>
  <si>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</si>
  <si>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</si>
  <si>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</si>
  <si>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</si>
  <si>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</si>
  <si>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</si>
  <si>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</si>
  <si>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</si>
  <si>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</si>
  <si>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</si>
  <si>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</si>
  <si>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</si>
  <si>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</si>
  <si>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</si>
  <si>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</si>
  <si>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</si>
  <si>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</si>
  <si>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</si>
  <si>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</si>
  <si>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</si>
  <si>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</si>
  <si>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</si>
  <si>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</si>
  <si>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</si>
  <si>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</si>
  <si>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</si>
  <si>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</si>
  <si>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</si>
  <si>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</si>
  <si>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</si>
  <si>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</si>
  <si>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</si>
  <si>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</si>
  <si>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</si>
  <si>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</si>
  <si>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</si>
  <si>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</si>
  <si>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</si>
  <si>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</si>
  <si>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</si>
  <si>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</si>
  <si>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</si>
  <si>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</si>
  <si>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</si>
  <si>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</si>
  <si>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</si>
  <si>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</si>
  <si>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</si>
  <si>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</si>
  <si>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</si>
  <si>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</si>
  <si>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</si>
  <si>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</si>
  <si>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</si>
  <si>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</si>
  <si>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</si>
  <si>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</si>
  <si>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</si>
  <si>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</si>
  <si>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</si>
  <si>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</si>
  <si>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</si>
  <si>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</si>
  <si>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</si>
  <si>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</si>
  <si>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</si>
  <si>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</si>
  <si>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</si>
  <si>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</si>
  <si>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</si>
  <si>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</si>
  <si>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</si>
  <si>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</si>
  <si>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</si>
  <si>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</si>
  <si>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</si>
  <si>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</si>
  <si>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</si>
  <si>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</si>
  <si>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</si>
  <si>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</si>
  <si>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</si>
  <si>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</si>
  <si>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</si>
  <si>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</si>
  <si>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</si>
  <si>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</si>
  <si>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</si>
  <si>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</si>
  <si>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</si>
  <si>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</si>
  <si>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</si>
  <si>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</si>
  <si>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</si>
  <si>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</si>
  <si>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</si>
  <si>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</si>
  <si>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</si>
  <si>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</si>
  <si>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</si>
  <si>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</si>
  <si>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</si>
  <si>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</si>
  <si>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</si>
  <si>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</si>
  <si>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</si>
  <si>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</si>
  <si>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</si>
  <si>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</si>
  <si>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</si>
  <si>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</si>
  <si>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</si>
  <si>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</si>
  <si>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</si>
  <si>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</si>
  <si>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</si>
  <si>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</si>
  <si>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</si>
  <si>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</si>
  <si>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</si>
  <si>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</si>
  <si>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</si>
  <si>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</si>
  <si>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</si>
  <si>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</si>
  <si>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</si>
  <si>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</si>
  <si>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</si>
  <si>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</si>
  <si>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</si>
  <si>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</si>
  <si>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</si>
  <si>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</si>
  <si>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</si>
  <si>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</si>
  <si>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</si>
  <si>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</si>
  <si>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</si>
  <si>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</si>
  <si>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</si>
  <si>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</si>
  <si>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</si>
  <si>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</si>
  <si>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</si>
  <si>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</si>
  <si>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</si>
  <si>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</si>
  <si>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</si>
  <si>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</si>
  <si>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</si>
  <si>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</si>
  <si>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</si>
  <si>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</si>
  <si>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</si>
  <si>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</si>
  <si>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</si>
  <si>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</si>
  <si>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</si>
  <si>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</si>
  <si>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</si>
  <si>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</si>
  <si>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</si>
  <si>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</si>
  <si>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</si>
  <si>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</si>
  <si>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</si>
  <si>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</si>
  <si>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</si>
  <si>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</si>
  <si>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</si>
  <si>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</si>
  <si>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</si>
  <si>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</si>
  <si>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</si>
  <si>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</si>
  <si>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</si>
  <si>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</si>
  <si>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</si>
  <si>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</si>
  <si>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</si>
  <si>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</si>
  <si>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</si>
  <si>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</si>
  <si>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</si>
  <si>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</si>
  <si>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</si>
  <si>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</si>
  <si>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</si>
  <si>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</si>
  <si>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</si>
  <si>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</si>
  <si>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</si>
  <si>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</si>
  <si>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</si>
  <si>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</si>
  <si>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</si>
  <si>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</si>
  <si>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</si>
  <si>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</si>
  <si>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</si>
  <si>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</si>
  <si>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</si>
  <si>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</si>
  <si>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</si>
  <si>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</si>
  <si>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</si>
  <si>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</si>
  <si>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</si>
  <si>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</si>
  <si>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</si>
  <si>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</si>
  <si>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</si>
  <si>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</si>
  <si>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</si>
  <si>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</si>
  <si>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</si>
  <si>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</si>
  <si>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</si>
  <si>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</si>
  <si>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</si>
  <si>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</si>
  <si>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</si>
  <si>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</si>
  <si>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</si>
  <si>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</si>
  <si>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</si>
  <si>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</si>
  <si>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</si>
  <si>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</si>
  <si>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</si>
  <si>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</si>
  <si>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</si>
  <si>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</si>
  <si>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</si>
  <si>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</si>
  <si>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</si>
  <si>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</si>
  <si>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</si>
  <si>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</si>
  <si>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</si>
  <si>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</si>
  <si>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</si>
  <si>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</si>
  <si>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</si>
  <si>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</si>
  <si>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</si>
  <si>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</si>
  <si>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</si>
  <si>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</si>
  <si>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</si>
  <si>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</si>
  <si>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</si>
  <si>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</si>
  <si>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</si>
  <si>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</si>
  <si>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</si>
  <si>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</si>
  <si>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</si>
  <si>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</si>
  <si>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</si>
  <si>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</si>
  <si>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</si>
  <si>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</si>
  <si>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</si>
  <si>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</si>
  <si>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</si>
  <si>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</si>
  <si>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</si>
  <si>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</si>
  <si>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</si>
  <si>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</si>
  <si>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</si>
  <si>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</si>
  <si>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</si>
  <si>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</si>
  <si>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</si>
  <si>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</si>
  <si>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</si>
  <si>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</si>
  <si>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</si>
  <si>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</si>
  <si>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</si>
  <si>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</si>
  <si>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</si>
  <si>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</si>
  <si>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</si>
  <si>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</si>
  <si>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</si>
  <si>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</si>
  <si>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</si>
  <si>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</si>
  <si>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</si>
  <si>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</si>
  <si>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</si>
  <si>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</si>
  <si>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</si>
  <si>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</si>
  <si>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</si>
  <si>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</si>
  <si>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</si>
  <si>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</si>
  <si>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</si>
  <si>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</si>
  <si>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</si>
  <si>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</si>
  <si>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</si>
  <si>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</si>
  <si>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</si>
  <si>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</si>
  <si>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</si>
  <si>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</si>
  <si>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</si>
  <si>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</si>
  <si>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</si>
  <si>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</si>
  <si>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</si>
  <si>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</si>
  <si>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</si>
  <si>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</si>
  <si>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</si>
  <si>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</si>
  <si>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</si>
  <si>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</si>
  <si>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</si>
  <si>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</si>
  <si>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</si>
  <si>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</si>
  <si>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</si>
  <si>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</si>
  <si>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</si>
  <si>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</si>
  <si>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</si>
  <si>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</si>
  <si>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</si>
  <si>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</si>
  <si>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</si>
  <si>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</si>
  <si>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</si>
  <si>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</si>
  <si>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</si>
  <si>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</si>
  <si>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</si>
  <si>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</si>
  <si>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</si>
  <si>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</si>
  <si>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</si>
  <si>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</si>
  <si>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</si>
  <si>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</si>
  <si>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</si>
  <si>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</si>
  <si>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</si>
  <si>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</si>
  <si>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</si>
  <si>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</si>
  <si>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</si>
  <si>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</si>
  <si>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</si>
  <si>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</si>
  <si>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</si>
  <si>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</si>
  <si>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</si>
  <si>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</si>
  <si>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</si>
  <si>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</si>
  <si>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</si>
  <si>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</si>
  <si>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</si>
  <si>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</si>
  <si>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</si>
  <si>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</si>
  <si>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</si>
  <si>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</si>
  <si>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</si>
  <si>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</si>
  <si>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</si>
  <si>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</si>
  <si>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</si>
  <si>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</si>
  <si>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</si>
  <si>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</si>
  <si>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</si>
  <si>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</si>
  <si>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</si>
  <si>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</si>
  <si>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</si>
  <si>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</si>
  <si>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</si>
  <si>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</si>
  <si>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</si>
  <si>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</si>
  <si>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</si>
  <si>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</si>
  <si>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</si>
  <si>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</si>
  <si>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</si>
  <si>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</si>
  <si>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</si>
  <si>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</si>
  <si>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</si>
  <si>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</si>
  <si>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</si>
  <si>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</si>
  <si>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</si>
  <si>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</si>
  <si>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</si>
  <si>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</si>
  <si>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</si>
  <si>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</si>
  <si>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</si>
  <si>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</si>
  <si>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</si>
  <si>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</si>
  <si>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</si>
  <si>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</si>
  <si>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</si>
  <si>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</si>
  <si>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</si>
  <si>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</si>
  <si>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</si>
  <si>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</si>
  <si>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</si>
  <si>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</si>
  <si>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</si>
  <si>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</si>
  <si>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</si>
  <si>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</si>
  <si>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</si>
  <si>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</si>
  <si>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</si>
  <si>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</si>
  <si>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</si>
  <si>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</si>
  <si>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</si>
  <si>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</si>
  <si>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</si>
  <si>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</si>
  <si>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</si>
  <si>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</si>
  <si>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</si>
  <si>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</si>
  <si>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</si>
  <si>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</si>
  <si>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</si>
  <si>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</si>
  <si>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</si>
  <si>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</si>
  <si>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</si>
  <si>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</si>
  <si>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</si>
  <si>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</si>
  <si>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</si>
  <si>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</si>
  <si>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</si>
  <si>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</si>
  <si>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</si>
  <si>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</si>
  <si>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</si>
  <si>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</si>
  <si>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</si>
  <si>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</si>
  <si>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</si>
  <si>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</si>
  <si>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</si>
  <si>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</si>
  <si>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</si>
  <si>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</si>
  <si>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</si>
  <si>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</si>
  <si>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</si>
  <si>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</si>
  <si>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</si>
  <si>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</si>
  <si>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</si>
  <si>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</si>
  <si>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</si>
  <si>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</si>
  <si>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</si>
  <si>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</si>
  <si>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</si>
  <si>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</si>
  <si>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</si>
  <si>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</si>
  <si>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</si>
  <si>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</si>
  <si>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</si>
  <si>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</si>
  <si>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</si>
  <si>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</si>
  <si>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</si>
  <si>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</si>
  <si>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</si>
  <si>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</si>
  <si>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</si>
  <si>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</si>
  <si>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</si>
  <si>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</si>
  <si>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</si>
  <si>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</si>
  <si>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</si>
  <si>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</si>
  <si>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</si>
  <si>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</si>
  <si>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</si>
  <si>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</si>
  <si>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</si>
  <si>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</si>
  <si>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</si>
  <si>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</si>
  <si>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</si>
  <si>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</si>
  <si>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</si>
  <si>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</si>
  <si>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</si>
  <si>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</si>
  <si>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</si>
  <si>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</si>
  <si>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</si>
  <si>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</si>
  <si>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</si>
  <si>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</si>
  <si>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</si>
  <si>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</si>
  <si>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</si>
  <si>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</si>
  <si>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</si>
  <si>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</si>
  <si>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</si>
  <si>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</si>
  <si>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</si>
  <si>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</si>
  <si>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</si>
  <si>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</si>
  <si>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</si>
  <si>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</si>
  <si>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</si>
  <si>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</si>
  <si>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</si>
  <si>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</si>
  <si>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</si>
  <si>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</si>
  <si>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</si>
  <si>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</si>
  <si>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</si>
  <si>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</si>
  <si>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</si>
  <si>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</si>
  <si>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</si>
  <si>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</si>
  <si>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</si>
  <si>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</si>
  <si>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</si>
  <si>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</si>
  <si>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</si>
  <si>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</si>
  <si>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</si>
  <si>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</si>
  <si>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</si>
  <si>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</si>
  <si>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</si>
  <si>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</si>
  <si>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</si>
  <si>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</si>
  <si>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</si>
  <si>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</si>
  <si>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</si>
  <si>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</si>
  <si>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</si>
  <si>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</si>
  <si>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</si>
  <si>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</si>
  <si>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</si>
  <si>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</si>
  <si>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</si>
  <si>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</si>
  <si>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</si>
  <si>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</si>
  <si>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</si>
  <si>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</si>
  <si>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</si>
  <si>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</si>
  <si>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</si>
  <si>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</si>
  <si>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</si>
  <si>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</si>
  <si>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</si>
  <si>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</si>
  <si>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</si>
  <si>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</si>
  <si>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</si>
  <si>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</si>
  <si>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</si>
  <si>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</si>
  <si>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</si>
  <si>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</si>
  <si>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</si>
  <si>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</si>
  <si>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</si>
  <si>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</si>
  <si>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</si>
  <si>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</si>
  <si>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</si>
  <si>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</si>
  <si>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</si>
  <si>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</si>
  <si>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</si>
  <si>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</si>
  <si>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</si>
  <si>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</si>
  <si>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</si>
  <si>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</si>
  <si>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</si>
  <si>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</si>
  <si>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</si>
  <si>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</si>
  <si>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</si>
  <si>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</si>
  <si>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</si>
  <si>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</si>
  <si>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</si>
  <si>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</si>
  <si>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</si>
  <si>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</si>
  <si>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</si>
  <si>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</si>
  <si>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</si>
  <si>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</si>
  <si>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</si>
  <si>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</si>
  <si>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</si>
  <si>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</si>
  <si>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</si>
  <si>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</si>
  <si>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</si>
  <si>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</si>
  <si>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</si>
  <si>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</si>
  <si>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</si>
  <si>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</si>
  <si>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</si>
  <si>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</si>
  <si>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</si>
  <si>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</si>
  <si>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</si>
  <si>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</si>
  <si>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</si>
  <si>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</si>
  <si>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</si>
  <si>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</si>
  <si>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</si>
  <si>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</si>
  <si>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</si>
  <si>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</si>
  <si>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</si>
  <si>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</si>
  <si>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</si>
  <si>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</si>
  <si>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</si>
  <si>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</si>
  <si>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</si>
  <si>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</si>
  <si>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</si>
  <si>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</si>
  <si>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</si>
  <si>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</si>
  <si>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</si>
  <si>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</si>
  <si>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</si>
  <si>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</si>
  <si>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</si>
  <si>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</si>
  <si>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</si>
  <si>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</si>
  <si>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</si>
  <si>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</si>
  <si>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</si>
  <si>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</si>
  <si>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</si>
  <si>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</si>
  <si>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</si>
  <si>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</si>
  <si>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</si>
  <si>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</si>
  <si>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</si>
  <si>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</si>
  <si>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</si>
  <si>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</si>
  <si>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</si>
  <si>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</si>
  <si>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</si>
  <si>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</si>
  <si>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</si>
  <si>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</si>
  <si>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</si>
  <si>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</si>
  <si>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</si>
  <si>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</si>
  <si>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</si>
  <si>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</si>
  <si>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</si>
  <si>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</si>
  <si>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</si>
  <si>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</si>
  <si>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</si>
  <si>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</si>
  <si>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</si>
  <si>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</si>
  <si>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</si>
  <si>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</si>
  <si>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</si>
  <si>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</si>
  <si>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</si>
  <si>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</si>
  <si>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</si>
  <si>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</si>
  <si>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</si>
  <si>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</si>
  <si>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</si>
  <si>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</si>
  <si>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</si>
  <si>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</si>
  <si>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</si>
  <si>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</si>
  <si>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</si>
  <si>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</si>
  <si>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</si>
  <si>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</si>
  <si>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</si>
  <si>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</si>
  <si>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</si>
  <si>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</si>
  <si>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</si>
  <si>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</si>
  <si>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</si>
  <si>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</si>
  <si>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</si>
  <si>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</si>
  <si>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</si>
  <si>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</si>
  <si>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</si>
  <si>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</si>
  <si>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</si>
  <si>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</si>
  <si>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</si>
  <si>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</si>
  <si>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</si>
  <si>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</si>
  <si>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</si>
  <si>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</si>
  <si>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</si>
  <si>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</si>
  <si>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</si>
  <si>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</si>
  <si>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</si>
  <si>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</si>
  <si>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</si>
  <si>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</si>
  <si>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</si>
  <si>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</si>
  <si>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</si>
  <si>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</si>
  <si>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</si>
  <si>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</si>
  <si>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</si>
  <si>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</si>
  <si>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</si>
  <si>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</si>
  <si>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</si>
  <si>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</si>
  <si>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</si>
  <si>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</si>
  <si>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</si>
  <si>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</si>
  <si>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</si>
  <si>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</si>
  <si>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</si>
  <si>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</si>
  <si>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</si>
  <si>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</si>
  <si>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</si>
  <si>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</si>
  <si>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</si>
  <si>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</si>
  <si>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</si>
  <si>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</si>
  <si>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</si>
  <si>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</si>
  <si>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</si>
  <si>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</si>
  <si>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</si>
  <si>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</si>
  <si>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</si>
  <si>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</si>
  <si>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</si>
  <si>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</si>
  <si>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</si>
  <si>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</si>
  <si>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</si>
  <si>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</si>
  <si>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</si>
  <si>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</si>
  <si>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</si>
  <si>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</si>
  <si>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</si>
  <si>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</si>
  <si>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</si>
  <si>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</si>
  <si>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</si>
  <si>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</si>
  <si>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</si>
  <si>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</si>
  <si>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</si>
  <si>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工行新街口支行</t>
    <phoneticPr fontId="6" type="noConversion"/>
  </si>
  <si>
    <t>抵押</t>
  </si>
  <si>
    <t>房地产抵押价值</t>
  </si>
  <si>
    <t>《房屋所有权证》[]</t>
    <phoneticPr fontId="6" type="noConversion"/>
  </si>
  <si>
    <t>通路</t>
  </si>
  <si>
    <t>通电</t>
  </si>
  <si>
    <t>通讯</t>
  </si>
  <si>
    <t>通上水</t>
  </si>
  <si>
    <t>通下水</t>
  </si>
  <si>
    <t>通热</t>
  </si>
  <si>
    <t>燃气</t>
  </si>
  <si>
    <t>商业</t>
  </si>
  <si>
    <t>双面临街</t>
  </si>
  <si>
    <t>估价对象所在区域公共配套设施齐备度较好</t>
    <phoneticPr fontId="3" type="noConversion"/>
  </si>
  <si>
    <t>估价对象所在区域基础设施水平七通一平</t>
    <phoneticPr fontId="3" type="noConversion"/>
  </si>
  <si>
    <t>估价对象周边商业用地一般，周边有上品折扣、世纪联华超市等，商业规模一般，综合评价商业繁华度一般</t>
    <phoneticPr fontId="3" type="noConversion"/>
  </si>
  <si>
    <t>估价对象周边有308、335等公交线路及地铁1号线，公共交通通达情况较好；项目自身有停车位、停车便捷程度较好，综合评价交通便捷度较好</t>
    <phoneticPr fontId="3" type="noConversion"/>
  </si>
  <si>
    <t>城市支路——沙窝中路</t>
    <phoneticPr fontId="3" type="noConversion"/>
  </si>
  <si>
    <t>商业</t>
    <phoneticPr fontId="45" type="noConversion"/>
  </si>
  <si>
    <t>一般</t>
  </si>
  <si>
    <t>较好</t>
  </si>
  <si>
    <t>七通</t>
  </si>
  <si>
    <t>商业、办公</t>
  </si>
  <si>
    <t>商业、办公</t>
    <phoneticPr fontId="45" type="noConversion"/>
  </si>
  <si>
    <t>地块名称</t>
  </si>
  <si>
    <t>城市</t>
  </si>
  <si>
    <t>用地性质</t>
  </si>
  <si>
    <t>出让方式</t>
  </si>
  <si>
    <t>建设用地面积(㎡)</t>
  </si>
  <si>
    <t>规划建筑面积(㎡)</t>
  </si>
  <si>
    <t>容积率</t>
  </si>
  <si>
    <t>商业比例</t>
  </si>
  <si>
    <t>公告时间</t>
  </si>
  <si>
    <t>截止日期</t>
  </si>
  <si>
    <t>成交日期</t>
  </si>
  <si>
    <t>公告编号</t>
  </si>
  <si>
    <t>交易状态</t>
  </si>
  <si>
    <t>受让单位</t>
  </si>
  <si>
    <t>起始价(万元)</t>
  </si>
  <si>
    <t>成交价(万元)</t>
  </si>
  <si>
    <t>成交每亩价(万元/亩)</t>
  </si>
  <si>
    <t>成交楼面价(元/㎡)</t>
  </si>
  <si>
    <t>成交楼面价(除保障房)(元/㎡)</t>
  </si>
  <si>
    <t>溢价率</t>
  </si>
  <si>
    <t>出让年限</t>
  </si>
  <si>
    <t>海淀区“海淀北部地区整体开发”中关村环保科技园HD-0303-0071地块</t>
  </si>
  <si>
    <t>北京市</t>
  </si>
  <si>
    <t>商业/办公用地</t>
  </si>
  <si>
    <t>挂牌</t>
  </si>
  <si>
    <t>2016-04-29</t>
  </si>
  <si>
    <t>2016-06-02</t>
  </si>
  <si>
    <t>京土整储挂(海)[2016]009号</t>
  </si>
  <si>
    <t>已成交</t>
  </si>
  <si>
    <t>北京龙湖中佰置业有限公司和北京龙湖天行置业有限公司联合体</t>
  </si>
  <si>
    <t>商业40年、办公50年</t>
  </si>
  <si>
    <t>海淀区“海淀北部地区整体开发”HD-0303-0031地块</t>
  </si>
  <si>
    <t>2015-09-24</t>
  </si>
  <si>
    <t>2015-10-28</t>
  </si>
  <si>
    <t>京土整储挂(海)[2015]044号</t>
  </si>
  <si>
    <t>神州数码软件有限公司和神州数码(中国)有限公司联合体</t>
  </si>
  <si>
    <t>海淀区“海淀北部地区整体开发”HD-0303-0062地块</t>
  </si>
  <si>
    <t>2015-09-18</t>
  </si>
  <si>
    <t>2015-10-27</t>
  </si>
  <si>
    <t>京土整储挂(海)[2015]042号</t>
  </si>
  <si>
    <t>北京万科企业有限公司</t>
  </si>
  <si>
    <t>海淀北部地区整体开发中关村永丰产业基地HD-0402-0078地块B2商务用地</t>
  </si>
  <si>
    <t>2014-12-09</t>
  </si>
  <si>
    <t>2015-01-13</t>
  </si>
  <si>
    <t>京土整储挂(海)[2014]087号</t>
  </si>
  <si>
    <t>中关村发展集团股份有限公司和北京中关村软件园发展有限责任公司联合体</t>
  </si>
  <si>
    <t>商业40年、综合50年</t>
  </si>
  <si>
    <t>海淀北部地区整体开发中关村环保科技示范园3-3-209地块F3其他类多功能用地</t>
  </si>
  <si>
    <t>2014-08-25</t>
  </si>
  <si>
    <t>2014-09-28</t>
  </si>
  <si>
    <t>京土整储挂(海)[2014]062号</t>
  </si>
  <si>
    <t>北京威凯建设发展有限责任公司</t>
  </si>
  <si>
    <t>海淀北部地区整体开发中关村翠湖科技园HD-0302-194、HD-0302-223地块C2商业金融用地</t>
  </si>
  <si>
    <t>2014-06-30</t>
  </si>
  <si>
    <t>2014-08-04</t>
  </si>
  <si>
    <t>京土整储挂(海)[2014]045号</t>
  </si>
  <si>
    <t>绿地控股集团有限公司</t>
  </si>
  <si>
    <t>海淀北部地区整体开发中关村翠湖科技园HD-0302-195、HD-0302-224地块C2商业金融用地</t>
  </si>
  <si>
    <t>京土整储挂(海)[2014]046号</t>
  </si>
  <si>
    <t>丰台区丽泽金融商务区南区D-07、D-08地块</t>
  </si>
  <si>
    <t>2017-04-14</t>
  </si>
  <si>
    <t>2017-05-18</t>
  </si>
  <si>
    <t>京土整储挂(丰)[2017]035号</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</si>
  <si>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</si>
  <si>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</si>
  <si>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</si>
  <si>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2015-09-11</t>
  </si>
  <si>
    <t>2015-10-21</t>
  </si>
  <si>
    <t>京土整储挂(丰)[2015]038号</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</si>
  <si>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</si>
  <si>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</si>
  <si>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</si>
  <si>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</si>
  <si>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2015-09-10</t>
  </si>
  <si>
    <t>2015-10-20</t>
  </si>
  <si>
    <t>京土整储挂(丰)[2015]036号</t>
  </si>
  <si>
    <t>中铁置业集团有限公司和中铁投资集团有限公司联合体</t>
  </si>
  <si>
    <t>丰台区花乡四合庄(中关村科技园丰台园东区三期)1516-12-A地块</t>
  </si>
  <si>
    <t>2015-06-11</t>
  </si>
  <si>
    <t>2015-07-15</t>
  </si>
  <si>
    <t>京土整储挂(丰)[2015]025号</t>
  </si>
  <si>
    <t>北京金丰融晟投资管理有限公司</t>
  </si>
  <si>
    <t>丰台区丽泽路E-01、E-05、E-06地块</t>
  </si>
  <si>
    <t>2015-03-23</t>
  </si>
  <si>
    <t>2015-04-27</t>
  </si>
  <si>
    <t>京土整储挂(丰)[2015]015号</t>
  </si>
  <si>
    <t>深圳市平轩投资管理有限公司</t>
  </si>
  <si>
    <t>丰台区花乡四合庄(中关村科技园丰台园东区三期)1516-21地块</t>
  </si>
  <si>
    <t>招标</t>
  </si>
  <si>
    <t>2015-01-15</t>
  </si>
  <si>
    <t>2015-02-09</t>
  </si>
  <si>
    <t>京土整储招(丰)[2015]011号</t>
  </si>
  <si>
    <t>大连万达商业地产股份有限公司</t>
  </si>
  <si>
    <t>丰台区丽泽金融商务区D-10地块F3其他类多功能用地</t>
  </si>
  <si>
    <t>2014-12-12</t>
  </si>
  <si>
    <t>2015-01-16</t>
  </si>
  <si>
    <t>京土整储挂(丰)[2014]089号</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</si>
  <si>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</si>
  <si>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</si>
  <si>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2014-11-26</t>
  </si>
  <si>
    <t>2014-12-30</t>
  </si>
  <si>
    <t>京土整储挂(丰)[2014]081号</t>
  </si>
  <si>
    <t>北京龙湖中佰置业有限公司和北京泰瑞恒尚投资有限公司联合体</t>
  </si>
  <si>
    <t>丰台科技园东区三期1516-43号地块C2商业金融用地</t>
  </si>
  <si>
    <t>2014-09-18</t>
  </si>
  <si>
    <t>2014-10-21</t>
  </si>
  <si>
    <t>京土整储挂(丰)[2014]069号</t>
  </si>
  <si>
    <t>东旭光电科技股份有限公司</t>
  </si>
  <si>
    <t>丰台区科技园区东区三期1516-62、63、64、65号地其它类多功能用地</t>
  </si>
  <si>
    <t>2014-09-04</t>
  </si>
  <si>
    <t>2014-10-13</t>
  </si>
  <si>
    <t>京土整储挂(丰)[2014]064号</t>
  </si>
  <si>
    <t>北京诺城置业有限公司</t>
  </si>
  <si>
    <t>丰台区丽泽金融商务区D-12地块C3文化娱乐用地</t>
  </si>
  <si>
    <t>2014-08-01</t>
  </si>
  <si>
    <t>京土整储挂(丰)[2014]059号</t>
  </si>
  <si>
    <t>北京市天创房地产开发有限公司</t>
  </si>
  <si>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45" type="noConversion"/>
  </si>
  <si>
    <t>“海淀北部地区整体开发”范围内</t>
    <phoneticPr fontId="3" type="noConversion"/>
  </si>
  <si>
    <t>丰台区花乡四合庄</t>
    <phoneticPr fontId="3" type="noConversion"/>
  </si>
  <si>
    <t>丰台区花乡四合庄</t>
    <phoneticPr fontId="3" type="noConversion"/>
  </si>
  <si>
    <t>估价对象周边商业用地一般，周边有好邻居便利店等，商业规模较小，综合评价商业繁华度较差</t>
    <phoneticPr fontId="45" type="noConversion"/>
  </si>
  <si>
    <t>较差</t>
  </si>
  <si>
    <r>
      <rPr>
        <sz val="11"/>
        <rFont val="宋体"/>
        <family val="3"/>
        <charset val="134"/>
      </rPr>
      <t>估价对象周边有</t>
    </r>
    <r>
      <rPr>
        <sz val="11"/>
        <rFont val="Arial"/>
        <family val="2"/>
      </rPr>
      <t>543</t>
    </r>
    <r>
      <rPr>
        <sz val="11"/>
        <rFont val="宋体"/>
        <family val="3"/>
        <charset val="134"/>
      </rPr>
      <t>、</t>
    </r>
    <r>
      <rPr>
        <sz val="11"/>
        <rFont val="Arial"/>
        <family val="2"/>
      </rPr>
      <t>642</t>
    </r>
    <r>
      <rPr>
        <sz val="11"/>
        <rFont val="宋体"/>
        <family val="3"/>
        <charset val="134"/>
      </rPr>
      <t>等公交线路，公共交通通达情况一般；项目自身有停车位一般，综合评价交通便捷度一般</t>
    </r>
    <phoneticPr fontId="45" type="noConversion"/>
  </si>
  <si>
    <t>区域自然环境：齐物潭等；人文环境：国际民航管理学院；综合评价环境状况较好</t>
    <phoneticPr fontId="45" type="noConversion"/>
  </si>
  <si>
    <t>区域自然环境：五棵松公园等；人文环境：国家开发大学五棵松校区；综合评价环境状况较好</t>
    <phoneticPr fontId="3" type="noConversion"/>
  </si>
  <si>
    <t>估价对象所在区域公共配套设施齐备度较好</t>
  </si>
  <si>
    <t>估价对象所在区域公共配套设施齐备度一般</t>
    <phoneticPr fontId="45" type="noConversion"/>
  </si>
  <si>
    <t>估价对象所在区域基础设施水平七通一平</t>
  </si>
  <si>
    <r>
      <rPr>
        <sz val="11"/>
        <rFont val="宋体"/>
        <family val="3"/>
        <charset val="134"/>
      </rPr>
      <t>城市支路</t>
    </r>
    <r>
      <rPr>
        <sz val="11"/>
        <rFont val="Arial"/>
        <family val="2"/>
      </rPr>
      <t>-</t>
    </r>
    <r>
      <rPr>
        <sz val="11"/>
        <rFont val="宋体"/>
        <family val="3"/>
        <charset val="134"/>
      </rPr>
      <t>沙窝中路</t>
    </r>
    <phoneticPr fontId="45" type="noConversion"/>
  </si>
  <si>
    <t>支路</t>
  </si>
  <si>
    <r>
      <rPr>
        <sz val="11"/>
        <rFont val="宋体"/>
        <family val="3"/>
        <charset val="134"/>
      </rPr>
      <t>城市支路</t>
    </r>
    <r>
      <rPr>
        <sz val="11"/>
        <rFont val="Arial"/>
        <family val="2"/>
      </rPr>
      <t>-</t>
    </r>
    <r>
      <rPr>
        <sz val="11"/>
        <rFont val="宋体"/>
        <family val="3"/>
        <charset val="134"/>
      </rPr>
      <t>环保园十路</t>
    </r>
    <phoneticPr fontId="45" type="noConversion"/>
  </si>
  <si>
    <t>多面临街</t>
  </si>
  <si>
    <r>
      <rPr>
        <sz val="11"/>
        <rFont val="宋体"/>
        <family val="3"/>
        <charset val="134"/>
      </rPr>
      <t>城市支路</t>
    </r>
    <r>
      <rPr>
        <sz val="11"/>
        <rFont val="Arial"/>
        <family val="2"/>
      </rPr>
      <t>-</t>
    </r>
    <r>
      <rPr>
        <sz val="11"/>
        <rFont val="宋体"/>
        <family val="3"/>
        <charset val="134"/>
      </rPr>
      <t>规划五圈路</t>
    </r>
    <phoneticPr fontId="45" type="noConversion"/>
  </si>
  <si>
    <t>估价对象周边商业用地较多，周边有万达广场、世纪联华超市等，商业规模较大，综合评价商业繁华度较好</t>
    <phoneticPr fontId="45" type="noConversion"/>
  </si>
  <si>
    <r>
      <rPr>
        <sz val="11"/>
        <rFont val="宋体"/>
        <family val="3"/>
        <charset val="134"/>
      </rPr>
      <t>估价对象周边有</t>
    </r>
    <r>
      <rPr>
        <sz val="11"/>
        <rFont val="Arial"/>
        <family val="2"/>
      </rPr>
      <t>627</t>
    </r>
    <r>
      <rPr>
        <sz val="11"/>
        <rFont val="宋体"/>
        <family val="3"/>
        <charset val="134"/>
      </rPr>
      <t>、</t>
    </r>
    <r>
      <rPr>
        <sz val="11"/>
        <rFont val="Arial"/>
        <family val="2"/>
      </rPr>
      <t>845</t>
    </r>
    <r>
      <rPr>
        <sz val="11"/>
        <rFont val="宋体"/>
        <family val="3"/>
        <charset val="134"/>
      </rPr>
      <t>等公交线路及地铁</t>
    </r>
    <r>
      <rPr>
        <sz val="11"/>
        <rFont val="Arial"/>
        <family val="2"/>
      </rPr>
      <t>9</t>
    </r>
    <r>
      <rPr>
        <sz val="11"/>
        <rFont val="宋体"/>
        <family val="3"/>
        <charset val="134"/>
      </rPr>
      <t>号线，公共交通通达情况较好；项目自身有停车位、停车便捷程度较好，综合评价交通便捷度较好</t>
    </r>
    <phoneticPr fontId="45" type="noConversion"/>
  </si>
  <si>
    <t>区域自然环境：科丰公园等；人文环境：怡海社区大学；综合评价环境状况较好</t>
    <phoneticPr fontId="45" type="noConversion"/>
  </si>
  <si>
    <t>高速</t>
    <phoneticPr fontId="3" type="noConversion"/>
  </si>
  <si>
    <t>快速</t>
    <phoneticPr fontId="3" type="noConversion"/>
  </si>
  <si>
    <t>主</t>
    <phoneticPr fontId="3" type="noConversion"/>
  </si>
  <si>
    <t>次</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</si>
  <si>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</si>
  <si>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</si>
  <si>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</si>
  <si>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</si>
  <si>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</si>
  <si>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</si>
  <si>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</si>
  <si>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</si>
  <si>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</si>
  <si>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</si>
  <si>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</si>
  <si>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</si>
  <si>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</si>
  <si>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</si>
  <si>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</si>
  <si>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</si>
  <si>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</si>
  <si>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</si>
  <si>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</si>
  <si>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规则</t>
  </si>
  <si>
    <t>比例较适宜</t>
  </si>
  <si>
    <t>七通一平</t>
  </si>
  <si>
    <t>五通一平</t>
  </si>
  <si>
    <t>住宿餐饮用地</t>
  </si>
  <si>
    <t>不临58条商业街</t>
  </si>
  <si>
    <t>有</t>
  </si>
  <si>
    <t>500-1000米</t>
  </si>
  <si>
    <t>容积率修正</t>
  </si>
  <si>
    <t>好</t>
  </si>
  <si>
    <t>地上</t>
  </si>
  <si>
    <t>酒店</t>
  </si>
  <si>
    <t>15号楼</t>
    <phoneticPr fontId="3" type="noConversion"/>
  </si>
  <si>
    <t>是</t>
  </si>
  <si>
    <t>01</t>
    <phoneticPr fontId="3" type="noConversion"/>
  </si>
  <si>
    <t>地上酒店</t>
    <phoneticPr fontId="7" type="noConversion"/>
  </si>
  <si>
    <t>法定最高/出让年限</t>
  </si>
  <si>
    <t>终止日期</t>
  </si>
  <si>
    <t>剩余土地使用年限</t>
  </si>
  <si>
    <t>年期修正系数</t>
  </si>
  <si>
    <t>报酬率-土地</t>
  </si>
  <si>
    <t>收益法</t>
  </si>
  <si>
    <t>地上酒店</t>
  </si>
  <si>
    <t>钢混</t>
  </si>
  <si>
    <t>六通一平</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</si>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</sst>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indexed="8"/>
      <name val="Arial"/>
      <family val="2"/>
      <charset val="134"/>
    </font>
    <font>
      <sz val="11"/>
      <name val="Arial"/>
      <family val="2"/>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2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49" fontId="134" fillId="0" borderId="10"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0" fillId="5" borderId="0" xfId="0" applyFill="1" applyAlignment="1"/>
    <xf numFmtId="49" fontId="129" fillId="0" borderId="35"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61" fillId="6" borderId="26" xfId="0" applyFont="1" applyFill="1" applyBorder="1" applyAlignment="1"/>
    <xf numFmtId="184" fontId="257" fillId="0" borderId="67" xfId="0" applyNumberFormat="1" applyFont="1" applyFill="1" applyBorder="1" applyAlignment="1" applyProtection="1">
      <alignment horizontal="center" vertical="center"/>
      <protection locked="0"/>
    </xf>
    <xf numFmtId="0" fontId="161" fillId="0" borderId="0" xfId="0" applyFont="1" applyAlignment="1"/>
    <xf numFmtId="180" fontId="220" fillId="6" borderId="6" xfId="1" applyNumberFormat="1"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179" fontId="112" fillId="6" borderId="9" xfId="0" applyNumberFormat="1"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177" fontId="257" fillId="5" borderId="23" xfId="1" applyNumberFormat="1" applyFont="1" applyFill="1" applyBorder="1" applyAlignment="1" applyProtection="1">
      <alignment horizontal="center" vertical="center"/>
      <protection locked="0"/>
    </xf>
    <xf numFmtId="184" fontId="257" fillId="0" borderId="1" xfId="0"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37" fillId="0" borderId="24" xfId="0" applyNumberFormat="1" applyFont="1" applyFill="1" applyBorder="1" applyAlignment="1" applyProtection="1">
      <alignment horizontal="center" vertical="center"/>
      <protection locked="0"/>
    </xf>
    <xf numFmtId="177" fontId="257" fillId="5" borderId="25" xfId="1" applyNumberFormat="1" applyFont="1" applyFill="1" applyBorder="1" applyAlignment="1" applyProtection="1">
      <alignment horizontal="center" vertical="center"/>
      <protection locked="0"/>
    </xf>
    <xf numFmtId="184" fontId="257" fillId="0" borderId="32" xfId="0"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37" fillId="0" borderId="49" xfId="0" applyNumberFormat="1" applyFont="1" applyFill="1" applyBorder="1" applyAlignment="1" applyProtection="1">
      <alignment horizontal="center" vertical="center"/>
      <protection locked="0"/>
    </xf>
    <xf numFmtId="179" fontId="68" fillId="0" borderId="23" xfId="0" applyNumberFormat="1" applyFont="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5</xdr:col>
      <xdr:colOff>561476</xdr:colOff>
      <xdr:row>47</xdr:row>
      <xdr:rowOff>142493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0"/>
          <a:ext cx="3990476" cy="3057143"/>
        </a:xfrm>
        <a:prstGeom prst="rect">
          <a:avLst/>
        </a:prstGeom>
      </xdr:spPr>
    </xdr:pic>
    <xdr:clientData/>
  </xdr:twoCellAnchor>
  <xdr:twoCellAnchor editAs="oneCell">
    <xdr:from>
      <xdr:col>6</xdr:col>
      <xdr:colOff>0</xdr:colOff>
      <xdr:row>30</xdr:row>
      <xdr:rowOff>0</xdr:rowOff>
    </xdr:from>
    <xdr:to>
      <xdr:col>11</xdr:col>
      <xdr:colOff>399482</xdr:colOff>
      <xdr:row>44</xdr:row>
      <xdr:rowOff>142557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5143500"/>
          <a:ext cx="4542857" cy="2542857"/>
        </a:xfrm>
        <a:prstGeom prst="rect">
          <a:avLst/>
        </a:prstGeom>
      </xdr:spPr>
    </xdr:pic>
    <xdr:clientData/>
  </xdr:twoCellAnchor>
  <xdr:twoCellAnchor editAs="oneCell">
    <xdr:from>
      <xdr:col>13</xdr:col>
      <xdr:colOff>0</xdr:colOff>
      <xdr:row>30</xdr:row>
      <xdr:rowOff>0</xdr:rowOff>
    </xdr:from>
    <xdr:to>
      <xdr:col>19</xdr:col>
      <xdr:colOff>466153</xdr:colOff>
      <xdr:row>43</xdr:row>
      <xdr:rowOff>114007</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5143500"/>
          <a:ext cx="4580953" cy="2342857"/>
        </a:xfrm>
        <a:prstGeom prst="rect">
          <a:avLst/>
        </a:prstGeom>
      </xdr:spPr>
    </xdr:pic>
    <xdr:clientData/>
  </xdr:twoCellAnchor>
  <xdr:twoCellAnchor editAs="oneCell">
    <xdr:from>
      <xdr:col>0</xdr:col>
      <xdr:colOff>0</xdr:colOff>
      <xdr:row>49</xdr:row>
      <xdr:rowOff>0</xdr:rowOff>
    </xdr:from>
    <xdr:to>
      <xdr:col>6</xdr:col>
      <xdr:colOff>580438</xdr:colOff>
      <xdr:row>82</xdr:row>
      <xdr:rowOff>27814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4695238" cy="6095239"/>
        </a:xfrm>
        <a:prstGeom prst="rect">
          <a:avLst/>
        </a:prstGeom>
      </xdr:spPr>
    </xdr:pic>
    <xdr:clientData/>
  </xdr:twoCellAnchor>
  <xdr:twoCellAnchor editAs="oneCell">
    <xdr:from>
      <xdr:col>10</xdr:col>
      <xdr:colOff>695325</xdr:colOff>
      <xdr:row>49</xdr:row>
      <xdr:rowOff>0</xdr:rowOff>
    </xdr:from>
    <xdr:to>
      <xdr:col>23</xdr:col>
      <xdr:colOff>122564</xdr:colOff>
      <xdr:row>68</xdr:row>
      <xdr:rowOff>23552</xdr:rowOff>
    </xdr:to>
    <xdr:pic>
      <xdr:nvPicPr>
        <xdr:cNvPr id="6" name="图片 5"/>
        <xdr:cNvPicPr>
          <a:picLocks noChangeAspect="1"/>
        </xdr:cNvPicPr>
      </xdr:nvPicPr>
      <xdr:blipFill>
        <a:blip xmlns:r="http://schemas.openxmlformats.org/officeDocument/2006/relationships" r:embed="rId5"/>
        <a:stretch>
          <a:fillRect/>
        </a:stretch>
      </xdr:blipFill>
      <xdr:spPr>
        <a:xfrm>
          <a:off x="7553325" y="8401050"/>
          <a:ext cx="9399914" cy="32811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9" customWidth="1"/>
    <col min="2" max="2" width="81" style="3076" customWidth="1"/>
    <col min="3" max="16384" width="9" style="3074"/>
  </cols>
  <sheetData>
    <row r="1" spans="1:2" s="3062" customFormat="1" ht="16.5" thickBot="1">
      <c r="A1" s="3061" t="s">
        <v>2804</v>
      </c>
      <c r="B1" s="3060" t="s">
        <v>2894</v>
      </c>
    </row>
    <row r="2" spans="1:2" s="3065" customFormat="1" ht="15" thickTop="1">
      <c r="A2" s="3063" t="s">
        <v>2805</v>
      </c>
      <c r="B2" s="3064" t="str">
        <f>'预评函-封皮'!B37:I37</f>
        <v>房地产抵押价值预评估</v>
      </c>
    </row>
    <row r="3" spans="1:2" s="3068" customFormat="1">
      <c r="A3" s="3066" t="s">
        <v>2806</v>
      </c>
      <c r="B3" s="3067">
        <f>'预评函-封皮'!B40</f>
        <v>0</v>
      </c>
    </row>
    <row r="4" spans="1:2" s="3068" customFormat="1">
      <c r="A4" s="3066" t="s">
        <v>2807</v>
      </c>
      <c r="B4" s="3067" t="str">
        <f>'预评函-封皮'!B46</f>
        <v>（注册号：0)、（注册号：0)</v>
      </c>
    </row>
    <row r="5" spans="1:2" s="3062" customFormat="1" ht="15" thickBot="1">
      <c r="A5" s="3069" t="s">
        <v>2808</v>
      </c>
      <c r="B5" s="3070" t="str">
        <f>'预评函-封皮'!B49</f>
        <v>康正预评字号</v>
      </c>
    </row>
    <row r="6" spans="1:2" s="3065" customFormat="1" ht="15" thickTop="1">
      <c r="A6" s="3063" t="s">
        <v>2809</v>
      </c>
      <c r="B6" s="3064" t="str">
        <f>'预评函-1'!A4</f>
        <v>受贵公司委托，我公司对房地产抵押价值进行了预评估。</v>
      </c>
    </row>
    <row r="7" spans="1:2" s="3068" customFormat="1">
      <c r="A7" s="3066" t="s">
        <v>2849</v>
      </c>
      <c r="B7" s="3067" t="str">
        <f>'预评函-1'!A7</f>
        <v>估价对象为房地产，为所有。根据《国有土地使用证》[]，估价对象（分摊）出让国有建设用地使用权面积为1927.24平方米，建筑面积为7148.09平方米。</v>
      </c>
    </row>
    <row r="8" spans="1:2" s="3068" customFormat="1">
      <c r="A8" s="3066" t="s">
        <v>2850</v>
      </c>
      <c r="B8" s="3067" t="str">
        <f>'预评函-1'!A8</f>
        <v>估价对象简述。项目推广名，项目类型（用途），估价对象分布，各用途面积明细情况：XX用途建筑面积XX平方米，XX用途建筑面积XX平方米，……。复杂面积清单需设‘附表’列示：抵押物清单详见附表</v>
      </c>
    </row>
    <row r="9" spans="1:2" s="3068" customFormat="1">
      <c r="A9" s="3066" t="s">
        <v>2851</v>
      </c>
      <c r="B9" s="3067" t="str">
        <f>'预评函-1'!A10</f>
        <v>估价对象为房地产,属开发建设的，该项目尚在开发建设中。根据《国有土地使用证》[]，估价对象（分摊）出让国有建设用地使用权面积为1927.24平方米，规划建筑面积为7148.09平方米。</v>
      </c>
    </row>
    <row r="10" spans="1:2" s="3068" customFormat="1">
      <c r="A10" s="3066" t="s">
        <v>2852</v>
      </c>
      <c r="B10" s="30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8" customFormat="1">
      <c r="A11" s="3066" t="s">
        <v>2810</v>
      </c>
      <c r="B11" s="3067" t="str">
        <f>'预评函-1'!A13</f>
        <v>为估价委托人在向工行新街口支行办理贷款手续过程中，确定房地产抵押贷款额度提供参考依据而评估房地产抵押价值。</v>
      </c>
    </row>
    <row r="12" spans="1:2" s="3068" customFormat="1">
      <c r="A12" s="3066" t="s">
        <v>2811</v>
      </c>
      <c r="B12" s="3067" t="str">
        <f>'预评函-1'!A15</f>
        <v>2017年7月12日（评估专业人员实地查勘之日）</v>
      </c>
    </row>
    <row r="13" spans="1:2" s="3068" customFormat="1">
      <c r="A13" s="3066" t="s">
        <v>2812</v>
      </c>
      <c r="B13" s="3067" t="str">
        <f>'预评函-1'!A18</f>
        <v>本次估价的“房地产价值”是指在正常市场情况下，在价值时点2017年7月12日，估价对象规划用途为，土地取得方式为出让，出让国有建设用地使用权剩余土地使用年限为，假定未设立法定优先受偿款下的房地产市场价值。</v>
      </c>
    </row>
    <row r="14" spans="1:2" s="3068" customFormat="1">
      <c r="A14" s="3066" t="s">
        <v>2813</v>
      </c>
      <c r="B14" s="306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8" customFormat="1">
      <c r="A15" s="3066" t="s">
        <v>2814</v>
      </c>
      <c r="B15" s="3067" t="str">
        <f>'预评函-1'!A20</f>
        <v>本次估价的“房地产抵押价值”是指估价对象在价值时点的“房地产价值”扣减估价师于价值时点所知悉的法定优先受偿款后的余额。</v>
      </c>
    </row>
    <row r="16" spans="1:2" s="3068" customFormat="1">
      <c r="A16" s="3066" t="s">
        <v>2815</v>
      </c>
      <c r="B16" s="30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8" customFormat="1">
      <c r="A17" s="3066" t="s">
        <v>2816</v>
      </c>
      <c r="B17" s="3067" t="str">
        <f>'预评函-1'!A22</f>
        <v/>
      </c>
    </row>
    <row r="18" spans="1:2" s="3062" customFormat="1" ht="15" thickBot="1">
      <c r="A18" s="3069" t="s">
        <v>2817</v>
      </c>
      <c r="B18" s="3070" t="str">
        <f>'预评函-1'!A24</f>
        <v>本次评估采用的主估价方法为成本法和收益法。</v>
      </c>
    </row>
    <row r="19" spans="1:2" s="3065" customFormat="1" ht="15" thickTop="1">
      <c r="A19" s="3063" t="s">
        <v>2818</v>
      </c>
      <c r="B19" s="3064"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8" customFormat="1">
      <c r="A20" s="3066" t="s">
        <v>2819</v>
      </c>
      <c r="B20" s="3067">
        <f ca="1">'预评函-2'!D5</f>
        <v>17005</v>
      </c>
    </row>
    <row r="21" spans="1:2" s="3068" customFormat="1">
      <c r="A21" s="3066" t="s">
        <v>2820</v>
      </c>
      <c r="B21" s="3067">
        <f ca="1">'预评函-2'!D7</f>
        <v>23790</v>
      </c>
    </row>
    <row r="22" spans="1:2" s="3068" customFormat="1">
      <c r="A22" s="3066" t="s">
        <v>2821</v>
      </c>
      <c r="B22" s="3067" t="str">
        <f ca="1">'预评函-2'!D6</f>
        <v>壹亿柒仟零伍万元整</v>
      </c>
    </row>
    <row r="23" spans="1:2" s="3068" customFormat="1">
      <c r="A23" s="3066" t="s">
        <v>2882</v>
      </c>
      <c r="B23" s="3067" t="str">
        <f>'预评函-2'!B8</f>
        <v>2.估价师知悉的法定优先受偿款</v>
      </c>
    </row>
    <row r="24" spans="1:2" s="3068" customFormat="1">
      <c r="A24" s="3066" t="s">
        <v>2888</v>
      </c>
      <c r="B24" s="3067">
        <f>'预评函-2'!D8</f>
        <v>0</v>
      </c>
    </row>
    <row r="25" spans="1:2" s="3068" customFormat="1">
      <c r="A25" s="3066" t="s">
        <v>2822</v>
      </c>
      <c r="B25" s="3067" t="str">
        <f>'预评函-2'!D9</f>
        <v>零元整</v>
      </c>
    </row>
    <row r="26" spans="1:2" s="3068" customFormat="1">
      <c r="A26" s="3066" t="s">
        <v>2823</v>
      </c>
      <c r="B26" s="3067">
        <f>'预评函-2'!D10</f>
        <v>0</v>
      </c>
    </row>
    <row r="27" spans="1:2" s="3068" customFormat="1">
      <c r="A27" s="3066" t="s">
        <v>2824</v>
      </c>
      <c r="B27" s="3067">
        <f>'预评函-2'!D11</f>
        <v>0</v>
      </c>
    </row>
    <row r="28" spans="1:2" s="3068" customFormat="1">
      <c r="A28" s="3066" t="s">
        <v>2825</v>
      </c>
      <c r="B28" s="3067">
        <f>'预评函-2'!D12</f>
        <v>0</v>
      </c>
    </row>
    <row r="29" spans="1:2" s="3068" customFormat="1">
      <c r="A29" s="3066" t="s">
        <v>2886</v>
      </c>
      <c r="B29" s="3067" t="str">
        <f>'预评函-2'!B13</f>
        <v>3.房地产抵押价值</v>
      </c>
    </row>
    <row r="30" spans="1:2" s="3068" customFormat="1">
      <c r="A30" s="3066" t="s">
        <v>2887</v>
      </c>
      <c r="B30" s="3067">
        <f ca="1">'预评函-2'!D13</f>
        <v>17005</v>
      </c>
    </row>
    <row r="31" spans="1:2" s="3068" customFormat="1">
      <c r="A31" s="3066" t="s">
        <v>2860</v>
      </c>
      <c r="B31" s="3067">
        <f ca="1">'预评函-2'!D15</f>
        <v>23790</v>
      </c>
    </row>
    <row r="32" spans="1:2" s="3068" customFormat="1">
      <c r="A32" s="3066" t="s">
        <v>2826</v>
      </c>
      <c r="B32" s="3067" t="str">
        <f ca="1">'预评函-2'!D14</f>
        <v>壹亿柒仟零伍万元整</v>
      </c>
    </row>
    <row r="33" spans="1:2" s="3068" customFormat="1">
      <c r="A33" s="3066" t="s">
        <v>2862</v>
      </c>
      <c r="B33" s="3067" t="str">
        <f>'预评函-2'!B16</f>
        <v>——</v>
      </c>
    </row>
    <row r="34" spans="1:2" s="3068" customFormat="1">
      <c r="A34" s="3066" t="s">
        <v>2889</v>
      </c>
      <c r="B34" s="3067" t="str">
        <f>'预评函-2'!D16</f>
        <v>——</v>
      </c>
    </row>
    <row r="35" spans="1:2" s="3068" customFormat="1">
      <c r="A35" s="3066" t="s">
        <v>2861</v>
      </c>
      <c r="B35" s="3067" t="str">
        <f>'预评函-2'!D18</f>
        <v>——</v>
      </c>
    </row>
    <row r="36" spans="1:2" s="3068" customFormat="1">
      <c r="A36" s="3066" t="s">
        <v>2827</v>
      </c>
      <c r="B36" s="3067" t="e">
        <f>'预评函-2'!D17</f>
        <v>#VALUE!</v>
      </c>
    </row>
    <row r="37" spans="1:2" s="3068" customFormat="1">
      <c r="A37" s="3066" t="s">
        <v>2863</v>
      </c>
      <c r="B37" s="3067" t="str">
        <f>'预评函-2'!B19</f>
        <v>——</v>
      </c>
    </row>
    <row r="38" spans="1:2" s="3068" customFormat="1">
      <c r="A38" s="3066" t="s">
        <v>2890</v>
      </c>
      <c r="B38" s="3067" t="str">
        <f>'预评函-2'!D19</f>
        <v>——</v>
      </c>
    </row>
    <row r="39" spans="1:2" s="3068" customFormat="1">
      <c r="A39" s="3066" t="s">
        <v>2828</v>
      </c>
      <c r="B39" s="3067" t="str">
        <f>'预评函-2'!D21</f>
        <v>——</v>
      </c>
    </row>
    <row r="40" spans="1:2" s="3068" customFormat="1">
      <c r="A40" s="3066" t="s">
        <v>2829</v>
      </c>
      <c r="B40" s="3067" t="e">
        <f>'预评函-2'!D20</f>
        <v>#VALUE!</v>
      </c>
    </row>
    <row r="41" spans="1:2" s="3068" customFormat="1">
      <c r="A41" s="3066" t="s">
        <v>2885</v>
      </c>
      <c r="B41" s="3067" t="str">
        <f>'预评函-3'!A4</f>
        <v>房地产</v>
      </c>
    </row>
    <row r="42" spans="1:2" s="3068" customFormat="1">
      <c r="A42" s="3066" t="s">
        <v>2883</v>
      </c>
      <c r="B42" s="3067" t="str">
        <f>'预评函-3'!B2</f>
        <v>建筑面积</v>
      </c>
    </row>
    <row r="43" spans="1:2" s="3068" customFormat="1">
      <c r="A43" s="3066" t="s">
        <v>2884</v>
      </c>
      <c r="B43" s="3067">
        <f>'预评函-3'!B4</f>
        <v>7148.0899999999992</v>
      </c>
    </row>
    <row r="44" spans="1:2" s="3068" customFormat="1">
      <c r="A44" s="3066" t="s">
        <v>2859</v>
      </c>
      <c r="B44" s="3067" t="str">
        <f>'预评函-3'!C2</f>
        <v>(分摊)土地面积</v>
      </c>
    </row>
    <row r="45" spans="1:2" s="3068" customFormat="1">
      <c r="A45" s="3066" t="s">
        <v>2830</v>
      </c>
      <c r="B45" s="3067">
        <f>'预评函-3'!C4</f>
        <v>1927.24</v>
      </c>
    </row>
    <row r="46" spans="1:2" s="3068" customFormat="1">
      <c r="A46" s="3066" t="s">
        <v>2857</v>
      </c>
      <c r="B46" s="3067" t="str">
        <f>'预评函-3'!D2</f>
        <v>出让国有建设用地使用权价值</v>
      </c>
    </row>
    <row r="47" spans="1:2" s="3068" customFormat="1">
      <c r="A47" s="3066" t="s">
        <v>2831</v>
      </c>
      <c r="B47" s="3067" t="e">
        <f ca="1">'预评函-3'!D4</f>
        <v>#REF!</v>
      </c>
    </row>
    <row r="48" spans="1:2" s="3068" customFormat="1">
      <c r="A48" s="3066" t="s">
        <v>2832</v>
      </c>
      <c r="B48" s="3067" t="e">
        <f ca="1">'预评函-3'!E4</f>
        <v>#REF!</v>
      </c>
    </row>
    <row r="49" spans="1:2" s="3068" customFormat="1">
      <c r="A49" s="3066" t="s">
        <v>2833</v>
      </c>
      <c r="B49" s="3067" t="e">
        <f ca="1">'预评函-3'!D5</f>
        <v>#REF!</v>
      </c>
    </row>
    <row r="50" spans="1:2" s="3068" customFormat="1">
      <c r="A50" s="3066" t="s">
        <v>2858</v>
      </c>
      <c r="B50" s="3067" t="str">
        <f>'预评函-3'!F2</f>
        <v>在建建筑物价值</v>
      </c>
    </row>
    <row r="51" spans="1:2" s="3068" customFormat="1">
      <c r="A51" s="3066" t="s">
        <v>2834</v>
      </c>
      <c r="B51" s="3067" t="e">
        <f ca="1">'预评函-3'!F4</f>
        <v>#REF!</v>
      </c>
    </row>
    <row r="52" spans="1:2" s="3068" customFormat="1">
      <c r="A52" s="3066" t="s">
        <v>2835</v>
      </c>
      <c r="B52" s="3067" t="e">
        <f ca="1">'预评函-3'!G4</f>
        <v>#REF!</v>
      </c>
    </row>
    <row r="53" spans="1:2" s="3068" customFormat="1">
      <c r="A53" s="3066" t="s">
        <v>2864</v>
      </c>
      <c r="B53" s="3067" t="e">
        <f ca="1">'预评函-3'!F5</f>
        <v>#REF!</v>
      </c>
    </row>
    <row r="54" spans="1:2" s="3068" customFormat="1">
      <c r="A54" s="3066" t="s">
        <v>2892</v>
      </c>
      <c r="B54" s="3067" t="str">
        <f>'预评函-3'!A8</f>
        <v>房地产抵押价值</v>
      </c>
    </row>
    <row r="55" spans="1:2" s="3068" customFormat="1">
      <c r="A55" s="3066" t="s">
        <v>2865</v>
      </c>
      <c r="B55" s="3067" t="str">
        <f>'预评函-3'!A10</f>
        <v/>
      </c>
    </row>
    <row r="56" spans="1:2" s="3068" customFormat="1">
      <c r="A56" s="3066" t="s">
        <v>2866</v>
      </c>
      <c r="B56" s="3067" t="str">
        <f>'预评函-3'!A12</f>
        <v/>
      </c>
    </row>
    <row r="57" spans="1:2" s="3062" customFormat="1" ht="15" thickBot="1">
      <c r="A57" s="3069" t="s">
        <v>2893</v>
      </c>
      <c r="B57" s="3070" t="str">
        <f>'预评函-3'!A6</f>
        <v>估价师知悉的法定优先受偿款</v>
      </c>
    </row>
    <row r="58" spans="1:2" s="3065" customFormat="1" ht="15" thickTop="1">
      <c r="A58" s="3063" t="s">
        <v>2836</v>
      </c>
      <c r="B58" s="3064" t="str">
        <f>'预评函-4'!A12</f>
        <v>2.本《评估意见函》仅供金融机构进行内部审核使用，不做其他目的之用。</v>
      </c>
    </row>
    <row r="59" spans="1:2" s="3068" customFormat="1">
      <c r="A59" s="3066" t="s">
        <v>2837</v>
      </c>
      <c r="B59" s="3067" t="str">
        <f>'预评函-4'!A13</f>
        <v>3.抵押双方在办理抵押登记手续时，应使用本公司出具的正式《房地产评估报告》，特提醒报告使用者注意。</v>
      </c>
    </row>
    <row r="60" spans="1:2" s="3068" customFormat="1">
      <c r="A60" s="3066" t="s">
        <v>2838</v>
      </c>
      <c r="B60" s="3067" t="str">
        <f>'预评函-4'!A14</f>
        <v>4.本次评估估价师所知悉的法定优先受偿款情况说明如下：</v>
      </c>
    </row>
    <row r="61" spans="1:2" s="3068" customFormat="1">
      <c r="A61" s="3066" t="s">
        <v>2839</v>
      </c>
      <c r="B61" s="3067"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8" customFormat="1">
      <c r="A62" s="3066" t="s">
        <v>2840</v>
      </c>
      <c r="B62" s="3067" t="str">
        <f>'预评函-4'!A16</f>
        <v>（2）根据《工程款支付情况说明》，截至价值时点，估价对象不存在应付未付工程款项。（只要没有施工方盖章的，均“设定”进行表述）</v>
      </c>
    </row>
    <row r="63" spans="1:2" s="3068" customFormat="1">
      <c r="A63" s="3066" t="s">
        <v>2841</v>
      </c>
      <c r="B63" s="30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8" customFormat="1">
      <c r="A64" s="3066" t="s">
        <v>2853</v>
      </c>
      <c r="B64" s="3067" t="str">
        <f>'预评函-4'!A18</f>
        <v>故，本次评估不存在估价师知悉的法定优先受偿款</v>
      </c>
    </row>
    <row r="65" spans="1:2" s="3068" customFormat="1">
      <c r="A65" s="3066" t="s">
        <v>2842</v>
      </c>
      <c r="B65" s="30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8" customFormat="1">
      <c r="A66" s="3066" t="s">
        <v>2843</v>
      </c>
      <c r="B66" s="30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8" customFormat="1">
      <c r="A67" s="3066" t="s">
        <v>2854</v>
      </c>
      <c r="B67" s="30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8" customFormat="1">
      <c r="A68" s="3066" t="s">
        <v>2855</v>
      </c>
      <c r="B68" s="3067" t="str">
        <f>'预评函-4'!A22</f>
        <v>8.其他需特殊说明事项：无（注意调整序号）</v>
      </c>
    </row>
    <row r="69" spans="1:2" s="3062" customFormat="1" ht="15" thickBot="1">
      <c r="A69" s="3069" t="s">
        <v>2844</v>
      </c>
      <c r="B69" s="3071">
        <f>'预评函-4'!C31</f>
        <v>42551</v>
      </c>
    </row>
    <row r="70" spans="1:2" ht="15" thickTop="1">
      <c r="A70" s="3072" t="s">
        <v>2845</v>
      </c>
      <c r="B70" s="3073">
        <f>'预评函-4'!A4</f>
        <v>0</v>
      </c>
    </row>
    <row r="71" spans="1:2">
      <c r="A71" s="3066" t="s">
        <v>2846</v>
      </c>
      <c r="B71" s="3067">
        <f>'预评函-4'!B4</f>
        <v>0</v>
      </c>
    </row>
    <row r="72" spans="1:2">
      <c r="A72" s="3066" t="s">
        <v>2847</v>
      </c>
      <c r="B72" s="3075">
        <f>'预评函-4'!A5</f>
        <v>0</v>
      </c>
    </row>
    <row r="73" spans="1:2" s="3062" customFormat="1" ht="15" thickBot="1">
      <c r="A73" s="3069" t="s">
        <v>2848</v>
      </c>
      <c r="B73" s="3070">
        <f>'预评函-4'!B5</f>
        <v>0</v>
      </c>
    </row>
    <row r="74" spans="1:2" ht="15" thickTop="1">
      <c r="A74" s="3059" t="s">
        <v>2910</v>
      </c>
      <c r="B74" s="3076"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534</v>
      </c>
      <c r="B1" s="289" t="s">
        <v>257</v>
      </c>
      <c r="C1" s="1769" t="s">
        <v>1878</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1850</v>
      </c>
      <c r="Q1" s="11" t="s">
        <v>2648</v>
      </c>
      <c r="R1" s="1486" t="s">
        <v>2638</v>
      </c>
      <c r="S1" s="290" t="s">
        <v>270</v>
      </c>
      <c r="T1" s="291" t="s">
        <v>271</v>
      </c>
      <c r="U1" s="290" t="s">
        <v>272</v>
      </c>
      <c r="V1" s="290" t="s">
        <v>273</v>
      </c>
      <c r="W1" s="1486" t="s">
        <v>1853</v>
      </c>
    </row>
    <row r="2" spans="1:23">
      <c r="A2" s="2802" t="s">
        <v>114</v>
      </c>
      <c r="B2" s="2802" t="s">
        <v>581</v>
      </c>
      <c r="C2" s="1770" t="s">
        <v>1879</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2642</v>
      </c>
      <c r="S2" s="292" t="s">
        <v>232</v>
      </c>
      <c r="T2" s="292" t="s">
        <v>233</v>
      </c>
      <c r="U2" s="292" t="s">
        <v>232</v>
      </c>
      <c r="V2" s="292" t="s">
        <v>234</v>
      </c>
      <c r="W2" s="292" t="s">
        <v>232</v>
      </c>
    </row>
    <row r="3" spans="1:23">
      <c r="A3" s="2802" t="s">
        <v>580</v>
      </c>
      <c r="B3" s="2803" t="s">
        <v>2684</v>
      </c>
      <c r="C3" s="1771" t="s">
        <v>1880</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2640</v>
      </c>
      <c r="S3" s="292" t="s">
        <v>240</v>
      </c>
      <c r="T3" s="292" t="s">
        <v>241</v>
      </c>
      <c r="U3" s="292" t="s">
        <v>240</v>
      </c>
      <c r="V3" s="292" t="s">
        <v>242</v>
      </c>
      <c r="W3" s="292" t="s">
        <v>240</v>
      </c>
    </row>
    <row r="4" spans="1:23">
      <c r="A4" s="2802" t="s">
        <v>582</v>
      </c>
      <c r="B4" s="2802" t="s">
        <v>583</v>
      </c>
      <c r="C4" s="1770" t="s">
        <v>1881</v>
      </c>
      <c r="D4" s="292" t="s">
        <v>2051</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2643</v>
      </c>
      <c r="S4" s="292" t="s">
        <v>243</v>
      </c>
      <c r="T4" s="292" t="s">
        <v>244</v>
      </c>
      <c r="U4" s="292" t="s">
        <v>243</v>
      </c>
      <c r="W4" s="292" t="s">
        <v>243</v>
      </c>
    </row>
    <row r="5" spans="1:23">
      <c r="A5" s="2802" t="s">
        <v>584</v>
      </c>
      <c r="B5" s="2802" t="s">
        <v>585</v>
      </c>
      <c r="C5" s="1770" t="s">
        <v>1882</v>
      </c>
      <c r="F5" s="292" t="s">
        <v>245</v>
      </c>
      <c r="H5" s="292" t="s">
        <v>246</v>
      </c>
      <c r="I5" s="292" t="s">
        <v>247</v>
      </c>
      <c r="K5" s="292" t="s">
        <v>248</v>
      </c>
      <c r="L5" s="292" t="s">
        <v>248</v>
      </c>
      <c r="M5" s="292" t="s">
        <v>248</v>
      </c>
      <c r="N5" s="292" t="s">
        <v>248</v>
      </c>
      <c r="O5" s="292" t="s">
        <v>248</v>
      </c>
      <c r="P5" s="292" t="s">
        <v>248</v>
      </c>
      <c r="Q5" s="292" t="s">
        <v>248</v>
      </c>
      <c r="R5" s="2765" t="s">
        <v>2644</v>
      </c>
      <c r="S5" s="292" t="s">
        <v>248</v>
      </c>
      <c r="T5" s="292" t="s">
        <v>249</v>
      </c>
      <c r="U5" s="292" t="s">
        <v>248</v>
      </c>
      <c r="W5" s="292" t="s">
        <v>248</v>
      </c>
    </row>
    <row r="6" spans="1:23">
      <c r="A6" s="2802" t="s">
        <v>586</v>
      </c>
      <c r="B6" s="2803" t="s">
        <v>2685</v>
      </c>
      <c r="C6" s="1772" t="s">
        <v>163</v>
      </c>
      <c r="F6" s="292" t="s">
        <v>250</v>
      </c>
      <c r="H6" s="292" t="s">
        <v>251</v>
      </c>
      <c r="I6" s="292" t="s">
        <v>252</v>
      </c>
      <c r="K6" s="292" t="s">
        <v>253</v>
      </c>
      <c r="L6" s="292" t="s">
        <v>253</v>
      </c>
      <c r="M6" s="292" t="s">
        <v>253</v>
      </c>
      <c r="N6" s="292" t="s">
        <v>253</v>
      </c>
      <c r="O6" s="292" t="s">
        <v>253</v>
      </c>
      <c r="P6" s="292" t="s">
        <v>253</v>
      </c>
      <c r="Q6" s="292" t="s">
        <v>253</v>
      </c>
      <c r="R6" s="2765" t="s">
        <v>2645</v>
      </c>
      <c r="S6" s="292" t="s">
        <v>253</v>
      </c>
      <c r="T6" s="292"/>
      <c r="U6" s="292" t="s">
        <v>253</v>
      </c>
      <c r="W6" s="292" t="s">
        <v>253</v>
      </c>
    </row>
    <row r="7" spans="1:23">
      <c r="A7" s="2802" t="s">
        <v>588</v>
      </c>
      <c r="B7" s="2803" t="s">
        <v>2686</v>
      </c>
      <c r="C7" s="1770" t="s">
        <v>164</v>
      </c>
      <c r="F7" s="292" t="s">
        <v>254</v>
      </c>
      <c r="H7" s="292" t="s">
        <v>255</v>
      </c>
      <c r="I7" s="292" t="s">
        <v>256</v>
      </c>
    </row>
    <row r="8" spans="1:23">
      <c r="A8" s="2802" t="s">
        <v>590</v>
      </c>
      <c r="B8" s="2802" t="s">
        <v>587</v>
      </c>
      <c r="C8" s="1770" t="s">
        <v>1883</v>
      </c>
      <c r="F8" s="292" t="s">
        <v>283</v>
      </c>
      <c r="H8" s="292"/>
      <c r="I8" s="292" t="s">
        <v>284</v>
      </c>
    </row>
    <row r="9" spans="1:23">
      <c r="A9" s="2802" t="s">
        <v>592</v>
      </c>
      <c r="B9" s="2802" t="s">
        <v>589</v>
      </c>
      <c r="C9" s="1770" t="s">
        <v>1884</v>
      </c>
      <c r="F9" s="292" t="s">
        <v>285</v>
      </c>
      <c r="H9" s="292"/>
    </row>
    <row r="10" spans="1:23">
      <c r="A10" s="2802" t="s">
        <v>594</v>
      </c>
      <c r="B10" s="2802" t="s">
        <v>591</v>
      </c>
      <c r="C10" s="1770" t="s">
        <v>1885</v>
      </c>
      <c r="F10" s="292" t="s">
        <v>51</v>
      </c>
    </row>
    <row r="11" spans="1:23">
      <c r="A11" s="2802" t="s">
        <v>596</v>
      </c>
      <c r="B11" s="2802" t="s">
        <v>593</v>
      </c>
      <c r="C11" s="1770" t="s">
        <v>1886</v>
      </c>
    </row>
    <row r="12" spans="1:23">
      <c r="A12" s="2802" t="s">
        <v>598</v>
      </c>
      <c r="B12" s="2802" t="s">
        <v>595</v>
      </c>
      <c r="C12" s="1770" t="s">
        <v>1887</v>
      </c>
    </row>
    <row r="13" spans="1:23">
      <c r="A13" s="2802" t="s">
        <v>600</v>
      </c>
      <c r="B13" s="2802" t="s">
        <v>597</v>
      </c>
      <c r="C13" s="1770" t="s">
        <v>1888</v>
      </c>
    </row>
    <row r="14" spans="1:23">
      <c r="A14" s="2802" t="s">
        <v>602</v>
      </c>
      <c r="B14" s="2802" t="s">
        <v>599</v>
      </c>
      <c r="C14" s="292" t="s">
        <v>51</v>
      </c>
    </row>
    <row r="15" spans="1:23">
      <c r="A15" s="2802" t="s">
        <v>603</v>
      </c>
      <c r="B15" s="2802" t="s">
        <v>601</v>
      </c>
      <c r="C15" s="1773"/>
    </row>
    <row r="16" spans="1:23">
      <c r="A16" s="2802" t="s">
        <v>604</v>
      </c>
      <c r="B16" s="2802" t="s">
        <v>1869</v>
      </c>
      <c r="C16" s="1773"/>
    </row>
    <row r="17" spans="1:3">
      <c r="A17" s="2802" t="s">
        <v>605</v>
      </c>
      <c r="B17" s="2802" t="s">
        <v>1870</v>
      </c>
      <c r="C17" s="1773"/>
    </row>
    <row r="18" spans="1:3">
      <c r="A18" s="2802" t="s">
        <v>606</v>
      </c>
      <c r="B18" s="2802" t="s">
        <v>1870</v>
      </c>
      <c r="C18" s="1773"/>
    </row>
    <row r="19" spans="1:3">
      <c r="A19" s="2802" t="s">
        <v>607</v>
      </c>
      <c r="B19" s="2802" t="s">
        <v>1870</v>
      </c>
      <c r="C19" s="1773"/>
    </row>
    <row r="20" spans="1:3">
      <c r="A20" s="2802" t="s">
        <v>608</v>
      </c>
      <c r="B20" s="2802" t="s">
        <v>1870</v>
      </c>
      <c r="C20" s="1773"/>
    </row>
    <row r="21" spans="1:3">
      <c r="A21" s="2802" t="s">
        <v>609</v>
      </c>
      <c r="B21" s="2802" t="s">
        <v>1870</v>
      </c>
      <c r="C21" s="1773"/>
    </row>
    <row r="22" spans="1:3">
      <c r="A22" s="2802" t="s">
        <v>610</v>
      </c>
      <c r="B22" s="2802" t="s">
        <v>1870</v>
      </c>
      <c r="C22" s="1773"/>
    </row>
    <row r="23" spans="1:3">
      <c r="A23" s="2802" t="s">
        <v>611</v>
      </c>
      <c r="B23" s="2802" t="s">
        <v>1870</v>
      </c>
      <c r="C23" s="1773"/>
    </row>
    <row r="24" spans="1:3">
      <c r="A24" s="2802" t="s">
        <v>612</v>
      </c>
      <c r="B24" s="2802" t="s">
        <v>1870</v>
      </c>
      <c r="C24" s="1773"/>
    </row>
    <row r="25" spans="1:3">
      <c r="A25" s="2802" t="s">
        <v>613</v>
      </c>
      <c r="B25" s="2802" t="s">
        <v>1870</v>
      </c>
      <c r="C25" s="1773"/>
    </row>
    <row r="26" spans="1:3">
      <c r="A26" s="2802" t="s">
        <v>614</v>
      </c>
      <c r="B26" s="2802" t="s">
        <v>1870</v>
      </c>
      <c r="C26" s="1773"/>
    </row>
    <row r="27" spans="1:3">
      <c r="A27" s="2802" t="s">
        <v>1870</v>
      </c>
      <c r="B27" s="2802" t="s">
        <v>1870</v>
      </c>
      <c r="C27" s="1773"/>
    </row>
    <row r="28" spans="1:3">
      <c r="A28" s="2802" t="s">
        <v>1870</v>
      </c>
      <c r="B28" s="2802" t="s">
        <v>1870</v>
      </c>
      <c r="C28" s="1773"/>
    </row>
    <row r="29" spans="1:3">
      <c r="A29" s="2802" t="s">
        <v>1870</v>
      </c>
      <c r="B29" s="2802" t="s">
        <v>1870</v>
      </c>
      <c r="C29" s="1773"/>
    </row>
    <row r="30" spans="1:3">
      <c r="A30" s="2802" t="s">
        <v>1870</v>
      </c>
      <c r="B30" s="2802" t="s">
        <v>1870</v>
      </c>
      <c r="C30" s="1773"/>
    </row>
    <row r="31" spans="1:3">
      <c r="A31" s="2802" t="s">
        <v>1870</v>
      </c>
      <c r="B31" s="2802" t="s">
        <v>1870</v>
      </c>
      <c r="C31" s="1773"/>
    </row>
    <row r="32" spans="1:3">
      <c r="A32" s="2802" t="s">
        <v>1870</v>
      </c>
      <c r="B32" s="2802" t="s">
        <v>1870</v>
      </c>
      <c r="C32" s="1773"/>
    </row>
    <row r="33" spans="1:3">
      <c r="A33" s="2802" t="s">
        <v>1870</v>
      </c>
      <c r="B33" s="2802" t="s">
        <v>1870</v>
      </c>
      <c r="C33" s="1773"/>
    </row>
    <row r="34" spans="1:3">
      <c r="A34" s="2802" t="s">
        <v>1870</v>
      </c>
      <c r="B34" s="2802" t="s">
        <v>1870</v>
      </c>
      <c r="C34" s="1773"/>
    </row>
    <row r="35" spans="1:3">
      <c r="A35" s="2802" t="s">
        <v>1870</v>
      </c>
      <c r="B35" s="2802" t="s">
        <v>1870</v>
      </c>
      <c r="C35" s="1773"/>
    </row>
    <row r="36" spans="1:3">
      <c r="A36" s="2802" t="s">
        <v>1870</v>
      </c>
      <c r="B36" s="2802" t="s">
        <v>1870</v>
      </c>
      <c r="C36" s="1773"/>
    </row>
    <row r="37" spans="1:3">
      <c r="A37" s="2802" t="s">
        <v>1870</v>
      </c>
      <c r="B37" s="2802" t="s">
        <v>1870</v>
      </c>
      <c r="C37" s="1773"/>
    </row>
    <row r="38" spans="1:3">
      <c r="A38" s="2802" t="s">
        <v>1870</v>
      </c>
      <c r="B38" s="2802" t="s">
        <v>1870</v>
      </c>
      <c r="C38" s="1773"/>
    </row>
    <row r="39" spans="1:3">
      <c r="A39" s="2802" t="s">
        <v>1870</v>
      </c>
      <c r="B39" s="2802" t="s">
        <v>1870</v>
      </c>
      <c r="C39" s="1773"/>
    </row>
    <row r="40" spans="1:3">
      <c r="A40" s="2802" t="s">
        <v>1870</v>
      </c>
      <c r="B40" s="2802" t="s">
        <v>1870</v>
      </c>
      <c r="C40" s="1773"/>
    </row>
    <row r="41" spans="1:3">
      <c r="A41" s="2802" t="s">
        <v>1870</v>
      </c>
      <c r="B41" s="2802" t="s">
        <v>1870</v>
      </c>
      <c r="C41" s="1773"/>
    </row>
    <row r="42" spans="1:3">
      <c r="A42" s="2802" t="s">
        <v>1870</v>
      </c>
      <c r="B42" s="2802" t="s">
        <v>1870</v>
      </c>
      <c r="C42" s="1773"/>
    </row>
    <row r="43" spans="1:3">
      <c r="A43" s="2802" t="s">
        <v>1870</v>
      </c>
      <c r="B43" s="2802" t="s">
        <v>1870</v>
      </c>
      <c r="C43" s="1773"/>
    </row>
    <row r="44" spans="1:3">
      <c r="A44" s="2802" t="s">
        <v>1870</v>
      </c>
      <c r="B44" s="2802" t="s">
        <v>1870</v>
      </c>
      <c r="C44" s="1773"/>
    </row>
    <row r="45" spans="1:3">
      <c r="A45" s="2802" t="s">
        <v>1870</v>
      </c>
      <c r="B45" s="2802" t="s">
        <v>1870</v>
      </c>
      <c r="C45" s="1773"/>
    </row>
    <row r="46" spans="1:3">
      <c r="A46" s="2802" t="s">
        <v>1870</v>
      </c>
      <c r="B46" s="2802" t="s">
        <v>1870</v>
      </c>
      <c r="C46" s="1773"/>
    </row>
    <row r="47" spans="1:3">
      <c r="A47" s="2802" t="s">
        <v>1870</v>
      </c>
      <c r="B47" s="2802" t="s">
        <v>1870</v>
      </c>
      <c r="C47" s="1773"/>
    </row>
    <row r="48" spans="1:3">
      <c r="A48" s="2802" t="s">
        <v>1870</v>
      </c>
      <c r="B48" s="2802" t="s">
        <v>1870</v>
      </c>
      <c r="C48" s="1773"/>
    </row>
    <row r="49" spans="1:4">
      <c r="A49" s="2802" t="s">
        <v>1870</v>
      </c>
      <c r="B49" s="2802" t="s">
        <v>1870</v>
      </c>
      <c r="C49" s="1773"/>
    </row>
    <row r="50" spans="1:4">
      <c r="A50" s="2802" t="s">
        <v>1870</v>
      </c>
      <c r="B50" s="2802" t="s">
        <v>1870</v>
      </c>
      <c r="C50" s="1773"/>
    </row>
    <row r="51" spans="1:4">
      <c r="A51" s="1953" t="s">
        <v>2016</v>
      </c>
      <c r="B51" s="2096" t="str">
        <f>"为估价委托人在向"&amp;项目基本情况!B6&amp;"办理贷款手续过程中，确定房地产抵押贷款额度提供参考依据而评估房地产抵押价值。"</f>
        <v>为估价委托人在向工行新街口支行办理贷款手续过程中，确定房地产抵押贷款额度提供参考依据而评估房地产抵押价值。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工行新街口支行办理贷款手续。工行新街口支行特委托北京康正宏基房地产评估有限公司对上述抵押物进行评估。本次评估为确定房地产抵押贷款额度提供参考依据而评估房地产抵押价值。</v>
      </c>
      <c r="D51" s="2096" t="s">
        <v>2873</v>
      </c>
    </row>
    <row r="52" spans="1:4">
      <c r="A52" s="1953" t="s">
        <v>2019</v>
      </c>
      <c r="B52" s="1953" t="s">
        <v>2020</v>
      </c>
      <c r="C52" s="1161" t="s">
        <v>2021</v>
      </c>
      <c r="D52" s="1161" t="s">
        <v>2022</v>
      </c>
    </row>
    <row r="53" spans="1:4">
      <c r="A53" s="3377" t="s">
        <v>2023</v>
      </c>
      <c r="B53" s="2096" t="s">
        <v>2024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7"/>
      <c r="B54" s="2096" t="s">
        <v>2025</v>
      </c>
      <c r="C54" s="1161" t="s">
        <v>2870</v>
      </c>
    </row>
    <row r="55" spans="1:4">
      <c r="A55" s="3377"/>
      <c r="B55" s="2096" t="s">
        <v>2026</v>
      </c>
      <c r="C55" s="1161" t="s">
        <v>2871</v>
      </c>
    </row>
    <row r="56" spans="1:4">
      <c r="A56" s="3377"/>
      <c r="B56" s="2096" t="s">
        <v>2027</v>
      </c>
      <c r="C56" s="1161" t="s">
        <v>2881</v>
      </c>
    </row>
    <row r="57" spans="1:4">
      <c r="A57" s="3377"/>
      <c r="B57" s="2096" t="s">
        <v>2028</v>
      </c>
      <c r="C57" s="1161" t="s">
        <v>2872</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8" customWidth="1"/>
    <col min="12" max="13" width="10" style="2008"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5" t="s">
        <v>2130</v>
      </c>
      <c r="B1" s="3378" t="str">
        <f>IF(B10="北京市","北京市",C10)&amp;F10&amp;IF(结果表!G1="在建","出让国有建设用地使用权及在建建筑物",IF(结果表!G1="土地","出让国有建设用地使用权",))&amp;B9&amp;"预评估"</f>
        <v>房地产抵押价值预评估</v>
      </c>
      <c r="C1" s="3379"/>
      <c r="D1" s="3379"/>
      <c r="E1" s="3379"/>
      <c r="F1" s="3379"/>
      <c r="G1" s="3379"/>
      <c r="H1" s="3379"/>
      <c r="I1" s="3380"/>
      <c r="J1" s="1997"/>
      <c r="K1" s="2103"/>
      <c r="L1" s="1998"/>
      <c r="M1" s="1998"/>
      <c r="N1" s="1196"/>
      <c r="O1" s="11"/>
      <c r="P1" s="1196"/>
      <c r="Q1" s="1196"/>
      <c r="R1" s="1196"/>
      <c r="S1" s="1195" t="str">
        <f>IF(B10="北京市","北京市",C10)&amp;F10&amp;IF(结果表!G1="在建","出让国有建设用地使用权及在建建筑物房地产抵押价值",IF(结果表!G1="土地","出让国有建设用地使用权抵押价值",B9))</f>
        <v>房地产抵押价值</v>
      </c>
    </row>
    <row r="2" spans="1:19" ht="18" customHeight="1">
      <c r="A2" s="1997" t="s">
        <v>2131</v>
      </c>
      <c r="B2" s="1944"/>
      <c r="C2" s="1999"/>
      <c r="D2" s="1997"/>
      <c r="E2" s="2000"/>
      <c r="F2" s="2000"/>
      <c r="G2" s="1997"/>
      <c r="H2" s="1997"/>
      <c r="I2" s="1997"/>
      <c r="J2" s="1997"/>
      <c r="K2" s="2103"/>
      <c r="L2" s="1998"/>
      <c r="M2" s="1998"/>
      <c r="N2" s="1196"/>
      <c r="O2" s="11"/>
      <c r="P2" s="1196"/>
      <c r="Q2" s="1196"/>
      <c r="R2" s="1196"/>
      <c r="S2" s="1195" t="str">
        <f>IF(B10="北京市","北京市",C10)&amp;F10&amp;IF(结果表!G1="在建","出让国有建设用地使用权及在建建筑物房地产",IF(结果表!G1="土地","出让国有建设用地使用权","房地产"))</f>
        <v>房地产</v>
      </c>
    </row>
    <row r="3" spans="1:19" ht="18" customHeight="1">
      <c r="A3" s="1942" t="s">
        <v>2009</v>
      </c>
      <c r="B3" s="3239">
        <v>42928</v>
      </c>
      <c r="C3" s="1925" t="s">
        <v>2010</v>
      </c>
      <c r="D3" s="3239">
        <f>B3</f>
        <v>42928</v>
      </c>
      <c r="E3" s="1997"/>
      <c r="F3" s="1997"/>
      <c r="G3" s="1997"/>
      <c r="H3" s="1997"/>
      <c r="I3" s="1997"/>
      <c r="J3" s="1997"/>
      <c r="K3" s="2103"/>
      <c r="L3" s="1998"/>
      <c r="M3" s="1998"/>
      <c r="N3" s="1196"/>
      <c r="O3" s="11"/>
      <c r="P3" s="1196"/>
      <c r="Q3" s="1196"/>
      <c r="R3" s="1196"/>
      <c r="S3" s="1195"/>
    </row>
    <row r="4" spans="1:19" ht="18" customHeight="1" thickBot="1">
      <c r="A4" s="1926" t="s">
        <v>2011</v>
      </c>
      <c r="B4" s="1927"/>
      <c r="C4" s="1928">
        <f>SUMIF(注册房地产估价师,B4,估价师及机构信息!B3:B24)</f>
        <v>0</v>
      </c>
      <c r="D4" s="1927"/>
      <c r="E4" s="1929">
        <f>SUMIF(注册房地产估价师,D4,估价师及机构信息!B3:B24)</f>
        <v>0</v>
      </c>
      <c r="F4" s="1927" t="s">
        <v>532</v>
      </c>
      <c r="G4" s="1956">
        <f>SUMIF(注册房地产估价师,F4,估价师及机构信息!B3:B24)</f>
        <v>0</v>
      </c>
      <c r="H4" s="1927" t="s">
        <v>532</v>
      </c>
      <c r="I4" s="2891">
        <f>SUMIF(注册房地产估价师,H4,估价师及机构信息!B3:B24)</f>
        <v>0</v>
      </c>
      <c r="J4" s="2002"/>
      <c r="K4" s="2104" t="str">
        <f>CONCATENATE(B4,"（注册号：",C4,")、",D4,"（注册号：",E4,")")</f>
        <v>（注册号：0)、（注册号：0)</v>
      </c>
      <c r="L4" s="1998"/>
      <c r="M4" s="1998"/>
      <c r="N4" s="1196"/>
      <c r="O4" s="11"/>
      <c r="P4" s="1196"/>
      <c r="Q4" s="1196"/>
      <c r="R4" s="1196"/>
      <c r="S4" s="1195"/>
    </row>
    <row r="5" spans="1:19" ht="18" customHeight="1" thickTop="1">
      <c r="A5" s="1930" t="s">
        <v>2095</v>
      </c>
      <c r="B5" s="3294"/>
      <c r="C5" s="2041"/>
      <c r="D5" s="2003"/>
      <c r="E5" s="2002"/>
      <c r="F5" s="2002"/>
      <c r="G5" s="2002"/>
      <c r="H5" s="2002"/>
      <c r="I5" s="2002"/>
      <c r="J5" s="2002"/>
      <c r="K5" s="2104" t="str">
        <f>IF(F4="——","",IF(H4="——",F4&amp;"（注册号："&amp;G4&amp;")",CONCATENATE(F4,"（注册号：",G4,")、",H4,"（注册号：",I4,")")))</f>
        <v/>
      </c>
      <c r="L5" s="1998"/>
      <c r="M5" s="1998"/>
      <c r="N5" s="1196"/>
      <c r="O5" s="11"/>
      <c r="P5" s="1196"/>
      <c r="Q5" s="1196"/>
      <c r="R5" s="1196"/>
    </row>
    <row r="6" spans="1:19" ht="18" customHeight="1">
      <c r="A6" s="1931" t="s">
        <v>2096</v>
      </c>
      <c r="B6" s="2042" t="s">
        <v>3045</v>
      </c>
      <c r="C6" s="2043"/>
      <c r="D6" s="2004"/>
      <c r="E6" s="2000"/>
      <c r="F6" s="2002"/>
      <c r="G6" s="2002"/>
      <c r="H6" s="2002"/>
      <c r="I6" s="2002"/>
      <c r="J6" s="2002"/>
      <c r="K6" s="2109" t="str">
        <f>IF(COUNTIF(B6,"*上海银行*"),"上海银行","")</f>
        <v/>
      </c>
      <c r="L6" s="1998"/>
      <c r="M6" s="1998"/>
      <c r="N6" s="1196"/>
      <c r="O6" s="11"/>
      <c r="P6" s="1196"/>
      <c r="Q6" s="1196"/>
      <c r="R6" s="1196"/>
    </row>
    <row r="7" spans="1:19" ht="18" customHeight="1">
      <c r="A7" s="1931" t="s">
        <v>2876</v>
      </c>
      <c r="B7" s="3295"/>
      <c r="C7" s="2043"/>
      <c r="D7" s="2004"/>
      <c r="E7" s="2000"/>
      <c r="F7" s="2002"/>
      <c r="G7" s="2002"/>
      <c r="H7" s="2002"/>
      <c r="I7" s="2002"/>
      <c r="J7" s="2002"/>
      <c r="K7" s="2105"/>
      <c r="L7" s="1998"/>
      <c r="M7" s="1998"/>
      <c r="N7" s="1196"/>
      <c r="O7" s="11"/>
      <c r="P7" s="1196"/>
      <c r="Q7" s="1196"/>
      <c r="R7" s="1196"/>
    </row>
    <row r="8" spans="1:19" ht="18" customHeight="1">
      <c r="A8" s="1931" t="s">
        <v>1957</v>
      </c>
      <c r="B8" s="2036" t="s">
        <v>3046</v>
      </c>
      <c r="C8" s="2005"/>
      <c r="D8" s="3381" t="s">
        <v>2018</v>
      </c>
      <c r="E8" s="2037" t="s">
        <v>3047</v>
      </c>
      <c r="F8" s="2038"/>
      <c r="G8" s="1997"/>
      <c r="H8" s="1997"/>
      <c r="I8" s="1997"/>
      <c r="J8" s="2002"/>
      <c r="K8" s="2104"/>
      <c r="L8" s="1998"/>
      <c r="M8" s="1998"/>
      <c r="N8" s="1196"/>
      <c r="O8" s="11"/>
      <c r="P8" s="1196"/>
      <c r="Q8" s="1196"/>
      <c r="R8" s="1196"/>
    </row>
    <row r="9" spans="1:19" ht="18" customHeight="1" thickBot="1">
      <c r="A9" s="1956" t="s">
        <v>1958</v>
      </c>
      <c r="B9" s="1957" t="s">
        <v>3047</v>
      </c>
      <c r="C9" s="2006"/>
      <c r="D9" s="3382"/>
      <c r="E9" s="1957" t="s">
        <v>532</v>
      </c>
      <c r="F9" s="2894"/>
      <c r="G9" s="2001"/>
      <c r="H9" s="2001"/>
      <c r="I9" s="2001"/>
      <c r="J9" s="2002"/>
      <c r="K9" s="2105"/>
      <c r="L9" s="1998"/>
      <c r="M9" s="1998"/>
      <c r="N9" s="1196"/>
      <c r="O9" s="11"/>
      <c r="P9" s="1196"/>
      <c r="Q9" s="1196"/>
      <c r="R9" s="1196"/>
    </row>
    <row r="10" spans="1:19" ht="18" customHeight="1" thickTop="1">
      <c r="A10" s="2011" t="s">
        <v>2067</v>
      </c>
      <c r="B10" s="2057"/>
      <c r="C10" s="2039"/>
      <c r="D10" s="2003"/>
      <c r="E10" s="1941" t="s">
        <v>1959</v>
      </c>
      <c r="F10" s="1954"/>
      <c r="G10" s="2892"/>
      <c r="H10" s="2893"/>
      <c r="I10" s="2003"/>
      <c r="J10" s="2002"/>
      <c r="K10" s="2105"/>
      <c r="L10" s="1998"/>
      <c r="M10" s="1998"/>
      <c r="N10" s="1196"/>
      <c r="O10" s="11"/>
      <c r="P10" s="1196"/>
      <c r="Q10" s="1196"/>
      <c r="R10" s="1196"/>
    </row>
    <row r="11" spans="1:19" ht="18" customHeight="1">
      <c r="A11" s="1960" t="s">
        <v>2068</v>
      </c>
      <c r="B11" s="2056"/>
      <c r="C11" s="2040"/>
      <c r="D11" s="2007"/>
      <c r="E11" s="2002"/>
      <c r="F11" s="2002"/>
      <c r="G11" s="2002"/>
      <c r="H11" s="2002"/>
      <c r="I11" s="2002"/>
      <c r="J11" s="2002"/>
      <c r="K11" s="2105"/>
      <c r="L11" s="1998"/>
      <c r="M11" s="1998"/>
      <c r="N11" s="1196"/>
      <c r="O11" s="11"/>
      <c r="P11" s="1196"/>
      <c r="Q11" s="1196"/>
      <c r="R11" s="1196"/>
    </row>
    <row r="12" spans="1:19" ht="18" customHeight="1">
      <c r="A12" s="2055" t="s">
        <v>2094</v>
      </c>
      <c r="B12" s="2056" t="s">
        <v>2029</v>
      </c>
      <c r="C12" s="2014" t="s">
        <v>2098</v>
      </c>
      <c r="D12" s="2026" t="s">
        <v>1951</v>
      </c>
      <c r="E12" s="2026" t="s">
        <v>2711</v>
      </c>
      <c r="F12" s="2026" t="s">
        <v>2712</v>
      </c>
      <c r="G12" s="2026" t="s">
        <v>2713</v>
      </c>
      <c r="H12" s="2026" t="s">
        <v>2714</v>
      </c>
      <c r="I12" s="2026" t="s">
        <v>2715</v>
      </c>
      <c r="J12" s="2002"/>
      <c r="K12" s="2105"/>
      <c r="L12" s="1998"/>
      <c r="M12" s="1998"/>
      <c r="N12" s="1196"/>
      <c r="O12" s="11"/>
      <c r="P12" s="1196"/>
      <c r="Q12" s="1196"/>
      <c r="R12" s="1196"/>
    </row>
    <row r="13" spans="1:19" ht="18" customHeight="1">
      <c r="A13" s="2010"/>
      <c r="B13" s="2085"/>
      <c r="C13" s="2086" t="s">
        <v>2097</v>
      </c>
      <c r="D13" s="3238"/>
      <c r="E13" s="3238">
        <v>53911</v>
      </c>
      <c r="F13" s="3238"/>
      <c r="G13" s="3238"/>
      <c r="H13" s="3238"/>
      <c r="I13" s="2051"/>
      <c r="J13" s="2002"/>
      <c r="K13" s="2105"/>
      <c r="L13" s="1998"/>
      <c r="M13" s="1998"/>
      <c r="N13" s="1196"/>
      <c r="O13" s="11"/>
      <c r="P13" s="1196"/>
      <c r="Q13" s="1196"/>
      <c r="R13" s="1196"/>
    </row>
    <row r="14" spans="1:19" ht="18" customHeight="1">
      <c r="A14" s="2010"/>
      <c r="B14" s="2085"/>
      <c r="C14" s="2086" t="s">
        <v>2099</v>
      </c>
      <c r="D14" s="2054"/>
      <c r="E14" s="2054">
        <v>40</v>
      </c>
      <c r="F14" s="2054"/>
      <c r="G14" s="2054"/>
      <c r="H14" s="2054"/>
      <c r="I14" s="2054"/>
      <c r="J14" s="2002"/>
      <c r="K14" s="2106"/>
      <c r="L14" s="1998"/>
      <c r="M14" s="1998"/>
      <c r="N14" s="1196"/>
      <c r="O14" s="11"/>
      <c r="P14" s="1196"/>
      <c r="Q14" s="1196"/>
      <c r="R14" s="1196"/>
    </row>
    <row r="15" spans="1:19" ht="18" customHeight="1">
      <c r="A15" s="2011"/>
      <c r="B15" s="2087"/>
      <c r="C15" s="2086" t="s">
        <v>2100</v>
      </c>
      <c r="D15" s="2053" t="str">
        <f>IF(B12="出让",IF(D13="","",ROUNDDOWN(MIN((D13-$D$3)/365,D14),2)),D14)</f>
        <v/>
      </c>
      <c r="E15" s="2053">
        <f>IF(B12="出让",IF(E13="","",ROUNDDOWN(MIN((E13-$D$3)/365,E14),2)),E14)</f>
        <v>30.09</v>
      </c>
      <c r="F15" s="2053" t="str">
        <f>IF(B12="出让",IF(F13="","",ROUNDDOWN(MIN((F13-$D$3)/365,F14),2)),F14)</f>
        <v/>
      </c>
      <c r="G15" s="2053" t="str">
        <f>IF(B12="出让",IF(G13="","",ROUNDDOWN(MIN((G13-$D$3)/365,G14),2)),G14)</f>
        <v/>
      </c>
      <c r="H15" s="2053" t="str">
        <f>IF(B12="出让",IF(H13="","",ROUNDDOWN(MIN((H13-$D$3)/365,H14),2)),H14)</f>
        <v/>
      </c>
      <c r="I15" s="2053" t="str">
        <f>IF(B12="出让",IF(I13="","",ROUNDDOWN(MIN((I13-$D$3)/365,I14),2)),I14)</f>
        <v/>
      </c>
      <c r="J15" s="2002"/>
      <c r="K15" s="2107"/>
      <c r="L15" s="1230"/>
      <c r="M15" s="1230"/>
      <c r="N15" s="2022"/>
      <c r="O15" s="1230"/>
      <c r="P15" s="2022"/>
      <c r="Q15" s="1196"/>
      <c r="R15" s="1196"/>
    </row>
    <row r="16" spans="1:19" ht="30.75" customHeight="1">
      <c r="A16" s="1941" t="s">
        <v>2101</v>
      </c>
      <c r="B16" s="3388"/>
      <c r="C16" s="3389"/>
      <c r="D16" s="3390"/>
      <c r="E16" s="1958" t="s">
        <v>2030</v>
      </c>
      <c r="F16" s="3391"/>
      <c r="G16" s="3392"/>
      <c r="H16" s="3392"/>
      <c r="I16" s="3393"/>
      <c r="J16" s="1196"/>
      <c r="K16" s="2107"/>
      <c r="L16" s="1230"/>
      <c r="M16" s="1230"/>
      <c r="N16" s="2022"/>
      <c r="O16" s="1230"/>
      <c r="P16" s="2022"/>
      <c r="Q16" s="1196"/>
      <c r="R16" s="1196"/>
    </row>
    <row r="17" spans="1:22" ht="18" customHeight="1">
      <c r="A17" s="2009" t="s">
        <v>1960</v>
      </c>
      <c r="B17" s="1942" t="s">
        <v>1961</v>
      </c>
      <c r="C17" s="2088">
        <f>'数据-汇总表'!E3</f>
        <v>7148.0899999999992</v>
      </c>
      <c r="D17" s="1943" t="s">
        <v>1962</v>
      </c>
      <c r="E17" s="3394" t="s">
        <v>3048</v>
      </c>
      <c r="F17" s="3395"/>
      <c r="G17" s="3395"/>
      <c r="H17" s="3395"/>
      <c r="I17" s="3396"/>
      <c r="J17" s="1196"/>
      <c r="K17" s="2698"/>
      <c r="L17" s="1230"/>
      <c r="M17" s="1230"/>
      <c r="N17" s="2022"/>
      <c r="O17" s="1230"/>
      <c r="P17" s="2022"/>
      <c r="Q17" s="1196"/>
      <c r="R17" s="1196"/>
      <c r="S17" s="1196"/>
      <c r="T17" s="1196"/>
      <c r="U17" s="1196"/>
      <c r="V17" s="1196"/>
    </row>
    <row r="18" spans="1:22" ht="36" customHeight="1" thickBot="1">
      <c r="A18" s="2900" t="s">
        <v>2707</v>
      </c>
      <c r="B18" s="1926" t="s">
        <v>1963</v>
      </c>
      <c r="C18" s="2901">
        <f>'数据-汇总表'!D3</f>
        <v>1927.24</v>
      </c>
      <c r="D18" s="2902" t="s">
        <v>1962</v>
      </c>
      <c r="E18" s="3397" t="s">
        <v>3019</v>
      </c>
      <c r="F18" s="3398"/>
      <c r="G18" s="3398"/>
      <c r="H18" s="3398"/>
      <c r="I18" s="3399"/>
      <c r="J18" s="1196"/>
      <c r="K18" s="2698"/>
      <c r="L18" s="1230"/>
      <c r="M18" s="1230"/>
      <c r="N18" s="2022"/>
      <c r="O18" s="1230"/>
      <c r="P18" s="2022"/>
      <c r="Q18" s="1196"/>
      <c r="R18" s="1196"/>
      <c r="S18" s="1196"/>
      <c r="T18" s="1196"/>
      <c r="U18" s="1196"/>
      <c r="V18" s="1196"/>
    </row>
    <row r="19" spans="1:22" ht="37.5" customHeight="1" thickTop="1" thickBot="1">
      <c r="A19" s="2899" t="s">
        <v>2049</v>
      </c>
      <c r="B19" s="2062" t="s">
        <v>2050</v>
      </c>
      <c r="C19" s="2063"/>
      <c r="D19" s="2045" t="s">
        <v>2053</v>
      </c>
      <c r="E19" s="2044"/>
      <c r="F19" s="2046" t="str">
        <f>IF(AND(C19="是",E19="否"),"是否提供他项权证或相关说明","")</f>
        <v/>
      </c>
      <c r="G19" s="2047"/>
      <c r="H19" s="2002"/>
      <c r="I19" s="2002"/>
      <c r="J19" s="2002"/>
      <c r="K19" s="2105"/>
      <c r="L19" s="1998"/>
      <c r="M19" s="1998"/>
      <c r="N19" s="2022"/>
      <c r="O19" s="1230"/>
      <c r="P19" s="2022"/>
      <c r="Q19" s="1196"/>
      <c r="R19" s="1196"/>
      <c r="S19" s="1196"/>
      <c r="T19" s="1196"/>
      <c r="U19" s="1196"/>
      <c r="V19" s="1196"/>
    </row>
    <row r="20" spans="1:22" ht="18" customHeight="1">
      <c r="A20" s="2064" t="s">
        <v>2054</v>
      </c>
      <c r="B20" s="3384" t="s">
        <v>2055</v>
      </c>
      <c r="C20" s="3385"/>
      <c r="D20" s="3386" t="s">
        <v>2056</v>
      </c>
      <c r="E20" s="3387"/>
      <c r="F20" s="2070" t="s">
        <v>2057</v>
      </c>
      <c r="G20" s="2002"/>
      <c r="H20" s="2002"/>
      <c r="I20" s="2002"/>
      <c r="J20" s="2002"/>
      <c r="K20" s="3383" t="s">
        <v>2052</v>
      </c>
      <c r="L20" s="2612"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1998"/>
      <c r="N20" s="2022"/>
      <c r="O20" s="1230"/>
      <c r="P20" s="2022"/>
      <c r="Q20" s="1196"/>
      <c r="R20" s="1196"/>
      <c r="S20" s="1196"/>
      <c r="T20" s="1196"/>
      <c r="U20" s="1196"/>
      <c r="V20" s="1196"/>
    </row>
    <row r="21" spans="1:22" ht="24.75" customHeight="1">
      <c r="A21" s="2064"/>
      <c r="B21" s="2065" t="s">
        <v>2058</v>
      </c>
      <c r="C21" s="2034" t="s">
        <v>2059</v>
      </c>
      <c r="D21" s="1991"/>
      <c r="E21" s="2035"/>
      <c r="F21" s="1980"/>
      <c r="G21" s="2002"/>
      <c r="H21" s="2002"/>
      <c r="I21" s="2002"/>
      <c r="J21" s="2002"/>
      <c r="K21" s="3383"/>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0"/>
      <c r="P21" s="2022"/>
      <c r="Q21" s="1196"/>
      <c r="R21" s="1196"/>
      <c r="S21" s="1196"/>
      <c r="T21" s="1196"/>
      <c r="U21" s="1196"/>
      <c r="V21" s="1196"/>
    </row>
    <row r="22" spans="1:22" ht="24.75" customHeight="1" thickBot="1">
      <c r="A22" s="2064"/>
      <c r="B22" s="2066" t="s">
        <v>2060</v>
      </c>
      <c r="C22" s="2034" t="s">
        <v>2059</v>
      </c>
      <c r="D22" s="1997"/>
      <c r="E22" s="1997"/>
      <c r="F22" s="2071"/>
      <c r="G22" s="2002"/>
      <c r="H22" s="2002"/>
      <c r="I22" s="2002"/>
      <c r="J22" s="2002"/>
      <c r="K22" s="3383"/>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0"/>
      <c r="P22" s="2022"/>
      <c r="Q22" s="1196"/>
      <c r="R22" s="1196"/>
      <c r="S22" s="1196"/>
      <c r="T22" s="1196"/>
      <c r="U22" s="1196"/>
      <c r="V22" s="1196"/>
    </row>
    <row r="23" spans="1:22" ht="18" customHeight="1">
      <c r="A23" s="1979" t="s">
        <v>2061</v>
      </c>
      <c r="B23" s="2067" t="s">
        <v>2062</v>
      </c>
      <c r="C23" s="2068">
        <v>39064</v>
      </c>
      <c r="D23" s="1981" t="s">
        <v>2062</v>
      </c>
      <c r="E23" s="1989"/>
      <c r="F23" s="2071"/>
      <c r="G23" s="2002"/>
      <c r="H23" s="2002"/>
      <c r="I23" s="2002"/>
      <c r="J23" s="2002"/>
      <c r="K23" s="226"/>
      <c r="L23" s="2612"/>
      <c r="M23" s="1998"/>
      <c r="N23" s="2022"/>
      <c r="O23" s="1230"/>
      <c r="P23" s="2022"/>
      <c r="Q23" s="1196"/>
      <c r="R23" s="1196"/>
      <c r="S23" s="1196"/>
      <c r="T23" s="1196"/>
      <c r="U23" s="1196"/>
      <c r="V23" s="1196"/>
    </row>
    <row r="24" spans="1:22" ht="18" customHeight="1">
      <c r="A24" s="1982"/>
      <c r="B24" s="2067" t="s">
        <v>2063</v>
      </c>
      <c r="C24" s="2069"/>
      <c r="D24" s="1979" t="s">
        <v>2063</v>
      </c>
      <c r="E24" s="1990"/>
      <c r="F24" s="2071"/>
      <c r="G24" s="2002"/>
      <c r="H24" s="2002"/>
      <c r="I24" s="2002"/>
      <c r="J24" s="2002"/>
      <c r="K24" s="226"/>
      <c r="L24" s="2612"/>
      <c r="M24" s="1998"/>
      <c r="N24" s="2022"/>
      <c r="O24" s="1230"/>
      <c r="P24" s="2022"/>
      <c r="Q24" s="1196"/>
      <c r="R24" s="1196"/>
      <c r="S24" s="1196"/>
      <c r="T24" s="1196"/>
      <c r="U24" s="1196"/>
      <c r="V24" s="1196"/>
    </row>
    <row r="25" spans="1:22" ht="18" customHeight="1">
      <c r="A25" s="1982"/>
      <c r="B25" s="2067" t="s">
        <v>2064</v>
      </c>
      <c r="C25" s="2069"/>
      <c r="D25" s="1979" t="s">
        <v>2064</v>
      </c>
      <c r="E25" s="1990"/>
      <c r="F25" s="2071"/>
      <c r="G25" s="2002"/>
      <c r="H25" s="2002"/>
      <c r="I25" s="2002"/>
      <c r="J25" s="2002"/>
      <c r="K25" s="2105"/>
      <c r="L25" s="1998"/>
      <c r="M25" s="1998"/>
      <c r="N25" s="2022"/>
      <c r="O25" s="1230"/>
      <c r="P25" s="2022"/>
      <c r="Q25" s="1196"/>
      <c r="R25" s="1196"/>
      <c r="S25" s="1196"/>
      <c r="T25" s="1196"/>
      <c r="U25" s="1196"/>
      <c r="V25" s="1196"/>
    </row>
    <row r="26" spans="1:22" ht="18" customHeight="1" thickBot="1">
      <c r="A26" s="2059"/>
      <c r="B26" s="2072" t="s">
        <v>2065</v>
      </c>
      <c r="C26" s="2073"/>
      <c r="D26" s="2061" t="s">
        <v>2065</v>
      </c>
      <c r="E26" s="2060"/>
      <c r="F26" s="2074"/>
      <c r="G26" s="2001"/>
      <c r="H26" s="2001"/>
      <c r="I26" s="2001"/>
      <c r="J26" s="2002"/>
      <c r="K26" s="2105"/>
      <c r="L26" s="1998"/>
      <c r="M26" s="1998"/>
      <c r="N26" s="2022"/>
      <c r="O26" s="1230"/>
      <c r="P26" s="2022"/>
      <c r="Q26" s="1196"/>
      <c r="R26" s="1196"/>
      <c r="S26" s="1196"/>
      <c r="T26" s="1196"/>
      <c r="U26" s="1196"/>
      <c r="V26" s="1196"/>
    </row>
    <row r="27" spans="1:22" ht="18" customHeight="1" thickTop="1">
      <c r="A27" s="3401" t="s">
        <v>2069</v>
      </c>
      <c r="B27" s="2011" t="s">
        <v>2070</v>
      </c>
      <c r="C27" s="1932"/>
      <c r="D27" s="1933"/>
      <c r="E27" s="2002"/>
      <c r="F27" s="2002"/>
      <c r="G27" s="2002"/>
      <c r="H27" s="2002"/>
      <c r="I27" s="2002"/>
      <c r="J27" s="1196"/>
      <c r="K27" s="2107"/>
      <c r="L27" s="1230"/>
      <c r="M27" s="1230"/>
      <c r="N27" s="2022"/>
      <c r="O27" s="1230"/>
      <c r="P27" s="2022"/>
      <c r="Q27" s="1196"/>
      <c r="R27" s="1196"/>
      <c r="S27" s="1196"/>
      <c r="T27" s="1196"/>
      <c r="U27" s="1196"/>
      <c r="V27" s="1196"/>
    </row>
    <row r="28" spans="1:22" ht="18" customHeight="1">
      <c r="A28" s="3401"/>
      <c r="B28" s="1942" t="s">
        <v>2071</v>
      </c>
      <c r="C28" s="1934"/>
      <c r="D28" s="1935"/>
      <c r="E28" s="2002"/>
      <c r="F28" s="2002"/>
      <c r="G28" s="2002"/>
      <c r="H28" s="2002"/>
      <c r="I28" s="2002"/>
      <c r="J28" s="1196"/>
      <c r="K28" s="2111"/>
      <c r="L28" s="1998"/>
      <c r="M28" s="1998"/>
      <c r="N28" s="1196"/>
      <c r="O28" s="11"/>
      <c r="P28" s="1196"/>
      <c r="Q28" s="1196"/>
      <c r="R28" s="1196"/>
      <c r="S28" s="1196"/>
      <c r="T28" s="1196"/>
      <c r="U28" s="1196"/>
      <c r="V28" s="1196"/>
    </row>
    <row r="29" spans="1:22" ht="18" customHeight="1">
      <c r="A29" s="3401"/>
      <c r="B29" s="1942" t="s">
        <v>2072</v>
      </c>
      <c r="C29" s="1936"/>
      <c r="D29" s="1937"/>
      <c r="E29" s="2002"/>
      <c r="F29" s="2002"/>
      <c r="G29" s="2002"/>
      <c r="H29" s="2002"/>
      <c r="I29" s="2002"/>
      <c r="J29" s="1196"/>
      <c r="K29" s="2111"/>
      <c r="L29" s="1998"/>
      <c r="M29" s="1998"/>
      <c r="N29" s="1196"/>
      <c r="O29" s="11"/>
      <c r="P29" s="1196"/>
      <c r="Q29" s="1196"/>
      <c r="R29" s="1196"/>
      <c r="S29" s="1196"/>
      <c r="T29" s="1196"/>
      <c r="U29" s="1196"/>
      <c r="V29" s="1196"/>
    </row>
    <row r="30" spans="1:22" ht="18" customHeight="1">
      <c r="A30" s="3402"/>
      <c r="B30" s="1942" t="s">
        <v>2073</v>
      </c>
      <c r="C30" s="3403"/>
      <c r="D30" s="3404"/>
      <c r="E30" s="2002"/>
      <c r="F30" s="2002"/>
      <c r="G30" s="2002"/>
      <c r="H30" s="2002"/>
      <c r="I30" s="2002"/>
      <c r="J30" s="1196"/>
      <c r="K30" s="2111"/>
      <c r="L30" s="1998"/>
      <c r="M30" s="1998"/>
      <c r="N30" s="1196"/>
      <c r="O30" s="11"/>
      <c r="P30" s="1196"/>
      <c r="Q30" s="1196"/>
      <c r="R30" s="1196"/>
      <c r="S30" s="1196"/>
      <c r="T30" s="1196"/>
      <c r="U30" s="1196"/>
      <c r="V30" s="1196"/>
    </row>
    <row r="31" spans="1:22" ht="18" customHeight="1">
      <c r="A31" s="3405" t="s">
        <v>2074</v>
      </c>
      <c r="B31" s="1938"/>
      <c r="C31" s="1939" t="str">
        <f>IF(B31="现房","成新及维护状况正常否",IF(B31="在建","工程状态是否正常",IF(B31="土地","是否闲置","-")))</f>
        <v>-</v>
      </c>
      <c r="D31" s="2012"/>
      <c r="E31" s="1940"/>
      <c r="F31" s="2002"/>
      <c r="G31" s="2002"/>
      <c r="H31" s="2002"/>
      <c r="I31" s="2002"/>
      <c r="J31" s="2002"/>
      <c r="K31" s="2109"/>
      <c r="L31" s="1998"/>
      <c r="M31" s="1998"/>
      <c r="N31" s="1196"/>
      <c r="O31" s="11"/>
      <c r="P31" s="1196"/>
      <c r="Q31" s="1196"/>
      <c r="R31" s="1196"/>
      <c r="S31" s="1196"/>
      <c r="T31" s="1196"/>
      <c r="U31" s="1196"/>
      <c r="V31" s="1196"/>
    </row>
    <row r="32" spans="1:22" ht="18" customHeight="1">
      <c r="A32" s="3406"/>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6"/>
      <c r="O32" s="11"/>
      <c r="P32" s="1196"/>
      <c r="Q32" s="1196"/>
      <c r="R32" s="1196"/>
      <c r="S32" s="1196"/>
      <c r="T32" s="1196"/>
      <c r="U32" s="1196"/>
      <c r="V32" s="1196"/>
    </row>
    <row r="33" spans="1:22" ht="18" customHeight="1">
      <c r="A33" s="3406"/>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6"/>
      <c r="O33" s="11"/>
      <c r="P33" s="1196"/>
      <c r="Q33" s="1196"/>
      <c r="R33" s="1196"/>
      <c r="S33" s="1196"/>
      <c r="T33" s="1196"/>
      <c r="U33" s="1196"/>
      <c r="V33" s="1196"/>
    </row>
    <row r="34" spans="1:22" ht="18" customHeight="1">
      <c r="A34" s="1942" t="s">
        <v>2031</v>
      </c>
      <c r="B34" s="1962" t="s">
        <v>3049</v>
      </c>
      <c r="C34" s="1962" t="s">
        <v>3050</v>
      </c>
      <c r="D34" s="1962" t="s">
        <v>3051</v>
      </c>
      <c r="E34" s="1962" t="s">
        <v>3052</v>
      </c>
      <c r="F34" s="1962" t="s">
        <v>3053</v>
      </c>
      <c r="G34" s="1962" t="s">
        <v>3054</v>
      </c>
      <c r="H34" s="1962" t="s">
        <v>3055</v>
      </c>
      <c r="I34" s="2002"/>
      <c r="J34" s="2002"/>
      <c r="K34" s="2889">
        <f>COUNTIF(B34:H34,"——")</f>
        <v>0</v>
      </c>
      <c r="L34" s="2014" t="s">
        <v>2103</v>
      </c>
      <c r="M34" s="2014" t="s">
        <v>2104</v>
      </c>
      <c r="N34" s="2014" t="s">
        <v>2105</v>
      </c>
      <c r="O34" s="2014" t="s">
        <v>2106</v>
      </c>
      <c r="P34" s="2014" t="s">
        <v>2107</v>
      </c>
      <c r="Q34" s="2014" t="s">
        <v>2108</v>
      </c>
      <c r="R34" s="2014" t="s">
        <v>2109</v>
      </c>
      <c r="S34" s="3400" t="s">
        <v>2110</v>
      </c>
      <c r="T34" s="2015" t="str">
        <f>NUMBERSTRING(7-K34,1)&amp;"通"</f>
        <v>七通</v>
      </c>
      <c r="U34" s="1196"/>
      <c r="V34" s="1196"/>
    </row>
    <row r="35" spans="1:22" ht="18" customHeight="1">
      <c r="A35" s="2016"/>
      <c r="B35" s="3407" t="s">
        <v>1876</v>
      </c>
      <c r="C35" s="3407"/>
      <c r="D35" s="3407"/>
      <c r="E35" s="3407"/>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0"/>
      <c r="T35" s="23" t="str">
        <f>IF(T34="一通",L35,IF(T34="二通",M35,IF(T34="三通",N35,IF(T34="四通",O35,IF(T34="五通",P35,IF(T34="六通",Q35,R35))))))</f>
        <v>通路、通电、通讯、通上水、通下水、通热、燃气</v>
      </c>
      <c r="U35" s="1196"/>
      <c r="V35" s="1196"/>
    </row>
    <row r="36" spans="1:22" ht="18" customHeight="1">
      <c r="A36" s="2018"/>
      <c r="B36" s="2017" t="s">
        <v>1956</v>
      </c>
      <c r="C36" s="2017" t="s">
        <v>1952</v>
      </c>
      <c r="D36" s="2017" t="s">
        <v>1951</v>
      </c>
      <c r="E36" s="2017" t="s">
        <v>1953</v>
      </c>
      <c r="F36" s="2019"/>
      <c r="G36" s="2002"/>
      <c r="H36" s="2002"/>
      <c r="I36" s="2002"/>
      <c r="J36" s="2002"/>
      <c r="K36" s="2105"/>
      <c r="L36" s="1998"/>
      <c r="M36" s="1998"/>
      <c r="N36" s="1196"/>
      <c r="O36" s="11"/>
      <c r="P36" s="1196"/>
      <c r="Q36" s="1196"/>
      <c r="R36" s="1196"/>
      <c r="S36" s="1196"/>
      <c r="T36" s="1196"/>
      <c r="U36" s="1196"/>
      <c r="V36" s="1196"/>
    </row>
    <row r="37" spans="1:22" ht="18" customHeight="1">
      <c r="A37" s="2020" t="s">
        <v>1875</v>
      </c>
      <c r="B37" s="2021" t="s">
        <v>1139</v>
      </c>
      <c r="C37" s="2021"/>
      <c r="D37" s="2021"/>
      <c r="E37" s="2021"/>
      <c r="F37" s="2019"/>
      <c r="G37" s="2002"/>
      <c r="H37" s="2002"/>
      <c r="I37" s="2002"/>
      <c r="J37" s="2002"/>
      <c r="K37" s="2105"/>
      <c r="L37" s="1998"/>
      <c r="M37" s="1998"/>
      <c r="N37" s="1196"/>
      <c r="O37" s="11"/>
      <c r="P37" s="1196"/>
      <c r="Q37" s="1196"/>
      <c r="R37" s="1196"/>
      <c r="S37" s="1196"/>
      <c r="T37" s="1196"/>
      <c r="U37" s="1196"/>
      <c r="V37" s="1196"/>
    </row>
    <row r="38" spans="1:22" ht="18" customHeight="1" thickBot="1">
      <c r="A38" s="2048" t="s">
        <v>1877</v>
      </c>
      <c r="B38" s="2049" t="s">
        <v>1266</v>
      </c>
      <c r="C38" s="2049"/>
      <c r="D38" s="2049"/>
      <c r="E38" s="2049"/>
      <c r="F38" s="2050"/>
      <c r="G38" s="2001"/>
      <c r="H38" s="2001"/>
      <c r="I38" s="2001"/>
      <c r="J38" s="2002"/>
      <c r="K38" s="2105"/>
      <c r="L38" s="1998"/>
      <c r="M38" s="1998"/>
      <c r="N38" s="1196"/>
      <c r="O38" s="11"/>
      <c r="P38" s="1196"/>
      <c r="Q38" s="1196"/>
      <c r="R38" s="1196"/>
      <c r="S38" s="1196"/>
      <c r="T38" s="1196"/>
      <c r="U38" s="1196"/>
      <c r="V38" s="1196"/>
    </row>
    <row r="39" spans="1:22" s="3314" customFormat="1" ht="18" customHeight="1" thickTop="1" thickBot="1">
      <c r="A39" s="3315" t="s">
        <v>3039</v>
      </c>
      <c r="B39" s="3311"/>
      <c r="C39" s="3311"/>
      <c r="D39" s="3311"/>
      <c r="E39" s="3311"/>
      <c r="F39" s="3311"/>
      <c r="G39" s="3311"/>
      <c r="H39" s="3311"/>
      <c r="I39" s="3311"/>
      <c r="J39" s="3311"/>
      <c r="K39" s="3312"/>
      <c r="L39" s="3311"/>
      <c r="M39" s="3311"/>
      <c r="N39" s="3311"/>
      <c r="O39" s="3313"/>
      <c r="P39" s="3311"/>
      <c r="Q39" s="3311"/>
      <c r="R39" s="3311"/>
      <c r="S39" s="3311"/>
      <c r="T39" s="3311"/>
      <c r="U39" s="3311"/>
      <c r="V39" s="3311"/>
    </row>
    <row r="40" spans="1:22" ht="18" customHeight="1">
      <c r="A40" s="1196"/>
      <c r="B40" s="1196"/>
      <c r="C40" s="1196"/>
      <c r="D40" s="1196"/>
      <c r="E40" s="1196"/>
      <c r="F40" s="1196"/>
      <c r="G40" s="1196"/>
      <c r="H40" s="1196"/>
      <c r="I40" s="1217"/>
      <c r="J40" s="2022"/>
      <c r="K40" s="2110"/>
      <c r="L40" s="1230"/>
      <c r="M40" s="1230"/>
      <c r="N40" s="2022"/>
      <c r="O40" s="1230"/>
      <c r="P40" s="1196"/>
      <c r="Q40" s="1196"/>
      <c r="R40" s="1196"/>
      <c r="S40" s="1196"/>
      <c r="T40" s="1196"/>
      <c r="U40" s="1196"/>
      <c r="V40" s="1196"/>
    </row>
    <row r="41" spans="1:22" ht="18" customHeight="1">
      <c r="A41" s="2023" t="s">
        <v>2075</v>
      </c>
      <c r="B41" s="2024"/>
      <c r="C41" s="2025"/>
      <c r="D41" s="1196"/>
      <c r="E41" s="1196"/>
      <c r="F41" s="1196"/>
      <c r="G41" s="1196"/>
      <c r="H41" s="1196"/>
      <c r="I41" s="11"/>
      <c r="J41" s="1196"/>
      <c r="K41" s="2111"/>
      <c r="L41" s="1998"/>
      <c r="M41" s="1998"/>
      <c r="N41" s="1196"/>
      <c r="O41" s="11"/>
      <c r="P41" s="1196"/>
      <c r="Q41" s="1196"/>
      <c r="R41" s="1196"/>
      <c r="S41" s="1196"/>
      <c r="T41" s="1196"/>
      <c r="U41" s="1196"/>
      <c r="V41" s="1196"/>
    </row>
    <row r="42" spans="1:22" ht="18" customHeight="1">
      <c r="A42" s="2014" t="s">
        <v>2076</v>
      </c>
      <c r="B42" s="1988" t="s">
        <v>2077</v>
      </c>
      <c r="C42" s="1988" t="s">
        <v>2078</v>
      </c>
      <c r="D42" s="1988" t="s">
        <v>2079</v>
      </c>
      <c r="E42" s="1988" t="s">
        <v>2080</v>
      </c>
      <c r="F42" s="1988" t="s">
        <v>2081</v>
      </c>
      <c r="G42" s="1988" t="s">
        <v>2082</v>
      </c>
      <c r="H42" s="1988" t="s">
        <v>2083</v>
      </c>
      <c r="I42" s="1988" t="s">
        <v>2084</v>
      </c>
      <c r="J42" s="2101" t="s">
        <v>2085</v>
      </c>
      <c r="K42" s="2026" t="s">
        <v>2086</v>
      </c>
      <c r="L42" s="2026" t="s">
        <v>2087</v>
      </c>
      <c r="M42" s="2026" t="s">
        <v>2088</v>
      </c>
      <c r="N42" s="1988" t="s">
        <v>2089</v>
      </c>
      <c r="O42" s="1988" t="s">
        <v>2090</v>
      </c>
      <c r="P42" s="1988" t="s">
        <v>2091</v>
      </c>
      <c r="Q42" s="2014" t="s">
        <v>2092</v>
      </c>
      <c r="R42" s="2014" t="s">
        <v>2093</v>
      </c>
      <c r="S42" s="1196"/>
      <c r="T42" s="1196"/>
      <c r="U42" s="1196"/>
      <c r="V42" s="1196"/>
    </row>
    <row r="43" spans="1:22" s="2242" customFormat="1" ht="18" customHeight="1">
      <c r="A43" s="1416"/>
      <c r="B43" s="216"/>
      <c r="C43" s="216"/>
      <c r="D43" s="216"/>
      <c r="E43" s="216"/>
      <c r="F43" s="216"/>
      <c r="G43" s="216"/>
      <c r="H43" s="2"/>
      <c r="I43" s="2"/>
      <c r="J43" s="9"/>
      <c r="K43" s="4"/>
      <c r="L43" s="4"/>
      <c r="M43" s="2"/>
      <c r="N43" s="216"/>
      <c r="O43" s="2"/>
      <c r="P43" s="216"/>
      <c r="Q43" s="216"/>
      <c r="R43" s="216"/>
      <c r="S43" s="3248"/>
      <c r="T43" s="3248"/>
      <c r="U43" s="3248"/>
      <c r="V43" s="3248"/>
    </row>
    <row r="44" spans="1:22" s="2242" customFormat="1" ht="18" customHeight="1">
      <c r="A44" s="1416"/>
      <c r="B44" s="1416"/>
      <c r="C44" s="216"/>
      <c r="D44" s="216"/>
      <c r="E44" s="216"/>
      <c r="F44" s="216"/>
      <c r="G44" s="216"/>
      <c r="H44" s="2"/>
      <c r="I44" s="2"/>
      <c r="J44" s="9"/>
      <c r="K44" s="4"/>
      <c r="L44" s="4"/>
      <c r="M44" s="2"/>
      <c r="N44" s="216"/>
      <c r="O44" s="2"/>
      <c r="P44" s="216"/>
      <c r="Q44" s="216"/>
      <c r="R44" s="216"/>
      <c r="S44" s="3248"/>
      <c r="T44" s="3248"/>
      <c r="U44" s="3248"/>
      <c r="V44" s="3248"/>
    </row>
    <row r="45" spans="1:22" s="2242" customFormat="1" ht="18" customHeight="1">
      <c r="A45" s="1416"/>
      <c r="B45" s="1416"/>
      <c r="C45" s="216"/>
      <c r="D45" s="216"/>
      <c r="E45" s="216"/>
      <c r="F45" s="216"/>
      <c r="G45" s="216"/>
      <c r="H45" s="2"/>
      <c r="I45" s="2"/>
      <c r="J45" s="9"/>
      <c r="K45" s="4"/>
      <c r="L45" s="4"/>
      <c r="M45" s="2"/>
      <c r="N45" s="216"/>
      <c r="O45" s="2"/>
      <c r="P45" s="216"/>
      <c r="Q45" s="216"/>
      <c r="R45" s="216"/>
      <c r="S45" s="3248"/>
      <c r="T45" s="3248"/>
      <c r="U45" s="3248"/>
      <c r="V45" s="3248"/>
    </row>
    <row r="46" spans="1:22" s="2242" customFormat="1" ht="18" customHeight="1">
      <c r="A46" s="1416"/>
      <c r="B46" s="1416"/>
      <c r="C46" s="216"/>
      <c r="D46" s="216"/>
      <c r="E46" s="216"/>
      <c r="F46" s="216"/>
      <c r="G46" s="216"/>
      <c r="H46" s="2"/>
      <c r="I46" s="2"/>
      <c r="J46" s="9"/>
      <c r="K46" s="4"/>
      <c r="L46" s="4"/>
      <c r="M46" s="2"/>
      <c r="N46" s="216"/>
      <c r="O46" s="2"/>
      <c r="P46" s="216"/>
      <c r="Q46" s="216"/>
      <c r="R46" s="216"/>
      <c r="S46" s="3248"/>
      <c r="T46" s="3248"/>
      <c r="U46" s="3248"/>
      <c r="V46" s="3248"/>
    </row>
    <row r="47" spans="1:22" s="2242" customFormat="1" ht="18" customHeight="1">
      <c r="A47" s="1416"/>
      <c r="B47" s="1416"/>
      <c r="C47" s="216"/>
      <c r="D47" s="216"/>
      <c r="E47" s="216"/>
      <c r="F47" s="216"/>
      <c r="G47" s="216"/>
      <c r="H47" s="2"/>
      <c r="I47" s="2"/>
      <c r="J47" s="9"/>
      <c r="K47" s="4"/>
      <c r="L47" s="4"/>
      <c r="M47" s="2"/>
      <c r="N47" s="216"/>
      <c r="O47" s="2"/>
      <c r="P47" s="216"/>
      <c r="Q47" s="216"/>
      <c r="R47" s="216"/>
      <c r="S47" s="3248"/>
      <c r="T47" s="3248"/>
      <c r="U47" s="3248"/>
      <c r="V47" s="3248"/>
    </row>
    <row r="48" spans="1:22" s="2242" customFormat="1" ht="18" customHeight="1">
      <c r="A48" s="1416"/>
      <c r="B48" s="1416"/>
      <c r="C48" s="216"/>
      <c r="D48" s="216"/>
      <c r="E48" s="216"/>
      <c r="F48" s="216"/>
      <c r="G48" s="216"/>
      <c r="H48" s="2"/>
      <c r="I48" s="2"/>
      <c r="J48" s="9"/>
      <c r="K48" s="4"/>
      <c r="L48" s="4"/>
      <c r="M48" s="2"/>
      <c r="N48" s="216"/>
      <c r="O48" s="2"/>
      <c r="P48" s="216"/>
      <c r="Q48" s="216"/>
      <c r="R48" s="216"/>
      <c r="S48" s="3248"/>
      <c r="T48" s="3248"/>
      <c r="U48" s="3248"/>
      <c r="V48" s="3248"/>
    </row>
    <row r="49" spans="1:22" s="2242" customFormat="1" ht="18" customHeight="1">
      <c r="A49" s="1416"/>
      <c r="B49" s="1416"/>
      <c r="C49" s="216"/>
      <c r="D49" s="216"/>
      <c r="E49" s="216"/>
      <c r="F49" s="216"/>
      <c r="G49" s="216"/>
      <c r="H49" s="2"/>
      <c r="I49" s="2"/>
      <c r="J49" s="9"/>
      <c r="K49" s="4"/>
      <c r="L49" s="4"/>
      <c r="M49" s="2"/>
      <c r="N49" s="216"/>
      <c r="O49" s="2"/>
      <c r="P49" s="216"/>
      <c r="Q49" s="216"/>
      <c r="R49" s="216"/>
      <c r="S49" s="3248"/>
      <c r="T49" s="3248"/>
      <c r="U49" s="3248"/>
      <c r="V49" s="3248"/>
    </row>
    <row r="50" spans="1:22" s="2242" customFormat="1" ht="18" customHeight="1">
      <c r="A50" s="1416"/>
      <c r="B50" s="1416"/>
      <c r="C50" s="216"/>
      <c r="D50" s="216"/>
      <c r="E50" s="216"/>
      <c r="F50" s="216"/>
      <c r="G50" s="216"/>
      <c r="H50" s="2"/>
      <c r="I50" s="2"/>
      <c r="J50" s="9"/>
      <c r="K50" s="4"/>
      <c r="L50" s="4"/>
      <c r="M50" s="2"/>
      <c r="N50" s="216"/>
      <c r="O50" s="2"/>
      <c r="P50" s="216"/>
      <c r="Q50" s="216"/>
      <c r="R50" s="216"/>
      <c r="S50" s="3248"/>
      <c r="T50" s="3248"/>
      <c r="U50" s="3248"/>
      <c r="V50" s="3248"/>
    </row>
    <row r="51" spans="1:22" s="2242" customFormat="1" ht="18" customHeight="1">
      <c r="A51" s="1416"/>
      <c r="B51" s="1416"/>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customWidth="1"/>
    <col min="16" max="16" width="9.75" style="1162" customWidth="1"/>
    <col min="17" max="17" width="9.375" style="1162" customWidth="1"/>
    <col min="18" max="18" width="9.25" style="1162" customWidth="1"/>
    <col min="19" max="19" width="10.875" style="1162" customWidth="1"/>
    <col min="20" max="21" width="10.75" style="1162" customWidth="1"/>
    <col min="22" max="22" width="10.875" style="1162" customWidth="1"/>
    <col min="23" max="27" width="10.75" style="1162" customWidth="1"/>
    <col min="28" max="28" width="10.875" style="1162" customWidth="1"/>
    <col min="29" max="29" width="11" style="1162" bestFit="1" customWidth="1"/>
    <col min="30" max="30" width="10" style="1162" bestFit="1" customWidth="1"/>
    <col min="31" max="31" width="9.75" style="1162" customWidth="1"/>
    <col min="32"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617</v>
      </c>
      <c r="B2" s="82" t="s">
        <v>618</v>
      </c>
      <c r="C2" s="82" t="s">
        <v>619</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1" t="s">
        <v>2412</v>
      </c>
      <c r="AZ2" s="2522" t="s">
        <v>2413</v>
      </c>
      <c r="BA2" s="2523" t="s">
        <v>2414</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v>1927.24</v>
      </c>
      <c r="B3" s="302">
        <f>IF(C3="否",G5-AT5,G5)</f>
        <v>7148.0899999999992</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4"/>
      <c r="AZ3" s="2525"/>
      <c r="BA3" s="2526"/>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620</v>
      </c>
      <c r="B5" s="220"/>
      <c r="C5" s="220"/>
      <c r="D5" s="218"/>
      <c r="E5" s="305" t="s">
        <v>23</v>
      </c>
      <c r="F5" s="305">
        <f>SUM(F13:F587)</f>
        <v>0</v>
      </c>
      <c r="G5" s="305">
        <f>SUM(G13:G587)</f>
        <v>7148.0899999999992</v>
      </c>
      <c r="H5" s="305">
        <f t="shared" ref="H5:AT5" si="0">SUM(H13:H656)</f>
        <v>7148.0899999999992</v>
      </c>
      <c r="I5" s="305">
        <f t="shared" si="0"/>
        <v>7148.0899999999992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7148.0899999999992</v>
      </c>
      <c r="BA5" s="307">
        <f t="shared" si="1"/>
        <v>7148.0899999999992</v>
      </c>
      <c r="BB5" s="307">
        <f t="shared" si="1"/>
        <v>7148.0899999999992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621</v>
      </c>
      <c r="B6" s="223"/>
      <c r="C6" s="223"/>
      <c r="D6" s="224"/>
      <c r="E6" s="305">
        <f>H6+AC6+AT6</f>
        <v>1927.24</v>
      </c>
      <c r="F6" s="305" t="s">
        <v>23</v>
      </c>
      <c r="G6" s="305" t="s">
        <v>25</v>
      </c>
      <c r="H6" s="309">
        <f>SUMIF(I$12:AB$12,"总值",I6:AB6)</f>
        <v>1927.24</v>
      </c>
      <c r="I6" s="305">
        <f t="shared" ref="I6:AB6" si="2">ROUND($A$3*I5/$B$3,2)</f>
        <v>1927.24</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1927.24</v>
      </c>
      <c r="AZ6" s="305" t="s">
        <v>29</v>
      </c>
      <c r="BA6" s="305">
        <f>ROUND($AY$6*BA5/$AZ$5,2)</f>
        <v>1927.24</v>
      </c>
      <c r="BB6" s="305">
        <f>ROUND($AY$6*BB5/$AZ$5,2)</f>
        <v>1927.24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636</v>
      </c>
      <c r="I9" s="244" t="s">
        <v>3239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3056</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3240</v>
      </c>
      <c r="J11" s="259"/>
      <c r="K11" s="258"/>
      <c r="L11" s="259"/>
      <c r="M11" s="258"/>
      <c r="N11" s="259"/>
      <c r="O11" s="258"/>
      <c r="P11" s="259"/>
      <c r="Q11" s="258"/>
      <c r="R11" s="259"/>
      <c r="S11" s="258"/>
      <c r="T11" s="259"/>
      <c r="U11" s="258"/>
      <c r="V11" s="259"/>
      <c r="W11" s="258"/>
      <c r="X11" s="259"/>
      <c r="Y11" s="258"/>
      <c r="Z11" s="259"/>
      <c r="AA11" s="258"/>
      <c r="AB11" s="259"/>
      <c r="AC11" s="240"/>
      <c r="AD11" s="2514" t="s">
        <v>2401</v>
      </c>
      <c r="AE11" s="2493"/>
      <c r="AF11" s="2514" t="s">
        <v>2401</v>
      </c>
      <c r="AG11" s="2493"/>
      <c r="AH11" s="2514" t="s">
        <v>2402</v>
      </c>
      <c r="AI11" s="2515"/>
      <c r="AJ11" s="2514" t="s">
        <v>2402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酒店</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t="s">
        <v>3241</v>
      </c>
      <c r="C13" s="3334" t="s">
        <v>3243</v>
      </c>
      <c r="D13" s="217" t="s">
        <v>3242</v>
      </c>
      <c r="E13" s="305">
        <f>IF($C$3="是",ROUND($A$3*G13/$B$3,2),ROUND($A$3*(G13-AT13)/$B$3,2))</f>
        <v>213.17</v>
      </c>
      <c r="F13" s="321"/>
      <c r="G13" s="322">
        <f>H13+AC13+AT13</f>
        <v>790.64</v>
      </c>
      <c r="H13" s="309">
        <f>SUMIF(I$12:AB$12,"总值",I13:AB13)</f>
        <v>790.64</v>
      </c>
      <c r="I13" s="1417">
        <v>790.64</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t="str">
        <f t="shared" si="6"/>
        <v>15号楼</v>
      </c>
      <c r="AX13" s="82" t="str">
        <f t="shared" si="6"/>
        <v>01</v>
      </c>
      <c r="AY13" s="304">
        <f>ROUND($AY$6*AZ13/$AZ$5,2)</f>
        <v>213.17</v>
      </c>
      <c r="AZ13" s="305">
        <f>BA13+BL13</f>
        <v>790.64</v>
      </c>
      <c r="BA13" s="305">
        <f>SUM(BB13:BK13)</f>
        <v>790.64</v>
      </c>
      <c r="BB13" s="305">
        <f>IF($D13="是",I13-J13,0)</f>
        <v>790.64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t="s">
        <v>3241</v>
      </c>
      <c r="C14" s="1416">
        <v>101</v>
      </c>
      <c r="D14" s="217" t="s">
        <v>3242</v>
      </c>
      <c r="E14" s="305">
        <f>IF($C$3="是",ROUND($A$3*G14/$B$3,2),ROUND($A$3*(G14-AT14)/$B$3,2))</f>
        <v>23.17</v>
      </c>
      <c r="F14" s="321"/>
      <c r="G14" s="322">
        <f>H14+AC14+AT14</f>
        <v>85.94</v>
      </c>
      <c r="H14" s="309">
        <f>SUMIF(I$12:AB$12,"总值",I14:AB14)</f>
        <v>85.94</v>
      </c>
      <c r="I14" s="1417">
        <v>85.94</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t="str">
        <f t="shared" si="6"/>
        <v>15号楼</v>
      </c>
      <c r="AX14" s="82">
        <f t="shared" si="6"/>
        <v>101</v>
      </c>
      <c r="AY14" s="304">
        <f>ROUND($AY$6*AZ14/$AZ$5,2)</f>
        <v>23.17</v>
      </c>
      <c r="AZ14" s="305">
        <f>BA14+BL14</f>
        <v>85.94</v>
      </c>
      <c r="BA14" s="305">
        <f>SUM(BB14:BK14)</f>
        <v>85.94</v>
      </c>
      <c r="BB14" s="305">
        <f>IF($D14="是",I14-J14,0)</f>
        <v>85.94</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t="s">
        <v>3241</v>
      </c>
      <c r="C15" s="1416">
        <v>103</v>
      </c>
      <c r="D15" s="217" t="s">
        <v>3242</v>
      </c>
      <c r="E15" s="305">
        <f>IF($C$3="是",ROUND($A$3*G15/$B$3,2),ROUND($A$3*(G15-AT15)/$B$3,2))</f>
        <v>7.85</v>
      </c>
      <c r="F15" s="321"/>
      <c r="G15" s="322">
        <f>H15+AC15+AT15</f>
        <v>29.11</v>
      </c>
      <c r="H15" s="309">
        <f>SUMIF(I$12:AB$12,"总值",I15:AB15)</f>
        <v>29.11</v>
      </c>
      <c r="I15" s="1417">
        <v>29.11</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t="str">
        <f t="shared" si="6"/>
        <v>15号楼</v>
      </c>
      <c r="AX15" s="82">
        <f t="shared" si="6"/>
        <v>103</v>
      </c>
      <c r="AY15" s="304">
        <f>ROUND($AY$6*AZ15/$AZ$5,2)</f>
        <v>7.85</v>
      </c>
      <c r="AZ15" s="305">
        <f>BA15+BL15</f>
        <v>29.11</v>
      </c>
      <c r="BA15" s="305">
        <f>SUM(BB15:BK15)</f>
        <v>29.11</v>
      </c>
      <c r="BB15" s="305">
        <f>IF($D15="是",I15-J15,0)</f>
        <v>29.11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4.25">
      <c r="A16" s="216"/>
      <c r="B16" s="216" t="s">
        <v>3241</v>
      </c>
      <c r="C16" s="1416">
        <v>202</v>
      </c>
      <c r="D16" s="217" t="s">
        <v>3242</v>
      </c>
      <c r="E16" s="305">
        <f>IF($C$3="是",ROUND($A$3*G16/$B$3,2),ROUND($A$3*(G16-AT16)/$B$3,2))</f>
        <v>183.11</v>
      </c>
      <c r="F16" s="321"/>
      <c r="G16" s="322">
        <f>H16+AC16+AT16</f>
        <v>679.15</v>
      </c>
      <c r="H16" s="309">
        <f>SUMIF(I$12:AB$12,"总值",I16:AB16)</f>
        <v>679.15</v>
      </c>
      <c r="I16" s="328">
        <v>679.15</v>
      </c>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t="str">
        <f t="shared" si="6"/>
        <v>15号楼</v>
      </c>
      <c r="AX16" s="82">
        <f t="shared" si="6"/>
        <v>202</v>
      </c>
      <c r="AY16" s="304">
        <f>ROUND($AY$6*AZ16/$AZ$5,2)</f>
        <v>183.11</v>
      </c>
      <c r="AZ16" s="305">
        <f>BA16+BL16</f>
        <v>679.15</v>
      </c>
      <c r="BA16" s="305">
        <f>SUM(BB16:BK16)</f>
        <v>679.15</v>
      </c>
      <c r="BB16" s="305">
        <f>IF($D16="是",I16-J16,0)</f>
        <v>679.15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t="s">
        <v>3241</v>
      </c>
      <c r="C17" s="1416">
        <v>302</v>
      </c>
      <c r="D17" s="217" t="s">
        <v>3242</v>
      </c>
      <c r="E17" s="305">
        <f>IF($C$3="是",ROUND($A$3*G17/$B$3,2),ROUND($A$3*(G17-AT17)/$B$3,2))</f>
        <v>325.75</v>
      </c>
      <c r="F17" s="321"/>
      <c r="G17" s="322">
        <f>H17+AC17+AT17</f>
        <v>1208.21</v>
      </c>
      <c r="H17" s="309">
        <f>SUMIF(I$12:AB$12,"总值",I17:AB17)</f>
        <v>1208.21</v>
      </c>
      <c r="I17" s="1417">
        <v>1208.21</v>
      </c>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t="str">
        <f t="shared" si="6"/>
        <v>15号楼</v>
      </c>
      <c r="AX17" s="82">
        <f t="shared" si="6"/>
        <v>302</v>
      </c>
      <c r="AY17" s="304">
        <f>ROUND($AY$6*AZ17/$AZ$5,2)</f>
        <v>325.75</v>
      </c>
      <c r="AZ17" s="305">
        <f>BA17+BL17</f>
        <v>1208.21</v>
      </c>
      <c r="BA17" s="305">
        <f>SUM(BB17:BK17)</f>
        <v>1208.21</v>
      </c>
      <c r="BB17" s="305">
        <f>IF($D17="是",I17-J17,0)</f>
        <v>1208.21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216" t="s">
        <v>3241</v>
      </c>
      <c r="C18" s="323">
        <v>401</v>
      </c>
      <c r="D18" s="217" t="s">
        <v>3242</v>
      </c>
      <c r="E18" s="324">
        <f t="shared" ref="E18:E112" si="7">IF($C$3="是",ROUND($A$3*G18/$B$3,2),ROUND($A$3*(G18-AT18)/$B$3,2))</f>
        <v>351.57</v>
      </c>
      <c r="F18" s="325"/>
      <c r="G18" s="326">
        <f t="shared" ref="G18:G109" si="8">H18+AC18+AT18</f>
        <v>1303.95</v>
      </c>
      <c r="H18" s="327">
        <f t="shared" ref="H18:H109" si="9">SUMIF(I$12:AB$12,"总值",I18:AB18)</f>
        <v>1303.95</v>
      </c>
      <c r="I18" s="328">
        <v>1303.95</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t="str">
        <f t="shared" ref="AW18:AW112" si="12">B18</f>
        <v>15号楼</v>
      </c>
      <c r="AX18" s="2213">
        <f t="shared" ref="AX18:AX112" si="13">C18</f>
        <v>401</v>
      </c>
      <c r="AY18" s="331">
        <f t="shared" ref="AY18:AY109" si="14">ROUND($AY$6*AZ18/$AZ$5,2)</f>
        <v>351.57</v>
      </c>
      <c r="AZ18" s="324">
        <f t="shared" ref="AZ18:AZ109" si="15">BA18+BL18</f>
        <v>1303.95</v>
      </c>
      <c r="BA18" s="324">
        <f t="shared" ref="BA18:BA109" si="16">SUM(BB18:BK18)</f>
        <v>1303.95</v>
      </c>
      <c r="BB18" s="324">
        <f t="shared" ref="BB18:BB109" si="17">IF($D18="是",I18-J18,0)</f>
        <v>1303.95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216" t="s">
        <v>3241</v>
      </c>
      <c r="C19" s="323">
        <v>501</v>
      </c>
      <c r="D19" s="217" t="s">
        <v>3242</v>
      </c>
      <c r="E19" s="324">
        <f t="shared" si="7"/>
        <v>351.57</v>
      </c>
      <c r="F19" s="325"/>
      <c r="G19" s="326">
        <f t="shared" si="8"/>
        <v>1303.95</v>
      </c>
      <c r="H19" s="327">
        <f t="shared" si="9"/>
        <v>1303.95</v>
      </c>
      <c r="I19" s="328">
        <v>1303.95</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t="str">
        <f t="shared" si="12"/>
        <v>15号楼</v>
      </c>
      <c r="AX19" s="2213">
        <f t="shared" si="13"/>
        <v>501</v>
      </c>
      <c r="AY19" s="331">
        <f t="shared" si="14"/>
        <v>351.57</v>
      </c>
      <c r="AZ19" s="324">
        <f t="shared" si="15"/>
        <v>1303.95</v>
      </c>
      <c r="BA19" s="324">
        <f t="shared" si="16"/>
        <v>1303.95</v>
      </c>
      <c r="BB19" s="324">
        <f t="shared" si="17"/>
        <v>1303.95</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216" t="s">
        <v>3241</v>
      </c>
      <c r="C20" s="323">
        <v>601</v>
      </c>
      <c r="D20" s="217" t="s">
        <v>3242</v>
      </c>
      <c r="E20" s="324">
        <f t="shared" si="7"/>
        <v>351.57</v>
      </c>
      <c r="F20" s="325"/>
      <c r="G20" s="326">
        <f t="shared" si="8"/>
        <v>1303.95</v>
      </c>
      <c r="H20" s="327">
        <f t="shared" si="9"/>
        <v>1303.95</v>
      </c>
      <c r="I20" s="328">
        <v>1303.95</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t="str">
        <f t="shared" si="12"/>
        <v>15号楼</v>
      </c>
      <c r="AX20" s="2213">
        <f t="shared" si="13"/>
        <v>601</v>
      </c>
      <c r="AY20" s="331">
        <f t="shared" si="14"/>
        <v>351.57</v>
      </c>
      <c r="AZ20" s="324">
        <f t="shared" si="15"/>
        <v>1303.95</v>
      </c>
      <c r="BA20" s="324">
        <f t="shared" si="16"/>
        <v>1303.95</v>
      </c>
      <c r="BB20" s="324">
        <f t="shared" si="17"/>
        <v>1303.95</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216" t="s">
        <v>3241</v>
      </c>
      <c r="C21" s="323">
        <v>701</v>
      </c>
      <c r="D21" s="217" t="s">
        <v>3242</v>
      </c>
      <c r="E21" s="324">
        <f t="shared" si="7"/>
        <v>119.49</v>
      </c>
      <c r="F21" s="325"/>
      <c r="G21" s="326">
        <f t="shared" si="8"/>
        <v>443.19</v>
      </c>
      <c r="H21" s="327">
        <f t="shared" si="9"/>
        <v>443.19</v>
      </c>
      <c r="I21" s="328">
        <v>443.19</v>
      </c>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3">
        <f t="shared" si="11"/>
        <v>0</v>
      </c>
      <c r="AW21" s="2213" t="str">
        <f t="shared" si="12"/>
        <v>15号楼</v>
      </c>
      <c r="AX21" s="2213">
        <f t="shared" si="13"/>
        <v>701</v>
      </c>
      <c r="AY21" s="331">
        <f t="shared" si="14"/>
        <v>119.49</v>
      </c>
      <c r="AZ21" s="324">
        <f t="shared" si="15"/>
        <v>443.19</v>
      </c>
      <c r="BA21" s="324">
        <f t="shared" si="16"/>
        <v>443.19</v>
      </c>
      <c r="BB21" s="324">
        <f t="shared" si="17"/>
        <v>443.19</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216"/>
      <c r="C22" s="323"/>
      <c r="D22" s="221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216"/>
      <c r="C23" s="323"/>
      <c r="D23" s="221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8" t="s">
        <v>2</v>
      </c>
      <c r="B1" s="3348" t="s">
        <v>37</v>
      </c>
      <c r="C1" s="3348" t="s">
        <v>38</v>
      </c>
      <c r="D1" s="3408" t="s">
        <v>200</v>
      </c>
      <c r="E1" s="3408" t="s">
        <v>201</v>
      </c>
      <c r="F1" s="3408"/>
      <c r="G1" s="3408"/>
      <c r="H1" s="3408"/>
      <c r="I1" s="3408"/>
      <c r="J1" s="3408"/>
      <c r="K1" s="3408"/>
      <c r="L1" s="3408"/>
      <c r="M1" s="3408"/>
    </row>
    <row r="2" spans="1:13" ht="27" customHeight="1">
      <c r="A2" s="3348"/>
      <c r="B2" s="3348"/>
      <c r="C2" s="3348"/>
      <c r="D2" s="3408"/>
      <c r="E2" s="3408" t="s">
        <v>184</v>
      </c>
      <c r="F2" s="3408" t="s">
        <v>185</v>
      </c>
      <c r="G2" s="3408"/>
      <c r="H2" s="3408"/>
      <c r="I2" s="3408"/>
      <c r="J2" s="3408" t="s">
        <v>186</v>
      </c>
      <c r="K2" s="3408"/>
      <c r="L2" s="3408"/>
      <c r="M2" s="3408"/>
    </row>
    <row r="3" spans="1:13" ht="28.5">
      <c r="A3" s="3348"/>
      <c r="B3" s="3348"/>
      <c r="C3" s="3348"/>
      <c r="D3" s="3408"/>
      <c r="E3" s="340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8" t="s">
        <v>202</v>
      </c>
      <c r="B9" s="3408"/>
      <c r="C9" s="340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644</v>
      </c>
      <c r="B1" s="2227"/>
      <c r="C1" s="2227"/>
      <c r="D1" s="2227"/>
      <c r="E1" s="2227"/>
      <c r="F1" s="2227"/>
      <c r="G1" s="2227"/>
      <c r="H1" s="2227"/>
      <c r="I1" s="2227"/>
      <c r="J1" s="2227"/>
      <c r="K1" s="2227"/>
      <c r="L1" s="2227"/>
      <c r="M1" s="2227"/>
      <c r="N1" s="2227"/>
      <c r="O1" s="2227"/>
      <c r="P1" s="2227"/>
    </row>
    <row r="2" spans="1:16">
      <c r="A2" s="3418" t="s">
        <v>645</v>
      </c>
      <c r="B2" s="3418"/>
      <c r="C2" s="3418"/>
      <c r="D2" s="2211" t="s">
        <v>646</v>
      </c>
      <c r="E2" s="19" t="s">
        <v>647</v>
      </c>
      <c r="F2" s="2227"/>
      <c r="G2" s="1179"/>
      <c r="H2" s="1180"/>
      <c r="I2" s="2219" t="s">
        <v>648</v>
      </c>
      <c r="J2" s="2227"/>
      <c r="K2" s="2227"/>
      <c r="L2" s="2227"/>
      <c r="M2" s="2227"/>
      <c r="N2" s="2236"/>
      <c r="O2" s="2227"/>
      <c r="P2" s="2227"/>
    </row>
    <row r="3" spans="1:16" ht="15.75" thickBot="1">
      <c r="A3" s="3419" t="s">
        <v>649</v>
      </c>
      <c r="B3" s="3419"/>
      <c r="C3" s="3419"/>
      <c r="D3" s="335">
        <f>'数据-基础表'!AY6</f>
        <v>1927.24</v>
      </c>
      <c r="E3" s="335">
        <f>'数据-基础表'!AZ5</f>
        <v>7148.0899999999992</v>
      </c>
      <c r="F3" s="2227"/>
      <c r="G3" s="442"/>
      <c r="H3" s="440" t="s">
        <v>650</v>
      </c>
      <c r="I3" s="344">
        <f>ROUND('数据-基础表'!B3/'数据-基础表'!A3,2)</f>
        <v>3.71</v>
      </c>
      <c r="J3" s="2227"/>
      <c r="K3" s="2227"/>
      <c r="L3" s="2227"/>
      <c r="M3" s="2227"/>
      <c r="N3" s="2236"/>
      <c r="O3" s="2227"/>
      <c r="P3" s="2227"/>
    </row>
    <row r="4" spans="1:16" ht="14.25">
      <c r="A4" s="3420"/>
      <c r="B4" s="3421"/>
      <c r="C4" s="3422"/>
      <c r="D4" s="20" t="s">
        <v>646</v>
      </c>
      <c r="E4" s="21" t="s">
        <v>647</v>
      </c>
      <c r="F4" s="2227"/>
      <c r="G4" s="1181" t="s">
        <v>1794</v>
      </c>
      <c r="H4" s="440" t="s">
        <v>651</v>
      </c>
      <c r="I4" s="344">
        <f>ROUND(SUMIF('数据-基础表'!I9:AS9,"地上",'数据-基础表'!I5:AS5)/'数据-基础表'!A3,2)</f>
        <v>3.71</v>
      </c>
      <c r="J4" s="2227"/>
      <c r="K4" s="2227"/>
      <c r="L4" s="2227"/>
      <c r="M4" s="2227"/>
      <c r="N4" s="2236"/>
      <c r="O4" s="2227"/>
      <c r="P4" s="2227"/>
    </row>
    <row r="5" spans="1:16" ht="14.25">
      <c r="A5" s="22" t="s">
        <v>652</v>
      </c>
      <c r="B5" s="3423" t="s">
        <v>653</v>
      </c>
      <c r="C5" s="3423"/>
      <c r="D5" s="337">
        <f>ROUND($D$3*E5/$E$3,2)</f>
        <v>0</v>
      </c>
      <c r="E5" s="338">
        <f>SUMIF('数据-基础表'!$11:$11,"住宅",'数据-基础表'!$5:$5)</f>
        <v>0</v>
      </c>
      <c r="F5" s="2227"/>
      <c r="G5" s="442"/>
      <c r="H5" s="440" t="s">
        <v>650</v>
      </c>
      <c r="I5" s="344">
        <f>ROUND(E31/D31,2)</f>
        <v>3.71</v>
      </c>
      <c r="J5" s="2227"/>
      <c r="K5" s="2227"/>
      <c r="L5" s="2227"/>
      <c r="M5" s="2227"/>
      <c r="N5" s="2227"/>
      <c r="O5" s="2227"/>
      <c r="P5" s="2227"/>
    </row>
    <row r="6" spans="1:16" ht="15" thickBot="1">
      <c r="A6" s="24"/>
      <c r="B6" s="3423" t="s">
        <v>654</v>
      </c>
      <c r="C6" s="3423"/>
      <c r="D6" s="337">
        <f>ROUND($D$3*E6/$E$3,2)</f>
        <v>1927.24</v>
      </c>
      <c r="E6" s="338">
        <f>E3-E5</f>
        <v>7148.0899999999992</v>
      </c>
      <c r="F6" s="2227"/>
      <c r="G6" s="1761" t="s">
        <v>1795</v>
      </c>
      <c r="H6" s="442" t="s">
        <v>651</v>
      </c>
      <c r="I6" s="1762">
        <f>ROUND(F31/D31,2)</f>
        <v>3.71</v>
      </c>
      <c r="J6" s="2227"/>
      <c r="K6" s="2227"/>
      <c r="L6" s="2227"/>
      <c r="M6" s="2227"/>
      <c r="N6" s="2227"/>
      <c r="O6" s="2227"/>
      <c r="P6" s="2227"/>
    </row>
    <row r="7" spans="1:16" ht="14.25">
      <c r="A7" s="3415"/>
      <c r="B7" s="3416"/>
      <c r="C7" s="3417"/>
      <c r="D7" s="20" t="s">
        <v>646</v>
      </c>
      <c r="E7" s="25" t="s">
        <v>647</v>
      </c>
      <c r="F7" s="2227"/>
      <c r="G7" s="1179" t="s">
        <v>1874</v>
      </c>
      <c r="H7" s="38"/>
      <c r="I7" s="763"/>
      <c r="J7" s="2227"/>
      <c r="K7" s="2227"/>
      <c r="L7" s="2227"/>
      <c r="M7" s="2227"/>
      <c r="N7" s="2227"/>
      <c r="O7" s="2227"/>
      <c r="P7" s="2227"/>
    </row>
    <row r="8" spans="1:16" ht="14.25">
      <c r="A8" s="22" t="s">
        <v>655</v>
      </c>
      <c r="B8" s="26" t="s">
        <v>656</v>
      </c>
      <c r="C8" s="23" t="s">
        <v>657</v>
      </c>
      <c r="D8" s="337">
        <f t="shared" ref="D8:D15" si="0">ROUND($D$3*E8/$E$3,2)</f>
        <v>1927.24</v>
      </c>
      <c r="E8" s="340">
        <f>SUMIF('数据-基础表'!BB10:BK10,"地上",'数据-基础表'!BB5:BK5)</f>
        <v>7148.0899999999992</v>
      </c>
      <c r="F8" s="2227"/>
      <c r="G8" s="2228"/>
      <c r="H8" s="2228"/>
      <c r="I8" s="2227"/>
      <c r="J8" s="2227"/>
      <c r="K8" s="2227"/>
      <c r="L8" s="2227"/>
      <c r="M8" s="2227"/>
      <c r="N8" s="2227"/>
      <c r="O8" s="2227"/>
      <c r="P8" s="2227"/>
    </row>
    <row r="9" spans="1:16" ht="14.25">
      <c r="A9" s="27"/>
      <c r="B9" s="28"/>
      <c r="C9" s="23" t="s">
        <v>658</v>
      </c>
      <c r="D9" s="337">
        <f t="shared" si="0"/>
        <v>0</v>
      </c>
      <c r="E9" s="341">
        <v>0</v>
      </c>
      <c r="F9" s="2227"/>
      <c r="G9" s="2228"/>
      <c r="H9" s="2228"/>
      <c r="I9" s="2227"/>
      <c r="J9" s="2227"/>
      <c r="K9" s="2227"/>
      <c r="L9" s="2227"/>
      <c r="M9" s="2227"/>
      <c r="N9" s="2227"/>
      <c r="O9" s="2227"/>
      <c r="P9" s="2227"/>
    </row>
    <row r="10" spans="1:16" ht="14.25">
      <c r="A10" s="27"/>
      <c r="B10" s="28"/>
      <c r="C10" s="23" t="s">
        <v>659</v>
      </c>
      <c r="D10" s="337">
        <f t="shared" si="0"/>
        <v>0</v>
      </c>
      <c r="E10" s="340">
        <f>SUMPRODUCT(('数据-基础表'!BB10:BK10="地下")*('数据-基础表'!BB11:BK11="商业")*('数据-基础表'!BB5:BK5))</f>
        <v>0</v>
      </c>
      <c r="F10" s="2227"/>
      <c r="G10" s="2228"/>
      <c r="H10" s="2228"/>
      <c r="I10" s="2227"/>
      <c r="J10" s="2227"/>
      <c r="K10" s="2227"/>
      <c r="L10" s="2227"/>
      <c r="M10" s="2227"/>
      <c r="N10" s="2227"/>
      <c r="O10" s="2227"/>
      <c r="P10" s="2227"/>
    </row>
    <row r="11" spans="1:16" ht="14.25">
      <c r="A11" s="27"/>
      <c r="B11" s="28"/>
      <c r="C11" s="23" t="s">
        <v>2403</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660</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661</v>
      </c>
      <c r="D13" s="337">
        <f t="shared" si="0"/>
        <v>0</v>
      </c>
      <c r="E13" s="340">
        <f>SUMPRODUCT(('数据-基础表'!BB10:BK10="地下")*('数据-基础表'!BB11:BK11="车库")*('数据-基础表'!BB5:BK5))</f>
        <v>0</v>
      </c>
      <c r="F13" s="2227"/>
      <c r="G13" s="2228"/>
      <c r="H13" s="2228"/>
      <c r="I13" s="2227"/>
      <c r="J13" s="2227"/>
      <c r="K13" s="2227"/>
      <c r="L13" s="2227"/>
      <c r="M13" s="2227"/>
      <c r="N13" s="2227"/>
      <c r="O13" s="2227"/>
      <c r="P13" s="2227"/>
    </row>
    <row r="14" spans="1:16" ht="14.25">
      <c r="A14" s="27"/>
      <c r="B14" s="28"/>
      <c r="C14" s="23" t="s">
        <v>662</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663</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664</v>
      </c>
      <c r="D16" s="339">
        <f>SUM(D8:D15)</f>
        <v>1927.24</v>
      </c>
      <c r="E16" s="342">
        <f>SUM(E8:E15)</f>
        <v>7148.0899999999992</v>
      </c>
      <c r="F16" s="2227"/>
      <c r="G16" s="2228"/>
      <c r="H16" s="1178" t="s">
        <v>535</v>
      </c>
      <c r="I16" s="1182"/>
      <c r="J16" s="2227"/>
      <c r="K16" s="3412" t="s">
        <v>535</v>
      </c>
      <c r="L16" s="3413"/>
      <c r="M16" s="3413"/>
      <c r="N16" s="3413"/>
      <c r="O16" s="3413"/>
      <c r="P16" s="3414"/>
    </row>
    <row r="17" spans="1:19" ht="14.25">
      <c r="A17" s="29" t="s">
        <v>665</v>
      </c>
      <c r="B17" s="30" t="s">
        <v>666</v>
      </c>
      <c r="C17" s="34" t="s">
        <v>2394</v>
      </c>
      <c r="D17" s="2077" t="s">
        <v>646</v>
      </c>
      <c r="E17" s="2075" t="s">
        <v>647</v>
      </c>
      <c r="F17" s="36"/>
      <c r="G17" s="37"/>
      <c r="H17" s="1183" t="s">
        <v>667</v>
      </c>
      <c r="I17" s="1184" t="s">
        <v>207</v>
      </c>
      <c r="J17" s="2227"/>
      <c r="K17" s="3409" t="s">
        <v>673</v>
      </c>
      <c r="L17" s="3410"/>
      <c r="M17" s="3411"/>
      <c r="N17" s="3409" t="s">
        <v>2695</v>
      </c>
      <c r="O17" s="3410"/>
      <c r="P17" s="3411"/>
      <c r="R17" s="2487" t="s">
        <v>2395</v>
      </c>
      <c r="S17" s="354"/>
    </row>
    <row r="18" spans="1:19">
      <c r="A18" s="27"/>
      <c r="B18" s="31"/>
      <c r="C18" s="35"/>
      <c r="D18" s="2078"/>
      <c r="E18" s="2076" t="s">
        <v>668</v>
      </c>
      <c r="F18" s="15" t="s">
        <v>669</v>
      </c>
      <c r="G18" s="16" t="s">
        <v>670</v>
      </c>
      <c r="H18" s="1185" t="s">
        <v>671</v>
      </c>
      <c r="I18" s="1186" t="s">
        <v>672</v>
      </c>
      <c r="J18" s="2227"/>
      <c r="K18" s="1185" t="s">
        <v>2688</v>
      </c>
      <c r="L18" s="6" t="s">
        <v>2696</v>
      </c>
      <c r="M18" s="2808" t="s">
        <v>2694</v>
      </c>
      <c r="N18" s="1185" t="s">
        <v>2688</v>
      </c>
      <c r="O18" s="6" t="s">
        <v>2696</v>
      </c>
      <c r="P18" s="2808" t="s">
        <v>2694</v>
      </c>
      <c r="R18" s="2488" t="s">
        <v>2396</v>
      </c>
      <c r="S18" s="2488" t="s">
        <v>2397</v>
      </c>
    </row>
    <row r="19" spans="1:19" ht="14.25">
      <c r="A19" s="32"/>
      <c r="B19" s="26" t="s">
        <v>119</v>
      </c>
      <c r="C19" s="1420" t="s">
        <v>3244</v>
      </c>
      <c r="D19" s="337">
        <f>ROUND($D$3*E19/$E$3,2)</f>
        <v>1927.24</v>
      </c>
      <c r="E19" s="345">
        <f t="shared" ref="E19:E26" si="1">SUM(F19:G19)</f>
        <v>7148.0899999999992</v>
      </c>
      <c r="F19" s="346">
        <f>'数据-基础表'!B3</f>
        <v>7148.0899999999992</v>
      </c>
      <c r="G19" s="347"/>
      <c r="H19" s="1132">
        <f>ROUND($D$3*I19/$E$3,2)</f>
        <v>0</v>
      </c>
      <c r="I19" s="340">
        <f t="shared" ref="I19:I26" si="2">IF($I$17="自定义",P19,M19)</f>
        <v>0</v>
      </c>
      <c r="J19" s="2227"/>
      <c r="K19" s="2809">
        <f t="shared" ref="K19:K26" si="3">ROUND(E$28*E19/E$27,2)</f>
        <v>0</v>
      </c>
      <c r="L19" s="2489">
        <f t="shared" ref="L19:L26" si="4">ROUND(IF(COUNTIF(C19,"*住宅*")&gt;0,E$29*E19/E$32,0),2)</f>
        <v>0</v>
      </c>
      <c r="M19" s="2827">
        <f>K19+L19</f>
        <v>0</v>
      </c>
      <c r="N19" s="2825"/>
      <c r="O19" s="2807"/>
      <c r="P19" s="2810">
        <f>N19+O19</f>
        <v>0</v>
      </c>
      <c r="R19" s="2489">
        <f t="shared" ref="R19:S26" si="5">D19+H19</f>
        <v>1927.24</v>
      </c>
      <c r="S19" s="2490">
        <f t="shared" si="5"/>
        <v>7148.0899999999992</v>
      </c>
    </row>
    <row r="20" spans="1:19" ht="14.25">
      <c r="A20" s="33"/>
      <c r="B20" s="26" t="s">
        <v>639</v>
      </c>
      <c r="C20" s="1420"/>
      <c r="D20" s="337">
        <f t="shared" ref="D20:D26" si="6">ROUND($D$3*E20/$E$3,2)</f>
        <v>0</v>
      </c>
      <c r="E20" s="345">
        <f t="shared" si="1"/>
        <v>0</v>
      </c>
      <c r="F20" s="346"/>
      <c r="G20" s="347"/>
      <c r="H20" s="1132">
        <f t="shared" ref="H20:H26" si="7">ROUND($D$3*I20/$E$3,2)</f>
        <v>0</v>
      </c>
      <c r="I20" s="340">
        <f t="shared" si="2"/>
        <v>0</v>
      </c>
      <c r="J20" s="2227"/>
      <c r="K20" s="2809">
        <f t="shared" si="3"/>
        <v>0</v>
      </c>
      <c r="L20" s="2489">
        <f t="shared" si="4"/>
        <v>0</v>
      </c>
      <c r="M20" s="2827">
        <f t="shared" ref="M20:M26" si="8">K20+L20</f>
        <v>0</v>
      </c>
      <c r="N20" s="2825"/>
      <c r="O20" s="2807"/>
      <c r="P20" s="2810">
        <f t="shared" ref="P20:P26" si="9">N20+O20</f>
        <v>0</v>
      </c>
      <c r="R20" s="2489">
        <f t="shared" si="5"/>
        <v>0</v>
      </c>
      <c r="S20" s="2490">
        <f t="shared" si="5"/>
        <v>0</v>
      </c>
    </row>
    <row r="21" spans="1:19" ht="14.25">
      <c r="A21" s="33"/>
      <c r="B21" s="26" t="s">
        <v>639</v>
      </c>
      <c r="C21" s="1420"/>
      <c r="D21" s="337">
        <f t="shared" si="6"/>
        <v>0</v>
      </c>
      <c r="E21" s="345">
        <f t="shared" si="1"/>
        <v>0</v>
      </c>
      <c r="F21" s="346"/>
      <c r="G21" s="347"/>
      <c r="H21" s="1132">
        <f t="shared" si="7"/>
        <v>0</v>
      </c>
      <c r="I21" s="340">
        <f t="shared" si="2"/>
        <v>0</v>
      </c>
      <c r="J21" s="2227"/>
      <c r="K21" s="2809">
        <f t="shared" si="3"/>
        <v>0</v>
      </c>
      <c r="L21" s="2489">
        <f t="shared" si="4"/>
        <v>0</v>
      </c>
      <c r="M21" s="2827">
        <f t="shared" si="8"/>
        <v>0</v>
      </c>
      <c r="N21" s="2825"/>
      <c r="O21" s="2807"/>
      <c r="P21" s="2810">
        <f t="shared" si="9"/>
        <v>0</v>
      </c>
      <c r="R21" s="2489">
        <f t="shared" si="5"/>
        <v>0</v>
      </c>
      <c r="S21" s="2490">
        <f t="shared" si="5"/>
        <v>0</v>
      </c>
    </row>
    <row r="22" spans="1:19" ht="14.25">
      <c r="A22" s="33"/>
      <c r="B22" s="26" t="s">
        <v>639</v>
      </c>
      <c r="C22" s="349"/>
      <c r="D22" s="337">
        <f t="shared" si="6"/>
        <v>0</v>
      </c>
      <c r="E22" s="345">
        <f t="shared" si="1"/>
        <v>0</v>
      </c>
      <c r="F22" s="350"/>
      <c r="G22" s="351"/>
      <c r="H22" s="1132">
        <f t="shared" si="7"/>
        <v>0</v>
      </c>
      <c r="I22" s="340">
        <f t="shared" si="2"/>
        <v>0</v>
      </c>
      <c r="J22" s="2227"/>
      <c r="K22" s="2809">
        <f t="shared" si="3"/>
        <v>0</v>
      </c>
      <c r="L22" s="2489">
        <f t="shared" si="4"/>
        <v>0</v>
      </c>
      <c r="M22" s="2827">
        <f t="shared" si="8"/>
        <v>0</v>
      </c>
      <c r="N22" s="2825"/>
      <c r="O22" s="2807"/>
      <c r="P22" s="2810">
        <f t="shared" si="9"/>
        <v>0</v>
      </c>
      <c r="R22" s="2489">
        <f t="shared" si="5"/>
        <v>0</v>
      </c>
      <c r="S22" s="2490">
        <f t="shared" si="5"/>
        <v>0</v>
      </c>
    </row>
    <row r="23" spans="1:19" ht="14.25">
      <c r="A23" s="33"/>
      <c r="B23" s="26" t="s">
        <v>639</v>
      </c>
      <c r="C23" s="349"/>
      <c r="D23" s="337">
        <f>ROUND($D$3*E23/$E$3,2)</f>
        <v>0</v>
      </c>
      <c r="E23" s="345">
        <f>SUM(F23:G23)</f>
        <v>0</v>
      </c>
      <c r="F23" s="350"/>
      <c r="G23" s="351"/>
      <c r="H23" s="1132">
        <f>ROUND($D$3*I23/$E$3,2)</f>
        <v>0</v>
      </c>
      <c r="I23" s="340">
        <f t="shared" si="2"/>
        <v>0</v>
      </c>
      <c r="J23" s="2227"/>
      <c r="K23" s="2809">
        <f t="shared" si="3"/>
        <v>0</v>
      </c>
      <c r="L23" s="2489">
        <f t="shared" si="4"/>
        <v>0</v>
      </c>
      <c r="M23" s="2827">
        <f t="shared" si="8"/>
        <v>0</v>
      </c>
      <c r="N23" s="2825"/>
      <c r="O23" s="2807"/>
      <c r="P23" s="2810">
        <f t="shared" si="9"/>
        <v>0</v>
      </c>
      <c r="R23" s="2489">
        <f t="shared" si="5"/>
        <v>0</v>
      </c>
      <c r="S23" s="2490">
        <f t="shared" si="5"/>
        <v>0</v>
      </c>
    </row>
    <row r="24" spans="1:19" ht="14.25">
      <c r="A24" s="33"/>
      <c r="B24" s="26" t="s">
        <v>639</v>
      </c>
      <c r="C24" s="349"/>
      <c r="D24" s="337">
        <f>ROUND($D$3*E24/$E$3,2)</f>
        <v>0</v>
      </c>
      <c r="E24" s="345">
        <f>SUM(F24:G24)</f>
        <v>0</v>
      </c>
      <c r="F24" s="350"/>
      <c r="G24" s="351"/>
      <c r="H24" s="1132">
        <f>ROUND($D$3*I24/$E$3,2)</f>
        <v>0</v>
      </c>
      <c r="I24" s="340">
        <f t="shared" si="2"/>
        <v>0</v>
      </c>
      <c r="J24" s="2227"/>
      <c r="K24" s="2809">
        <f t="shared" si="3"/>
        <v>0</v>
      </c>
      <c r="L24" s="2489">
        <f t="shared" si="4"/>
        <v>0</v>
      </c>
      <c r="M24" s="2827">
        <f t="shared" si="8"/>
        <v>0</v>
      </c>
      <c r="N24" s="2825"/>
      <c r="O24" s="2807"/>
      <c r="P24" s="2810">
        <f t="shared" si="9"/>
        <v>0</v>
      </c>
      <c r="R24" s="2489">
        <f t="shared" si="5"/>
        <v>0</v>
      </c>
      <c r="S24" s="2490">
        <f t="shared" si="5"/>
        <v>0</v>
      </c>
    </row>
    <row r="25" spans="1:19" ht="14.25">
      <c r="A25" s="33"/>
      <c r="B25" s="26" t="s">
        <v>639</v>
      </c>
      <c r="C25" s="349"/>
      <c r="D25" s="337">
        <f t="shared" si="6"/>
        <v>0</v>
      </c>
      <c r="E25" s="345">
        <f t="shared" si="1"/>
        <v>0</v>
      </c>
      <c r="F25" s="350"/>
      <c r="G25" s="351"/>
      <c r="H25" s="336">
        <f t="shared" si="7"/>
        <v>0</v>
      </c>
      <c r="I25" s="340">
        <f t="shared" si="2"/>
        <v>0</v>
      </c>
      <c r="J25" s="2227"/>
      <c r="K25" s="2809">
        <f t="shared" si="3"/>
        <v>0</v>
      </c>
      <c r="L25" s="2489">
        <f t="shared" si="4"/>
        <v>0</v>
      </c>
      <c r="M25" s="2827">
        <f t="shared" si="8"/>
        <v>0</v>
      </c>
      <c r="N25" s="2825"/>
      <c r="O25" s="2807"/>
      <c r="P25" s="2810">
        <f t="shared" si="9"/>
        <v>0</v>
      </c>
      <c r="R25" s="2489">
        <f t="shared" si="5"/>
        <v>0</v>
      </c>
      <c r="S25" s="2490">
        <f t="shared" si="5"/>
        <v>0</v>
      </c>
    </row>
    <row r="26" spans="1:19" ht="14.25">
      <c r="A26" s="33"/>
      <c r="B26" s="26" t="s">
        <v>639</v>
      </c>
      <c r="C26" s="353"/>
      <c r="D26" s="337">
        <f t="shared" si="6"/>
        <v>0</v>
      </c>
      <c r="E26" s="345">
        <f t="shared" si="1"/>
        <v>0</v>
      </c>
      <c r="F26" s="350"/>
      <c r="G26" s="351"/>
      <c r="H26" s="336">
        <f t="shared" si="7"/>
        <v>0</v>
      </c>
      <c r="I26" s="340">
        <f t="shared" si="2"/>
        <v>0</v>
      </c>
      <c r="J26" s="2227"/>
      <c r="K26" s="2818">
        <f t="shared" si="3"/>
        <v>0</v>
      </c>
      <c r="L26" s="2819">
        <f t="shared" si="4"/>
        <v>0</v>
      </c>
      <c r="M26" s="357">
        <f t="shared" si="8"/>
        <v>0</v>
      </c>
      <c r="N26" s="2826"/>
      <c r="O26" s="2820"/>
      <c r="P26" s="2821">
        <f t="shared" si="9"/>
        <v>0</v>
      </c>
      <c r="R26" s="2489">
        <f t="shared" si="5"/>
        <v>0</v>
      </c>
      <c r="S26" s="2490">
        <f t="shared" si="5"/>
        <v>0</v>
      </c>
    </row>
    <row r="27" spans="1:19" ht="15.75" thickBot="1">
      <c r="A27" s="33"/>
      <c r="B27" s="23"/>
      <c r="C27" s="2780" t="s">
        <v>640</v>
      </c>
      <c r="D27" s="2812">
        <f>SUM(D19:D26)</f>
        <v>1927.24</v>
      </c>
      <c r="E27" s="2813">
        <f>IF(SUM(E19:E26)='数据-基础表'!BA5,SUM(E19:E26),IF(F27="地上面积有误","面积有误","地下面积有误"))</f>
        <v>7148.0899999999992</v>
      </c>
      <c r="F27" s="2812">
        <f>IF(SUM(F19:F26)=E8,SUM(F19:F26),"地上面积有误")</f>
        <v>7148.0899999999992</v>
      </c>
      <c r="G27" s="2814">
        <f>SUM(G19:G26)</f>
        <v>0</v>
      </c>
      <c r="H27" s="2815">
        <f>SUM(H19:H26)</f>
        <v>0</v>
      </c>
      <c r="I27" s="2816">
        <f>SUM(I19:I26)</f>
        <v>0</v>
      </c>
      <c r="J27" s="2227"/>
      <c r="K27" s="2822">
        <f>SUM(K19:K26)</f>
        <v>0</v>
      </c>
      <c r="L27" s="2823">
        <f>SUM(L19:L26)</f>
        <v>0</v>
      </c>
      <c r="M27" s="2828">
        <f>SUM(M19:M26)</f>
        <v>0</v>
      </c>
      <c r="N27" s="2822">
        <f t="shared" ref="N27:O27" si="10">SUM(N19:N26)</f>
        <v>0</v>
      </c>
      <c r="O27" s="2823">
        <f t="shared" si="10"/>
        <v>0</v>
      </c>
      <c r="P27" s="2824">
        <f>SUM(P19:P26)</f>
        <v>0</v>
      </c>
      <c r="R27" s="2491">
        <f>IF(SUM(R19:R26)=$D$3,SUM(R19:R26),SUM(R19:R26)&amp;"误差"&amp;ROUND(SUM(R19:R26)-$D$3,2))</f>
        <v>1927.24</v>
      </c>
      <c r="S27" s="2489">
        <f>IF(SUM(S19:S26)=$E$3,SUM(S19:S26),SUM(S19:S26)&amp;"误差"&amp;ROUND(SUM(S19:S26)-E3,2))</f>
        <v>7148.0899999999992</v>
      </c>
    </row>
    <row r="28" spans="1:19" ht="14.25">
      <c r="A28" s="33"/>
      <c r="B28" s="26" t="s">
        <v>641</v>
      </c>
      <c r="C28" s="5" t="s">
        <v>642</v>
      </c>
      <c r="D28" s="337">
        <f>ROUND($D$3*E28/$E$3,2)</f>
        <v>0</v>
      </c>
      <c r="E28" s="345">
        <f>SUM(F28:G28)</f>
        <v>0</v>
      </c>
      <c r="F28" s="354">
        <f>'数据-基础表'!BQ5+'数据-基础表'!BS5</f>
        <v>0</v>
      </c>
      <c r="G28" s="355">
        <f>'数据-基础表'!BR5+'数据-基础表'!BT5</f>
        <v>0</v>
      </c>
      <c r="H28" s="2227"/>
      <c r="I28" s="2227"/>
      <c r="J28" s="2227"/>
      <c r="K28" s="2227"/>
      <c r="L28" s="2227"/>
      <c r="M28" s="2227"/>
      <c r="N28" s="2811"/>
      <c r="O28" s="2811"/>
      <c r="P28" s="2227"/>
    </row>
    <row r="29" spans="1:19" ht="14.25">
      <c r="A29" s="33"/>
      <c r="B29" s="26" t="s">
        <v>641</v>
      </c>
      <c r="C29" s="13" t="s">
        <v>2398</v>
      </c>
      <c r="D29" s="337">
        <f>ROUND($D$3*E29/$E$3,2)</f>
        <v>0</v>
      </c>
      <c r="E29" s="345">
        <f>SUM(F29:G29)</f>
        <v>0</v>
      </c>
      <c r="F29" s="356">
        <f>'数据-基础表'!BM5+'数据-基础表'!BO5</f>
        <v>0</v>
      </c>
      <c r="G29" s="357">
        <f>'数据-基础表'!BN5+'数据-基础表'!BP5</f>
        <v>0</v>
      </c>
      <c r="H29" s="2227"/>
      <c r="I29" s="2227"/>
      <c r="J29" s="2227"/>
      <c r="K29" s="2227"/>
      <c r="L29" s="2227"/>
      <c r="M29" s="2227"/>
      <c r="N29" s="2811"/>
      <c r="O29" s="2811"/>
      <c r="P29" s="2227"/>
    </row>
    <row r="30" spans="1:19" ht="15">
      <c r="A30" s="33"/>
      <c r="B30" s="26"/>
      <c r="C30" s="2817" t="s">
        <v>640</v>
      </c>
      <c r="D30" s="2812">
        <f>SUM(D28:D29)</f>
        <v>0</v>
      </c>
      <c r="E30" s="2812">
        <f>SUM(E28:E29)</f>
        <v>0</v>
      </c>
      <c r="F30" s="2812">
        <f>SUM(F28:F29)</f>
        <v>0</v>
      </c>
      <c r="G30" s="2814">
        <f>SUM(G28:G29)</f>
        <v>0</v>
      </c>
      <c r="H30" s="2227"/>
      <c r="I30" s="2227"/>
      <c r="J30" s="2227"/>
      <c r="K30" s="2227"/>
      <c r="L30" s="2227"/>
      <c r="M30" s="2227"/>
      <c r="N30" s="2811"/>
      <c r="O30" s="2811"/>
      <c r="P30" s="2227"/>
    </row>
    <row r="31" spans="1:19" ht="15.75" thickBot="1">
      <c r="A31" s="1187"/>
      <c r="B31" s="2528"/>
      <c r="C31" s="2529" t="s">
        <v>643</v>
      </c>
      <c r="D31" s="1188">
        <f>D27+D30</f>
        <v>1927.24</v>
      </c>
      <c r="E31" s="1188">
        <f>E27+E30</f>
        <v>7148.0899999999992</v>
      </c>
      <c r="F31" s="1189">
        <f>F27+F30</f>
        <v>7148.0899999999992</v>
      </c>
      <c r="G31" s="1190">
        <f>G27+G30</f>
        <v>0</v>
      </c>
      <c r="H31" s="2227"/>
      <c r="I31" s="2227"/>
      <c r="J31" s="2227"/>
      <c r="K31" s="2227"/>
      <c r="L31" s="2227"/>
      <c r="M31" s="2227"/>
      <c r="N31" s="2227"/>
      <c r="O31" s="2227"/>
      <c r="P31" s="2227"/>
    </row>
    <row r="32" spans="1:19" ht="14.25">
      <c r="A32" s="1181"/>
      <c r="B32" s="1181" t="s">
        <v>2709</v>
      </c>
      <c r="C32" s="1181"/>
      <c r="D32" s="1181"/>
      <c r="E32" s="2527">
        <f>SUMIF(C19:C26,"*住宅*",E19:E26)</f>
        <v>0</v>
      </c>
      <c r="F32" s="1181"/>
      <c r="G32" s="1181"/>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25" width="6.75" style="1193" customWidth="1"/>
    <col min="26" max="26" width="11" style="1193" customWidth="1"/>
    <col min="27" max="30" width="6.75" style="1193" customWidth="1"/>
    <col min="31" max="31" width="8" style="1193" customWidth="1"/>
    <col min="32" max="33" width="7.25" style="1193" customWidth="1"/>
    <col min="34" max="34" width="10.75" style="1193" customWidth="1"/>
    <col min="35" max="39" width="8" style="1193" customWidth="1"/>
    <col min="40" max="40" width="13.75" style="2240"/>
    <col min="41" max="41" width="11.625" style="2240" customWidth="1"/>
    <col min="42" max="42" width="9.75" style="2240" customWidth="1"/>
    <col min="43" max="67" width="13.75" style="2240"/>
    <col min="68" max="16384" width="13.75" style="1193"/>
  </cols>
  <sheetData>
    <row r="1" spans="1:67" ht="19.5" thickBot="1">
      <c r="A1" s="44" t="s">
        <v>674</v>
      </c>
      <c r="B1" s="1192"/>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5" customFormat="1" ht="15" thickBot="1">
      <c r="A2" s="45" t="s">
        <v>675</v>
      </c>
      <c r="B2" s="2518">
        <f>项目基本情况!D3</f>
        <v>42928</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5" customFormat="1" ht="14.25" thickBot="1">
      <c r="A3" s="1196"/>
      <c r="B3" s="1194"/>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5" customFormat="1" ht="14.25" thickBot="1">
      <c r="A4" s="46" t="s">
        <v>676</v>
      </c>
      <c r="B4" s="275"/>
      <c r="C4" s="276"/>
      <c r="D4" s="1197"/>
      <c r="E4" s="276" t="s">
        <v>538</v>
      </c>
      <c r="F4" s="276"/>
      <c r="G4" s="276"/>
      <c r="H4" s="276"/>
      <c r="I4" s="276"/>
      <c r="J4" s="277"/>
      <c r="K4" s="1198"/>
      <c r="L4" s="1199"/>
      <c r="M4" s="276"/>
      <c r="N4" s="276" t="s">
        <v>539</v>
      </c>
      <c r="O4" s="276"/>
      <c r="P4" s="276"/>
      <c r="Q4" s="276"/>
      <c r="R4" s="276"/>
      <c r="S4" s="277"/>
      <c r="T4" s="1200"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2" customFormat="1" ht="40.5">
      <c r="A5" s="47" t="s">
        <v>2400</v>
      </c>
      <c r="B5" s="48" t="s">
        <v>680</v>
      </c>
      <c r="C5" s="49" t="s">
        <v>681</v>
      </c>
      <c r="D5" s="50" t="s">
        <v>682</v>
      </c>
      <c r="E5" s="51" t="s">
        <v>683</v>
      </c>
      <c r="F5" s="52" t="s">
        <v>684</v>
      </c>
      <c r="G5" s="51" t="s">
        <v>685</v>
      </c>
      <c r="H5" s="51" t="s">
        <v>686</v>
      </c>
      <c r="I5" s="51" t="s">
        <v>687</v>
      </c>
      <c r="J5" s="53" t="s">
        <v>688</v>
      </c>
      <c r="K5" s="54" t="s">
        <v>689</v>
      </c>
      <c r="L5" s="55" t="s">
        <v>690</v>
      </c>
      <c r="M5" s="56" t="s">
        <v>691</v>
      </c>
      <c r="N5" s="1201" t="s">
        <v>80</v>
      </c>
      <c r="O5" s="55" t="s">
        <v>692</v>
      </c>
      <c r="P5" s="57" t="s">
        <v>693</v>
      </c>
      <c r="Q5" s="58" t="s">
        <v>694</v>
      </c>
      <c r="R5" s="273" t="s">
        <v>695</v>
      </c>
      <c r="S5" s="59" t="s">
        <v>2689</v>
      </c>
      <c r="T5" s="274" t="s">
        <v>696</v>
      </c>
      <c r="U5" s="2519" t="s">
        <v>2406</v>
      </c>
      <c r="V5" s="51" t="s">
        <v>697</v>
      </c>
      <c r="W5" s="2520" t="s">
        <v>2407</v>
      </c>
      <c r="X5" s="62"/>
      <c r="Y5" s="60" t="s">
        <v>698</v>
      </c>
      <c r="Z5" s="61" t="s">
        <v>699</v>
      </c>
      <c r="AA5" s="51" t="s">
        <v>697</v>
      </c>
      <c r="AB5" s="2520" t="s">
        <v>2407</v>
      </c>
      <c r="AC5" s="62"/>
      <c r="AD5" s="62" t="s">
        <v>698</v>
      </c>
      <c r="AE5" s="14" t="s">
        <v>540</v>
      </c>
      <c r="AF5" s="51" t="s">
        <v>700</v>
      </c>
      <c r="AG5" s="60" t="s">
        <v>701</v>
      </c>
      <c r="AH5" s="14" t="s">
        <v>2411</v>
      </c>
      <c r="AI5" s="61" t="s">
        <v>2327</v>
      </c>
      <c r="AJ5" s="61" t="s">
        <v>702</v>
      </c>
      <c r="AK5" s="2520" t="s">
        <v>2408</v>
      </c>
      <c r="AL5" s="2520" t="s">
        <v>2409</v>
      </c>
      <c r="AM5" s="360" t="s">
        <v>2410</v>
      </c>
      <c r="AN5" s="2577" t="s">
        <v>2450</v>
      </c>
      <c r="AO5" s="2014" t="s">
        <v>2680</v>
      </c>
      <c r="AP5" s="2896" t="s">
        <v>2690</v>
      </c>
      <c r="AQ5" s="2897" t="s">
        <v>2801</v>
      </c>
      <c r="AR5" s="2897" t="s">
        <v>2802</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5" customFormat="1" ht="14.25">
      <c r="A6" s="2517" t="str">
        <f>'数据-汇总表'!C19</f>
        <v>地上酒店</v>
      </c>
      <c r="B6" s="2495" t="str">
        <f>IF(A6=0,"","经营性")</f>
        <v>经营性</v>
      </c>
      <c r="C6" s="39" t="s">
        <v>3056</v>
      </c>
      <c r="D6" s="2058">
        <f>SUMIF(项目基本情况!D$12:I$12,C6,项目基本情况!D$14:I$14)</f>
        <v>40</v>
      </c>
      <c r="E6" s="2052">
        <f>IF(B6="","",SUMIF(项目基本情况!D$12:I$12,C6,项目基本情况!D$13:I$13))</f>
        <v>53911</v>
      </c>
      <c r="F6" s="362">
        <f>SUMIF(项目基本情况!D$12:I$12,C6,项目基本情况!D$15:I$15)</f>
        <v>30.09</v>
      </c>
      <c r="G6" s="363">
        <f>IF(ISERROR(ROUND(POWER(1+H6,D6-F6)*(POWER(1+H6,F6)-1)/(POWER(1+H6,D6)-1),3)),0,ROUND(POWER(1+H6,D6-F6)*(POWER(1+H6,F6)-1)/(POWER(1+H6,D6)-1),3))</f>
        <v>0.90700000000000003</v>
      </c>
      <c r="H6" s="1475">
        <v>5.5E-2</v>
      </c>
      <c r="I6" s="1475">
        <v>0.06</v>
      </c>
      <c r="J6" s="364">
        <v>8.5000000000000006E-2</v>
      </c>
      <c r="K6" s="2498">
        <f>SUMIF('数据-汇总表'!C$19:C$33,A6,'数据-汇总表'!E$19:E$33)</f>
        <v>7148.0899999999992</v>
      </c>
      <c r="L6" s="1476">
        <v>2000</v>
      </c>
      <c r="M6" s="365">
        <f t="shared" ref="M6:M14" si="0">ROUND(K6*L6/10000,0)</f>
        <v>1430</v>
      </c>
      <c r="N6" s="1474">
        <f>ROUND(1-(2017-1999)/60,2)</f>
        <v>0.7</v>
      </c>
      <c r="O6" s="365" t="str">
        <f>IF($N$5="成新度","——",ROUND(M6*N6,0))</f>
        <v>——</v>
      </c>
      <c r="P6" s="366" t="str">
        <f>IF($N$5="成新度","——",M6-O6)</f>
        <v>——</v>
      </c>
      <c r="Q6" s="1477">
        <v>0.25</v>
      </c>
      <c r="R6" s="367">
        <f ca="1">SUMIF('数据-汇总表'!C$19:C$33,A6,'数据-汇总表'!R$19:R$27)</f>
        <v>1927.24</v>
      </c>
      <c r="S6" s="343">
        <f>IF('数据-汇总表'!$I$17="按面积比例",SUMIF('数据-汇总表'!C$19:C$33,A6,'数据-汇总表'!K$19:K$33),SUMIF('数据-汇总表'!C$19:C$33,A6,'数据-汇总表'!N$19:N$33))</f>
        <v>0</v>
      </c>
      <c r="T6" s="2895">
        <f>ROUND($L$14*S6/10000,0)</f>
        <v>0</v>
      </c>
      <c r="U6" s="368">
        <f>2847524*2</f>
        <v>5695048</v>
      </c>
      <c r="V6" s="369">
        <v>0.01</v>
      </c>
      <c r="W6" s="369">
        <v>0</v>
      </c>
      <c r="X6" s="2508"/>
      <c r="Y6" s="370">
        <f>N6</f>
        <v>0.7</v>
      </c>
      <c r="Z6" s="371">
        <f>ROUND(U6*(1+V6)^AF6,0)</f>
        <v>5796238</v>
      </c>
      <c r="AA6" s="364">
        <v>0.01</v>
      </c>
      <c r="AB6" s="364">
        <v>0</v>
      </c>
      <c r="AC6" s="2508"/>
      <c r="AD6" s="372"/>
      <c r="AE6" s="2509">
        <f ca="1">IF(AN6="",0,SUMIF(INDIRECT("'"&amp;AN6&amp;"'"&amp;"!E:E"),$AE$5,INDIRECT("'"&amp;AN6&amp;"'"&amp;"!F:F")))</f>
        <v>30.09</v>
      </c>
      <c r="AF6" s="352">
        <f>Sheet2!L72</f>
        <v>1.77</v>
      </c>
      <c r="AG6" s="478">
        <f ca="1">IF(AF6="",0,AE6-AF6)</f>
        <v>28.32</v>
      </c>
      <c r="AH6" s="3724">
        <v>1</v>
      </c>
      <c r="AI6" s="375">
        <v>1</v>
      </c>
      <c r="AJ6" s="376"/>
      <c r="AK6" s="377">
        <v>1.4999999999999999E-2</v>
      </c>
      <c r="AL6" s="378">
        <v>1.5E-3</v>
      </c>
      <c r="AM6" s="379">
        <v>0.01</v>
      </c>
      <c r="AN6" s="2578" t="s">
        <v>3250</v>
      </c>
      <c r="AO6" s="344">
        <f ca="1">SUMIF(INDIRECT("'"&amp;AN6&amp;"'"&amp;"!A:A"),"总价",INDIRECT("'"&amp;AN6&amp;"'"&amp;"!B:B"))</f>
        <v>7374</v>
      </c>
      <c r="AP6" s="2898">
        <f>IF(C6="住宅",K6*L6,0)</f>
        <v>0</v>
      </c>
      <c r="AQ6" s="344">
        <f>ROUND($L$14*$N$14*S6/10000,0)</f>
        <v>0</v>
      </c>
      <c r="AR6" s="344">
        <f>ROUND($L$14*(1-$N$14)*S6/10000,0)</f>
        <v>0</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5" customFormat="1" ht="14.25">
      <c r="A7" s="2517">
        <f>'数据-汇总表'!C20</f>
        <v>0</v>
      </c>
      <c r="B7" s="2495" t="str">
        <f t="shared" ref="B7:B13" si="1">IF(A7=0,"","经营性")</f>
        <v/>
      </c>
      <c r="C7" s="39"/>
      <c r="D7" s="2058">
        <f>SUMIF(项目基本情况!D$12:I$12,C7,项目基本情况!D$14:I$14)</f>
        <v>0</v>
      </c>
      <c r="E7" s="2052"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5"/>
      <c r="I7" s="1475"/>
      <c r="J7" s="364"/>
      <c r="K7" s="2498">
        <f>SUMIF('数据-汇总表'!C$19:C$33,A7,'数据-汇总表'!E$19:E$33)</f>
        <v>0</v>
      </c>
      <c r="L7" s="1476"/>
      <c r="M7" s="365">
        <f t="shared" si="0"/>
        <v>0</v>
      </c>
      <c r="N7" s="1474"/>
      <c r="O7" s="365" t="str">
        <f t="shared" ref="O7:O14" si="3">IF($N$5="成新度","——",ROUND(M7*N7,0))</f>
        <v>——</v>
      </c>
      <c r="P7" s="366" t="str">
        <f t="shared" ref="P7:P14" si="4">IF($N$5="成新度","——",M7-O7)</f>
        <v>——</v>
      </c>
      <c r="Q7" s="1477"/>
      <c r="R7" s="367">
        <f ca="1">SUMIF('数据-汇总表'!C$19:C$33,A7,'数据-汇总表'!R$19:R$27)</f>
        <v>0</v>
      </c>
      <c r="S7" s="343">
        <f>IF('数据-汇总表'!$I$17="按面积比例",SUMIF('数据-汇总表'!C$19:C$33,A7,'数据-汇总表'!K$19:K$33),SUMIF('数据-汇总表'!C$19:C$33,A7,'数据-汇总表'!N$19:N$33))</f>
        <v>0</v>
      </c>
      <c r="T7" s="2895">
        <f t="shared" ref="T7:T13" si="5">ROUND($L$14*S7/10000,0)</f>
        <v>0</v>
      </c>
      <c r="U7" s="368"/>
      <c r="V7" s="369"/>
      <c r="W7" s="369"/>
      <c r="X7" s="2508"/>
      <c r="Y7" s="370"/>
      <c r="Z7" s="371"/>
      <c r="AA7" s="364"/>
      <c r="AB7" s="364"/>
      <c r="AC7" s="2508"/>
      <c r="AD7" s="372"/>
      <c r="AE7" s="2509">
        <f t="shared" ref="AE7:AE13" ca="1" si="6">IF(AN7="",0,SUMIF(INDIRECT("'"&amp;AN7&amp;"'"&amp;"!E:E"),$AE$5,INDIRECT("'"&amp;AN7&amp;"'"&amp;"!F:F")))</f>
        <v>0</v>
      </c>
      <c r="AF7" s="352"/>
      <c r="AG7" s="478">
        <f t="shared" ref="AG7:AG13" si="7">IF(AF7="",0,AE7-AF7)</f>
        <v>0</v>
      </c>
      <c r="AH7" s="373"/>
      <c r="AI7" s="375"/>
      <c r="AJ7" s="376"/>
      <c r="AK7" s="377"/>
      <c r="AL7" s="378"/>
      <c r="AM7" s="379"/>
      <c r="AN7" s="2578"/>
      <c r="AO7" s="344" t="e">
        <f t="shared" ref="AO7:AO13" ca="1" si="8">SUMIF(INDIRECT("'"&amp;AN7&amp;"'"&amp;"!A:A"),"总价",INDIRECT("'"&amp;AN7&amp;"'"&amp;"!B:B"))</f>
        <v>#REF!</v>
      </c>
      <c r="AP7" s="2898">
        <f t="shared" ref="AP7:AP13" si="9">IF(C7="住宅",K7*L7,0)</f>
        <v>0</v>
      </c>
      <c r="AQ7" s="344">
        <f t="shared" ref="AQ7:AQ13" si="10">ROUND($L$14*$N$14*S7/10000,0)</f>
        <v>0</v>
      </c>
      <c r="AR7" s="344">
        <f t="shared" ref="AR7:AR13" si="11">ROUND($L$14*(1-$N$14)*S7/10000,0)</f>
        <v>0</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5"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5"/>
      <c r="I8" s="1475"/>
      <c r="J8" s="364"/>
      <c r="K8" s="2498">
        <f>SUMIF('数据-汇总表'!C$19:C$33,A8,'数据-汇总表'!E$19:E$33)</f>
        <v>0</v>
      </c>
      <c r="L8" s="1476"/>
      <c r="M8" s="365">
        <f>ROUND(K8*L8/10000,0)</f>
        <v>0</v>
      </c>
      <c r="N8" s="1474"/>
      <c r="O8" s="365" t="str">
        <f t="shared" si="3"/>
        <v>——</v>
      </c>
      <c r="P8" s="366" t="str">
        <f t="shared" si="4"/>
        <v>——</v>
      </c>
      <c r="Q8" s="1477"/>
      <c r="R8" s="367">
        <f ca="1">SUMIF('数据-汇总表'!C$19:C$33,A8,'数据-汇总表'!R$19:R$27)</f>
        <v>0</v>
      </c>
      <c r="S8" s="343">
        <f>IF('数据-汇总表'!$I$17="按面积比例",SUMIF('数据-汇总表'!C$19:C$33,A8,'数据-汇总表'!K$19:K$33),SUMIF('数据-汇总表'!C$19:C$33,A8,'数据-汇总表'!N$19:N$33))</f>
        <v>0</v>
      </c>
      <c r="T8" s="2895">
        <f t="shared" si="5"/>
        <v>0</v>
      </c>
      <c r="U8" s="1478"/>
      <c r="V8" s="1479"/>
      <c r="W8" s="1479"/>
      <c r="X8" s="2508"/>
      <c r="Y8" s="1480"/>
      <c r="Z8" s="371"/>
      <c r="AA8" s="364"/>
      <c r="AB8" s="364"/>
      <c r="AC8" s="2508"/>
      <c r="AD8" s="372"/>
      <c r="AE8" s="2509">
        <f ca="1">IF(AN8="",0,SUMIF(INDIRECT("'"&amp;AN8&amp;"'"&amp;"!E:E"),$AE$5,INDIRECT("'"&amp;AN8&amp;"'"&amp;"!F:F")))</f>
        <v>0</v>
      </c>
      <c r="AF8" s="352"/>
      <c r="AG8" s="478">
        <f t="shared" si="7"/>
        <v>0</v>
      </c>
      <c r="AH8" s="1481"/>
      <c r="AI8" s="375"/>
      <c r="AJ8" s="376"/>
      <c r="AK8" s="1482"/>
      <c r="AL8" s="1483"/>
      <c r="AM8" s="1484"/>
      <c r="AN8" s="2578"/>
      <c r="AO8" s="344" t="e">
        <f t="shared" ca="1" si="8"/>
        <v>#REF!</v>
      </c>
      <c r="AP8" s="2898">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5"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6"/>
      <c r="M9" s="365">
        <f t="shared" si="0"/>
        <v>0</v>
      </c>
      <c r="N9" s="1474"/>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5">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8">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5"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6"/>
      <c r="M10" s="365">
        <f t="shared" si="0"/>
        <v>0</v>
      </c>
      <c r="N10" s="1474"/>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5">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8">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5"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5">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8">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5"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5">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8">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5"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5">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8">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5" customFormat="1" ht="14.25">
      <c r="A14" s="2492" t="s">
        <v>537</v>
      </c>
      <c r="B14" s="2495" t="s">
        <v>536</v>
      </c>
      <c r="C14" s="2496" t="s">
        <v>537</v>
      </c>
      <c r="D14" s="2058"/>
      <c r="E14" s="2052"/>
      <c r="F14" s="362"/>
      <c r="G14" s="363"/>
      <c r="H14" s="2497"/>
      <c r="I14" s="2497"/>
      <c r="J14" s="2497"/>
      <c r="K14" s="2498">
        <f>SUMIF('数据-汇总表'!C$19:C$33,A14,'数据-汇总表'!E$19:E$33)</f>
        <v>0</v>
      </c>
      <c r="L14" s="381"/>
      <c r="M14" s="365">
        <f t="shared" si="0"/>
        <v>0</v>
      </c>
      <c r="N14" s="382"/>
      <c r="O14" s="365" t="str">
        <f t="shared" si="3"/>
        <v>——</v>
      </c>
      <c r="P14" s="366" t="str">
        <f t="shared" si="4"/>
        <v>——</v>
      </c>
      <c r="Q14" s="2501"/>
      <c r="R14" s="367"/>
      <c r="S14" s="343"/>
      <c r="T14" s="2895"/>
      <c r="U14" s="1132"/>
      <c r="V14" s="2503"/>
      <c r="W14" s="2503"/>
      <c r="X14" s="2504"/>
      <c r="Y14" s="2505"/>
      <c r="Z14" s="2506"/>
      <c r="AA14" s="2507"/>
      <c r="AB14" s="2507"/>
      <c r="AC14" s="2508"/>
      <c r="AD14" s="2504"/>
      <c r="AE14" s="2509"/>
      <c r="AF14" s="344"/>
      <c r="AG14" s="478"/>
      <c r="AH14" s="2509"/>
      <c r="AI14" s="2513"/>
      <c r="AJ14" s="1321"/>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5" customFormat="1" ht="27">
      <c r="A15" s="2492" t="s">
        <v>2399</v>
      </c>
      <c r="B15" s="2495" t="s">
        <v>536</v>
      </c>
      <c r="C15" s="2496" t="s">
        <v>2102</v>
      </c>
      <c r="D15" s="2058"/>
      <c r="E15" s="2052"/>
      <c r="F15" s="362"/>
      <c r="G15" s="363"/>
      <c r="H15" s="2497"/>
      <c r="I15" s="2497"/>
      <c r="J15" s="2497"/>
      <c r="K15" s="2498">
        <f>SUMIF('数据-汇总表'!C$19:C$33,A15,'数据-汇总表'!E$19:E$33)</f>
        <v>0</v>
      </c>
      <c r="L15" s="2499"/>
      <c r="M15" s="365"/>
      <c r="N15" s="2500"/>
      <c r="O15" s="365"/>
      <c r="P15" s="366"/>
      <c r="Q15" s="2501"/>
      <c r="R15" s="367"/>
      <c r="S15" s="343"/>
      <c r="T15" s="2895"/>
      <c r="U15" s="1132"/>
      <c r="V15" s="2503"/>
      <c r="W15" s="2503"/>
      <c r="X15" s="2504"/>
      <c r="Y15" s="2505"/>
      <c r="Z15" s="2506"/>
      <c r="AA15" s="2507"/>
      <c r="AB15" s="2507"/>
      <c r="AC15" s="2508"/>
      <c r="AD15" s="2504"/>
      <c r="AE15" s="2509"/>
      <c r="AF15" s="344"/>
      <c r="AG15" s="478"/>
      <c r="AH15" s="2509"/>
      <c r="AI15" s="2513"/>
      <c r="AJ15" s="1321"/>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5" customFormat="1" ht="15.75" thickBot="1">
      <c r="A16" s="64" t="s">
        <v>4</v>
      </c>
      <c r="B16" s="65"/>
      <c r="C16" s="66"/>
      <c r="D16" s="67"/>
      <c r="E16" s="65"/>
      <c r="F16" s="387"/>
      <c r="G16" s="388">
        <f>ROUND(SUMPRODUCT(G6:G13,K6:K13)/SUMPRODUCT((G6:G13&gt;0)*(K6:K13)),3)</f>
        <v>0.90700000000000003</v>
      </c>
      <c r="H16" s="389">
        <f>ROUND(SUMPRODUCT(H6:H13,K6:K13)/SUMPRODUCT((H6:H13&gt;0)*(K6:K13)),3)</f>
        <v>5.5E-2</v>
      </c>
      <c r="I16" s="390"/>
      <c r="J16" s="390"/>
      <c r="K16" s="391">
        <f>SUM(K6:K15)</f>
        <v>7148.0899999999992</v>
      </c>
      <c r="L16" s="392">
        <f>ROUND(M16*10000/SUM(K6:K14),0)</f>
        <v>2001</v>
      </c>
      <c r="M16" s="392">
        <f>SUM(M6:M14)</f>
        <v>1430</v>
      </c>
      <c r="N16" s="393">
        <f>ROUND(SUMPRODUCT(M6:M14,N6:N14)/M16,3)</f>
        <v>0.7</v>
      </c>
      <c r="O16" s="392">
        <f>SUM(O6:O14)</f>
        <v>0</v>
      </c>
      <c r="P16" s="392">
        <f>SUM(P6:P14)</f>
        <v>0</v>
      </c>
      <c r="Q16" s="394">
        <f>ROUND(SUMPRODUCT(Q6:Q13,K6:K13)/SUMPRODUCT((Q6:Q13&gt;0)*(K6:K13)),2)</f>
        <v>0.25</v>
      </c>
      <c r="R16" s="2502">
        <f ca="1">SUM(R6:R13)</f>
        <v>1927.24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3"/>
      <c r="B17" s="1192"/>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4"/>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2415</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703</v>
      </c>
      <c r="B20" s="403">
        <v>1</v>
      </c>
      <c r="C20" s="2234" t="s">
        <v>2416</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704</v>
      </c>
      <c r="B21" s="403">
        <v>1</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705</v>
      </c>
      <c r="B22" s="404">
        <f>B19+B20</f>
        <v>1</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706</v>
      </c>
      <c r="B23" s="404">
        <f>B19+B21</f>
        <v>1</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707</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6"/>
      <c r="B25" s="1194"/>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708</v>
      </c>
      <c r="B26" s="72" t="s">
        <v>709</v>
      </c>
      <c r="C26" s="2237" t="s">
        <v>710</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4" customFormat="1" ht="27">
      <c r="A27" s="73" t="s">
        <v>711</v>
      </c>
      <c r="B27" s="406">
        <v>160</v>
      </c>
      <c r="C27" s="2530" t="s">
        <v>712</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4" customFormat="1" ht="27">
      <c r="A28" s="74" t="s">
        <v>713</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4" customFormat="1" ht="27.75" thickBot="1">
      <c r="A29" s="280" t="s">
        <v>2692</v>
      </c>
      <c r="B29" s="411">
        <f>ROUND(B28*K16/10000,0)</f>
        <v>143</v>
      </c>
      <c r="C29" s="2530" t="s">
        <v>2693</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4" customFormat="1" ht="27">
      <c r="A30" s="279" t="s">
        <v>714</v>
      </c>
      <c r="B30" s="1133">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4" customFormat="1" ht="27">
      <c r="A31" s="74" t="s">
        <v>715</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4" customFormat="1" ht="27.75" thickBot="1">
      <c r="A32" s="76" t="s">
        <v>716</v>
      </c>
      <c r="B32" s="1134">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4" customFormat="1" ht="13.5">
      <c r="A33" s="73" t="s">
        <v>717</v>
      </c>
      <c r="B33" s="1135">
        <v>0.03</v>
      </c>
      <c r="C33" s="3296" t="s">
        <v>3006</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4" customFormat="1" ht="13.5">
      <c r="A34" s="74" t="s">
        <v>718</v>
      </c>
      <c r="B34" s="412">
        <v>0</v>
      </c>
      <c r="C34" s="3296" t="s">
        <v>3007</v>
      </c>
      <c r="D34" s="2235" t="s">
        <v>719</v>
      </c>
      <c r="E34" s="1192"/>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4" customFormat="1" ht="13.5">
      <c r="A35" s="74" t="s">
        <v>720</v>
      </c>
      <c r="B35" s="409">
        <v>200</v>
      </c>
      <c r="C35" s="3296" t="s">
        <v>3008</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721</v>
      </c>
      <c r="B36" s="413">
        <v>1.4999999999999999E-2</v>
      </c>
      <c r="C36" s="3296" t="s">
        <v>3009</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722</v>
      </c>
      <c r="B37" s="414">
        <v>0.01</v>
      </c>
      <c r="C37" s="3296" t="s">
        <v>3010</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723</v>
      </c>
      <c r="B38" s="412">
        <v>0.01</v>
      </c>
      <c r="C38" s="3296" t="s">
        <v>3010</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2543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2619</v>
      </c>
      <c r="B40" s="2638">
        <f ca="1">存贷款利率!G1</f>
        <v>4.3499999999999997E-2</v>
      </c>
      <c r="C40" s="2532" t="s">
        <v>541</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724</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5" t="s">
        <v>725</v>
      </c>
      <c r="B42" s="416">
        <v>0.05</v>
      </c>
      <c r="C42" s="3318">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5" t="s">
        <v>726</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727</v>
      </c>
      <c r="B44" s="418">
        <v>7.0000000000000007E-2</v>
      </c>
      <c r="C44" s="3296" t="s">
        <v>3012</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728</v>
      </c>
      <c r="B45" s="416">
        <v>0.03</v>
      </c>
      <c r="C45" s="3297" t="s">
        <v>3011</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729</v>
      </c>
      <c r="B46" s="416">
        <v>0.02</v>
      </c>
      <c r="C46" s="3297" t="s">
        <v>3040</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730</v>
      </c>
      <c r="B47" s="419"/>
      <c r="C47" s="2530" t="s">
        <v>731</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732</v>
      </c>
      <c r="B48" s="420">
        <v>0.03</v>
      </c>
      <c r="C48" s="3316" t="s">
        <v>3041</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733</v>
      </c>
      <c r="B49" s="416">
        <v>5.0000000000000001E-4</v>
      </c>
      <c r="C49" s="3316" t="s">
        <v>3042</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734</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735</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736</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737</v>
      </c>
      <c r="B53" s="41" t="s">
        <v>1139</v>
      </c>
      <c r="C53" s="2236" t="s">
        <v>3013</v>
      </c>
      <c r="D53" s="2239" t="s">
        <v>3017</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v>30</v>
      </c>
      <c r="C54" s="2857">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v>24</v>
      </c>
      <c r="C55" s="2857">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v>18</v>
      </c>
      <c r="C56" s="2857">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7">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v>3</v>
      </c>
      <c r="C58" s="2857">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v>1.5</v>
      </c>
      <c r="C59" s="2857">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1179</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3014</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3015</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3016</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2"/>
      <c r="D64" s="2245"/>
      <c r="K64" s="2246"/>
      <c r="L64" s="2246"/>
    </row>
    <row r="65" spans="1:12" s="2244" customFormat="1">
      <c r="A65" s="1452"/>
      <c r="D65" s="2245"/>
      <c r="K65" s="2246"/>
      <c r="L65" s="2246"/>
    </row>
    <row r="66" spans="1:12" s="2244" customFormat="1">
      <c r="A66" s="1452"/>
      <c r="D66" s="2245"/>
      <c r="K66" s="2246"/>
      <c r="L66" s="2246"/>
    </row>
    <row r="67" spans="1:12" s="2244" customFormat="1">
      <c r="A67" s="1452"/>
      <c r="D67" s="2245"/>
      <c r="K67" s="2246"/>
      <c r="L67" s="2246"/>
    </row>
    <row r="68" spans="1:12" s="2244" customFormat="1">
      <c r="A68" s="1452"/>
      <c r="D68" s="2245"/>
      <c r="K68" s="2246"/>
      <c r="L68" s="2246"/>
    </row>
    <row r="69" spans="1:12" s="2244" customFormat="1">
      <c r="A69" s="1452"/>
      <c r="D69" s="2245"/>
      <c r="K69" s="2246"/>
      <c r="L69" s="2246"/>
    </row>
    <row r="70" spans="1:12" s="2244" customFormat="1">
      <c r="A70" s="1452"/>
      <c r="D70" s="2245"/>
      <c r="K70" s="2246"/>
      <c r="L70" s="2246"/>
    </row>
    <row r="71" spans="1:12" s="2244" customFormat="1">
      <c r="A71" s="1452"/>
      <c r="D71" s="2245"/>
      <c r="K71" s="2246"/>
      <c r="L71" s="2246"/>
    </row>
    <row r="72" spans="1:12" s="2244" customFormat="1">
      <c r="A72" s="1452"/>
      <c r="D72" s="2245"/>
      <c r="K72" s="2246"/>
      <c r="L72" s="2246"/>
    </row>
    <row r="73" spans="1:12" s="2244" customFormat="1">
      <c r="A73" s="1452"/>
      <c r="D73" s="2245"/>
      <c r="K73" s="2246"/>
      <c r="L73" s="2246"/>
    </row>
    <row r="74" spans="1:12" s="2244" customFormat="1">
      <c r="A74" s="1452"/>
      <c r="D74" s="2245"/>
      <c r="K74" s="2246"/>
      <c r="L74" s="2246"/>
    </row>
    <row r="75" spans="1:12" s="2244" customFormat="1">
      <c r="A75" s="1452"/>
      <c r="D75" s="2245"/>
      <c r="K75" s="2246"/>
      <c r="L75" s="2246"/>
    </row>
    <row r="76" spans="1:12" s="2244" customFormat="1">
      <c r="A76" s="1452"/>
      <c r="D76" s="2245"/>
      <c r="K76" s="2246"/>
      <c r="L76" s="2246"/>
    </row>
    <row r="77" spans="1:12" s="2244" customFormat="1">
      <c r="A77" s="1452"/>
      <c r="D77" s="2245"/>
      <c r="K77" s="2246"/>
      <c r="L77" s="2246"/>
    </row>
    <row r="78" spans="1:12" s="2244" customFormat="1">
      <c r="A78" s="1452"/>
      <c r="D78" s="2245"/>
      <c r="K78" s="2246"/>
      <c r="L78" s="2246"/>
    </row>
    <row r="79" spans="1:12" s="2244" customFormat="1">
      <c r="A79" s="1452"/>
      <c r="D79" s="2245"/>
      <c r="K79" s="2246"/>
      <c r="L79" s="2246"/>
    </row>
    <row r="80" spans="1:12" s="2244" customFormat="1">
      <c r="A80" s="1452"/>
      <c r="D80" s="2245"/>
      <c r="K80" s="2246"/>
      <c r="L80" s="2246"/>
    </row>
    <row r="81" spans="1:12" s="2244" customFormat="1">
      <c r="A81" s="1452"/>
      <c r="D81" s="2245"/>
      <c r="K81" s="2246"/>
      <c r="L81" s="2246"/>
    </row>
    <row r="82" spans="1:12" s="2244" customFormat="1">
      <c r="A82" s="1452"/>
      <c r="D82" s="2245"/>
      <c r="K82" s="2246"/>
      <c r="L82" s="2246"/>
    </row>
    <row r="83" spans="1:12" s="2244" customFormat="1">
      <c r="A83" s="1452"/>
      <c r="D83" s="2245"/>
      <c r="K83" s="2246"/>
      <c r="L83" s="2246"/>
    </row>
    <row r="84" spans="1:12" s="2244" customFormat="1">
      <c r="A84" s="1452"/>
      <c r="D84" s="2245"/>
      <c r="K84" s="2246"/>
      <c r="L84" s="2246"/>
    </row>
    <row r="85" spans="1:12" s="2244" customFormat="1">
      <c r="A85" s="1452"/>
      <c r="D85" s="2245"/>
      <c r="K85" s="2246"/>
      <c r="L85" s="2246"/>
    </row>
    <row r="86" spans="1:12" s="2244" customFormat="1">
      <c r="A86" s="1452"/>
      <c r="D86" s="2245"/>
      <c r="K86" s="2246"/>
      <c r="L86" s="2246"/>
    </row>
    <row r="87" spans="1:12" s="2244" customFormat="1">
      <c r="A87" s="1452"/>
      <c r="D87" s="2245"/>
      <c r="K87" s="2246"/>
      <c r="L87" s="2246"/>
    </row>
    <row r="88" spans="1:12" s="2244" customFormat="1">
      <c r="A88" s="1452"/>
      <c r="D88" s="2245"/>
      <c r="K88" s="2246"/>
      <c r="L88" s="2246"/>
    </row>
    <row r="89" spans="1:12" s="2244" customFormat="1">
      <c r="A89" s="1452"/>
      <c r="D89" s="2245"/>
      <c r="K89" s="2246"/>
      <c r="L89" s="2246"/>
    </row>
    <row r="90" spans="1:12" s="2244" customFormat="1">
      <c r="A90" s="1452"/>
      <c r="D90" s="2245"/>
      <c r="K90" s="2246"/>
      <c r="L90" s="2246"/>
    </row>
    <row r="91" spans="1:12" s="2244" customFormat="1">
      <c r="A91" s="1452"/>
      <c r="D91" s="2245"/>
      <c r="K91" s="2246"/>
      <c r="L91" s="2246"/>
    </row>
    <row r="92" spans="1:12" s="2244" customFormat="1">
      <c r="A92" s="1452"/>
      <c r="D92" s="2245"/>
      <c r="K92" s="2246"/>
      <c r="L92" s="2246"/>
    </row>
    <row r="93" spans="1:12" s="2244" customFormat="1">
      <c r="A93" s="1452"/>
      <c r="D93" s="2245"/>
      <c r="K93" s="2246"/>
      <c r="L93" s="2246"/>
    </row>
    <row r="94" spans="1:12" s="2244" customFormat="1">
      <c r="A94" s="1452"/>
      <c r="D94" s="2245"/>
      <c r="K94" s="2246"/>
      <c r="L94" s="2246"/>
    </row>
    <row r="95" spans="1:12" s="2244" customFormat="1">
      <c r="A95" s="1452"/>
      <c r="D95" s="2245"/>
      <c r="K95" s="2246"/>
      <c r="L95" s="2246"/>
    </row>
    <row r="96" spans="1:12" s="2244" customFormat="1">
      <c r="A96" s="1452"/>
      <c r="D96" s="2245"/>
      <c r="K96" s="2246"/>
      <c r="L96" s="2246"/>
    </row>
    <row r="97" spans="1:12" s="2244" customFormat="1">
      <c r="A97" s="1452"/>
      <c r="D97" s="2245"/>
      <c r="K97" s="2246"/>
      <c r="L97" s="2246"/>
    </row>
    <row r="98" spans="1:12" s="2244" customFormat="1">
      <c r="A98" s="1452"/>
      <c r="D98" s="2245"/>
      <c r="K98" s="2246"/>
      <c r="L98" s="2246"/>
    </row>
    <row r="99" spans="1:12" s="2244" customFormat="1">
      <c r="A99" s="1452"/>
      <c r="D99" s="2245"/>
      <c r="K99" s="2246"/>
      <c r="L99" s="2246"/>
    </row>
    <row r="100" spans="1:12" s="2244" customFormat="1">
      <c r="A100" s="1452"/>
      <c r="D100" s="2245"/>
      <c r="K100" s="2246"/>
      <c r="L100" s="2246"/>
    </row>
    <row r="101" spans="1:12" s="2244" customFormat="1">
      <c r="A101" s="1452"/>
      <c r="D101" s="2245"/>
      <c r="K101" s="2246"/>
      <c r="L101" s="2246"/>
    </row>
    <row r="102" spans="1:12" s="2244" customFormat="1">
      <c r="A102" s="1452"/>
      <c r="D102" s="2245"/>
      <c r="K102" s="2246"/>
      <c r="L102" s="2246"/>
    </row>
    <row r="103" spans="1:12" s="2244" customFormat="1">
      <c r="A103" s="1452"/>
      <c r="D103" s="2245"/>
      <c r="K103" s="2246"/>
      <c r="L103" s="2246"/>
    </row>
    <row r="104" spans="1:12" s="2244" customFormat="1">
      <c r="A104" s="1452"/>
      <c r="D104" s="2245"/>
      <c r="K104" s="2246"/>
      <c r="L104" s="2246"/>
    </row>
    <row r="105" spans="1:12" s="2244" customFormat="1">
      <c r="A105" s="1452"/>
      <c r="D105" s="2245"/>
      <c r="K105" s="2246"/>
      <c r="L105" s="2246"/>
    </row>
    <row r="106" spans="1:12" s="2244" customFormat="1">
      <c r="A106" s="1452"/>
      <c r="D106" s="2245"/>
      <c r="K106" s="2246"/>
      <c r="L106" s="2246"/>
    </row>
    <row r="107" spans="1:12" s="2244" customFormat="1">
      <c r="A107" s="1452"/>
      <c r="D107" s="2245"/>
      <c r="K107" s="2246"/>
      <c r="L107" s="2246"/>
    </row>
    <row r="108" spans="1:12" s="2244" customFormat="1">
      <c r="A108" s="1452"/>
      <c r="D108" s="2245"/>
      <c r="K108" s="2246"/>
      <c r="L108" s="2246"/>
    </row>
    <row r="109" spans="1:12" s="2244" customFormat="1">
      <c r="A109" s="1452"/>
      <c r="D109" s="2245"/>
      <c r="K109" s="2246"/>
      <c r="L109" s="2246"/>
    </row>
    <row r="110" spans="1:12" s="2244" customFormat="1">
      <c r="A110" s="1452"/>
      <c r="D110" s="2245"/>
      <c r="K110" s="2246"/>
      <c r="L110" s="2246"/>
    </row>
    <row r="111" spans="1:12" s="2244" customFormat="1">
      <c r="A111" s="1452"/>
      <c r="D111" s="2245"/>
      <c r="K111" s="2246"/>
      <c r="L111" s="2246"/>
    </row>
    <row r="112" spans="1:12" s="2244" customFormat="1">
      <c r="A112" s="1452"/>
      <c r="D112" s="2245"/>
      <c r="K112" s="2246"/>
      <c r="L112" s="2246"/>
    </row>
    <row r="113" spans="1:12" s="2244" customFormat="1">
      <c r="A113" s="1452"/>
      <c r="D113" s="2245"/>
      <c r="K113" s="2246"/>
      <c r="L113" s="2246"/>
    </row>
    <row r="114" spans="1:12" s="2244" customFormat="1">
      <c r="A114" s="1452"/>
      <c r="D114" s="2245"/>
      <c r="K114" s="2246"/>
      <c r="L114" s="2246"/>
    </row>
    <row r="115" spans="1:12" s="2244" customFormat="1">
      <c r="A115" s="1452"/>
      <c r="D115" s="2245"/>
      <c r="K115" s="2246"/>
      <c r="L115" s="2246"/>
    </row>
    <row r="116" spans="1:12" s="2244" customFormat="1">
      <c r="A116" s="1452"/>
      <c r="D116" s="2245"/>
      <c r="K116" s="2246"/>
      <c r="L116" s="2246"/>
    </row>
    <row r="117" spans="1:12" s="2244" customFormat="1">
      <c r="A117" s="1452"/>
      <c r="D117" s="2245"/>
      <c r="K117" s="2246"/>
      <c r="L117" s="2246"/>
    </row>
    <row r="118" spans="1:12" s="2244" customFormat="1">
      <c r="A118" s="1452"/>
      <c r="D118" s="2245"/>
      <c r="K118" s="2246"/>
      <c r="L118" s="2246"/>
    </row>
    <row r="119" spans="1:12" s="2244" customFormat="1">
      <c r="A119" s="1452"/>
      <c r="D119" s="2245"/>
      <c r="K119" s="2246"/>
      <c r="L119" s="2246"/>
    </row>
    <row r="120" spans="1:12" s="2244" customFormat="1">
      <c r="A120" s="1452"/>
      <c r="D120" s="2245"/>
      <c r="K120" s="2246"/>
      <c r="L120" s="2246"/>
    </row>
    <row r="121" spans="1:12" s="2244" customFormat="1">
      <c r="A121" s="1452"/>
      <c r="D121" s="2245"/>
      <c r="K121" s="2246"/>
      <c r="L121" s="2246"/>
    </row>
    <row r="122" spans="1:12" s="2244" customFormat="1">
      <c r="A122" s="1452"/>
      <c r="D122" s="2245"/>
      <c r="K122" s="2246"/>
      <c r="L122" s="2246"/>
    </row>
    <row r="123" spans="1:12" s="2244" customFormat="1">
      <c r="A123" s="1452"/>
      <c r="D123" s="2245"/>
      <c r="K123" s="2246"/>
      <c r="L123" s="2246"/>
    </row>
    <row r="124" spans="1:12" s="2244" customFormat="1">
      <c r="A124" s="1452"/>
      <c r="D124" s="2245"/>
      <c r="K124" s="2246"/>
      <c r="L124" s="2246"/>
    </row>
    <row r="125" spans="1:12" s="2244" customFormat="1">
      <c r="A125" s="1452"/>
      <c r="D125" s="2245"/>
      <c r="K125" s="2246"/>
      <c r="L125" s="2246"/>
    </row>
    <row r="126" spans="1:12" s="2244" customFormat="1">
      <c r="A126" s="1452"/>
      <c r="D126" s="2245"/>
      <c r="K126" s="2246"/>
      <c r="L126" s="2246"/>
    </row>
    <row r="127" spans="1:12" s="2244" customFormat="1">
      <c r="A127" s="1452"/>
      <c r="D127" s="2245"/>
      <c r="K127" s="2246"/>
      <c r="L127" s="2246"/>
    </row>
    <row r="128" spans="1:12" s="2244" customFormat="1">
      <c r="A128" s="1452"/>
      <c r="D128" s="2245"/>
      <c r="K128" s="2246"/>
      <c r="L128" s="2246"/>
    </row>
    <row r="129" spans="1:12" s="2244" customFormat="1">
      <c r="A129" s="1452"/>
      <c r="D129" s="2245"/>
      <c r="K129" s="2246"/>
      <c r="L129" s="2246"/>
    </row>
    <row r="130" spans="1:12" s="2244" customFormat="1">
      <c r="A130" s="1452"/>
      <c r="D130" s="2245"/>
      <c r="K130" s="2246"/>
      <c r="L130" s="2246"/>
    </row>
    <row r="131" spans="1:12" s="2244" customFormat="1">
      <c r="A131" s="1452"/>
      <c r="D131" s="2245"/>
      <c r="K131" s="2246"/>
      <c r="L131" s="2246"/>
    </row>
    <row r="132" spans="1:12" s="2244" customFormat="1">
      <c r="A132" s="1452"/>
      <c r="D132" s="2245"/>
      <c r="K132" s="2246"/>
      <c r="L132" s="2246"/>
    </row>
    <row r="133" spans="1:12" s="2244" customFormat="1">
      <c r="A133" s="1452"/>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24" t="s">
        <v>752</v>
      </c>
      <c r="B1" s="3425"/>
      <c r="C1" s="3425"/>
      <c r="D1" s="3425"/>
      <c r="E1" s="3425"/>
      <c r="F1" s="3425"/>
      <c r="G1" s="3425"/>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8"/>
      <c r="B2" s="1209"/>
      <c r="C2" s="1210" t="s">
        <v>753</v>
      </c>
      <c r="D2" s="1211"/>
      <c r="E2" s="1212"/>
      <c r="F2" s="1199"/>
      <c r="G2" s="1210" t="s">
        <v>754</v>
      </c>
      <c r="H2" s="2257"/>
      <c r="I2" s="2257"/>
      <c r="J2" s="2257"/>
      <c r="K2" s="2257"/>
      <c r="L2" s="2257"/>
      <c r="M2" s="2257"/>
      <c r="N2" s="2257"/>
      <c r="O2" s="2257"/>
      <c r="P2" s="2257"/>
      <c r="Q2" s="2257"/>
      <c r="R2" s="2257"/>
    </row>
    <row r="3" spans="1:29" ht="41.25" thickBot="1">
      <c r="A3" s="1020" t="s">
        <v>755</v>
      </c>
      <c r="B3" s="51" t="s">
        <v>52</v>
      </c>
      <c r="C3" s="3328"/>
      <c r="D3" s="2258"/>
      <c r="E3" s="1029" t="s">
        <v>755</v>
      </c>
      <c r="F3" s="1213" t="s">
        <v>99</v>
      </c>
      <c r="G3" s="3299" t="s">
        <v>3020</v>
      </c>
      <c r="H3" s="2257"/>
      <c r="I3" s="2257"/>
      <c r="J3" s="2257"/>
      <c r="K3" s="2257"/>
      <c r="L3" s="2257"/>
      <c r="M3" s="2257"/>
      <c r="N3" s="2257"/>
      <c r="O3" s="2257"/>
      <c r="P3" s="2257"/>
      <c r="Q3" s="2257"/>
      <c r="R3" s="2257"/>
    </row>
    <row r="4" spans="1:29" ht="68.25" thickBot="1">
      <c r="A4" s="1029"/>
      <c r="B4" s="2213" t="s">
        <v>756</v>
      </c>
      <c r="C4" s="3328" t="s">
        <v>3060</v>
      </c>
      <c r="D4" s="2258"/>
      <c r="E4" s="1214"/>
      <c r="F4" s="2217" t="s">
        <v>757</v>
      </c>
      <c r="G4" s="3298" t="s">
        <v>758</v>
      </c>
      <c r="H4" s="2257"/>
      <c r="I4" s="2257"/>
      <c r="J4" s="2257"/>
      <c r="K4" s="2257"/>
      <c r="L4" s="2257"/>
      <c r="M4" s="2257"/>
      <c r="N4" s="2257"/>
      <c r="O4" s="2257"/>
      <c r="P4" s="2257"/>
      <c r="Q4" s="2257"/>
      <c r="R4" s="2257"/>
    </row>
    <row r="5" spans="1:29" ht="27">
      <c r="A5" s="1029"/>
      <c r="B5" s="2213" t="s">
        <v>759</v>
      </c>
      <c r="C5" s="3328"/>
      <c r="D5" s="2258"/>
      <c r="E5" s="1214"/>
      <c r="F5" s="2746" t="s">
        <v>2635</v>
      </c>
      <c r="G5" s="3298" t="s">
        <v>2637</v>
      </c>
      <c r="H5" s="2257"/>
      <c r="I5" s="2257"/>
      <c r="J5" s="2257"/>
      <c r="K5" s="2257"/>
      <c r="L5" s="2257"/>
      <c r="M5" s="2257"/>
      <c r="N5" s="2257"/>
      <c r="O5" s="2257"/>
      <c r="P5" s="2257"/>
      <c r="Q5" s="2257"/>
      <c r="R5" s="2257"/>
    </row>
    <row r="6" spans="1:29" ht="81">
      <c r="A6" s="1029"/>
      <c r="B6" s="2213" t="s">
        <v>72</v>
      </c>
      <c r="C6" s="3329" t="s">
        <v>3061</v>
      </c>
      <c r="D6" s="2258"/>
      <c r="E6" s="1214"/>
      <c r="F6" s="2746" t="s">
        <v>2634</v>
      </c>
      <c r="G6" s="3298" t="s">
        <v>2636</v>
      </c>
      <c r="H6" s="2257"/>
      <c r="I6" s="2257"/>
      <c r="J6" s="2257"/>
      <c r="K6" s="2257"/>
      <c r="L6" s="2257"/>
      <c r="M6" s="2257"/>
      <c r="N6" s="2257"/>
      <c r="O6" s="2257"/>
      <c r="P6" s="2257"/>
      <c r="Q6" s="2257"/>
      <c r="R6" s="2257"/>
    </row>
    <row r="7" spans="1:29" ht="41.25" thickBot="1">
      <c r="A7" s="1029"/>
      <c r="B7" s="2213" t="s">
        <v>2635</v>
      </c>
      <c r="C7" s="3329" t="s">
        <v>3058</v>
      </c>
      <c r="D7" s="2259"/>
      <c r="E7" s="1215"/>
      <c r="F7" s="1216" t="s">
        <v>738</v>
      </c>
      <c r="G7" s="3300" t="s">
        <v>3021</v>
      </c>
      <c r="H7" s="2257"/>
      <c r="I7" s="2257"/>
      <c r="J7" s="2257"/>
      <c r="K7" s="2257"/>
      <c r="L7" s="2257"/>
      <c r="M7" s="2257"/>
      <c r="N7" s="2257"/>
      <c r="O7" s="2257"/>
      <c r="P7" s="2257"/>
      <c r="Q7" s="2257"/>
      <c r="R7" s="2257"/>
    </row>
    <row r="8" spans="1:29" ht="27">
      <c r="A8" s="1029"/>
      <c r="B8" s="2746" t="s">
        <v>2634</v>
      </c>
      <c r="C8" s="3329" t="s">
        <v>3059</v>
      </c>
      <c r="D8" s="2259"/>
      <c r="E8" s="2259"/>
      <c r="F8" s="2260"/>
      <c r="G8" s="2260"/>
      <c r="H8" s="2257"/>
      <c r="I8" s="2257"/>
      <c r="J8" s="2257"/>
      <c r="K8" s="2257"/>
      <c r="L8" s="2257"/>
      <c r="M8" s="2257"/>
      <c r="N8" s="2257"/>
      <c r="O8" s="2257"/>
      <c r="P8" s="2257"/>
      <c r="Q8" s="2257"/>
      <c r="R8" s="2257"/>
    </row>
    <row r="9" spans="1:29" ht="54">
      <c r="A9" s="1029"/>
      <c r="B9" s="2213" t="s">
        <v>73</v>
      </c>
      <c r="C9" s="3330" t="s">
        <v>3194</v>
      </c>
      <c r="D9" s="2258"/>
      <c r="E9" s="2259"/>
      <c r="F9" s="2260"/>
      <c r="G9" s="2260"/>
      <c r="H9" s="2257"/>
      <c r="I9" s="2257"/>
      <c r="J9" s="2257"/>
      <c r="K9" s="2257"/>
      <c r="L9" s="2257"/>
      <c r="M9" s="2257"/>
      <c r="N9" s="2257"/>
      <c r="O9" s="2257"/>
      <c r="P9" s="2257"/>
      <c r="Q9" s="2257"/>
      <c r="R9" s="2257"/>
    </row>
    <row r="10" spans="1:29" s="40" customFormat="1" ht="14.25" thickBot="1">
      <c r="A10" s="1218"/>
      <c r="B10" s="1219" t="s">
        <v>739</v>
      </c>
      <c r="C10" s="3331" t="s">
        <v>3062</v>
      </c>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7"/>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7"/>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740</v>
      </c>
      <c r="B13" s="2744"/>
      <c r="C13" s="2744"/>
      <c r="D13" s="2256"/>
      <c r="E13" s="2744"/>
      <c r="F13" s="2744"/>
      <c r="G13" s="2744"/>
    </row>
    <row r="14" spans="1:29" ht="14.25" thickBot="1">
      <c r="A14" s="1220"/>
      <c r="B14" s="1221"/>
      <c r="C14" s="1222" t="s">
        <v>741</v>
      </c>
      <c r="D14" s="2258"/>
      <c r="E14" s="1223"/>
      <c r="F14" s="1223"/>
      <c r="G14" s="1210" t="s">
        <v>742</v>
      </c>
    </row>
    <row r="15" spans="1:29" ht="40.5">
      <c r="A15" s="46" t="s">
        <v>743</v>
      </c>
      <c r="B15" s="14" t="s">
        <v>52</v>
      </c>
      <c r="C15" s="1224">
        <f>C3</f>
        <v>0</v>
      </c>
      <c r="D15" s="2258"/>
      <c r="E15" s="2759" t="s">
        <v>744</v>
      </c>
      <c r="F15" s="14" t="s">
        <v>745</v>
      </c>
      <c r="G15" s="1022" t="str">
        <f>G3</f>
        <v>估价对象位于XX开发区，园区建设成熟度XX，产业集聚程度XX</v>
      </c>
    </row>
    <row r="16" spans="1:29" ht="67.5">
      <c r="A16" s="2762"/>
      <c r="B16" s="1225" t="s">
        <v>746</v>
      </c>
      <c r="C16" s="1226" t="str">
        <f>C4</f>
        <v>估价对象周边商业用地一般，周边有上品折扣、世纪联华超市等，商业规模一般，综合评价商业繁华度一般</v>
      </c>
      <c r="D16" s="2258"/>
      <c r="E16" s="2760"/>
      <c r="F16" s="1227" t="s">
        <v>747</v>
      </c>
      <c r="G16" s="1024" t="str">
        <f>G4</f>
        <v>估价对象周边道路状况、公共交通通达情况、停车便捷程度，综合评价交通便捷度较好</v>
      </c>
    </row>
    <row r="17" spans="1:18">
      <c r="A17" s="2762"/>
      <c r="B17" s="1225" t="s">
        <v>748</v>
      </c>
      <c r="C17" s="1226">
        <f>C5</f>
        <v>0</v>
      </c>
      <c r="D17" s="2259"/>
      <c r="E17" s="2760"/>
      <c r="F17" s="1227" t="s">
        <v>749</v>
      </c>
      <c r="G17" s="271"/>
    </row>
    <row r="18" spans="1:18" ht="81">
      <c r="A18" s="2762"/>
      <c r="B18" s="1227" t="s">
        <v>72</v>
      </c>
      <c r="C18" s="1024" t="str">
        <f>C6</f>
        <v>估价对象周边有308、335等公交线路及地铁1号线，公共交通通达情况较好；项目自身有停车位、停车便捷程度较好，综合评价交通便捷度较好</v>
      </c>
      <c r="D18" s="2259"/>
      <c r="E18" s="2760"/>
      <c r="F18" s="1227" t="s">
        <v>738</v>
      </c>
      <c r="G18" s="1024" t="str">
        <f>G7</f>
        <v>该园区内是否有污染型企业，绿化情况，卫生条件，整体环境状况判断</v>
      </c>
    </row>
    <row r="19" spans="1:18" ht="27">
      <c r="A19" s="2762"/>
      <c r="B19" s="1227" t="s">
        <v>91</v>
      </c>
      <c r="C19" s="271"/>
      <c r="D19" s="2258"/>
      <c r="E19" s="2760"/>
      <c r="F19" s="2746" t="s">
        <v>2635</v>
      </c>
      <c r="G19" s="1024" t="str">
        <f>G5</f>
        <v>估价对象所在区域公共配套设施齐备情况</v>
      </c>
    </row>
    <row r="20" spans="1:18" ht="54">
      <c r="A20" s="2762"/>
      <c r="B20" s="1227" t="s">
        <v>90</v>
      </c>
      <c r="C20" s="1226" t="str">
        <f>C9</f>
        <v>区域自然环境：五棵松公园等；人文环境：国家开发大学五棵松校区；综合评价环境状况较好</v>
      </c>
      <c r="D20" s="2259"/>
      <c r="E20" s="2760"/>
      <c r="F20" s="2746" t="s">
        <v>2634</v>
      </c>
      <c r="G20" s="1024" t="str">
        <f>G6</f>
        <v>估价对象所在区域基础设施水平</v>
      </c>
    </row>
    <row r="21" spans="1:18" ht="27">
      <c r="A21" s="2762"/>
      <c r="B21" s="2746" t="s">
        <v>2635</v>
      </c>
      <c r="C21" s="1024" t="str">
        <f>C7</f>
        <v>估价对象所在区域公共配套设施齐备度较好</v>
      </c>
      <c r="D21" s="2258"/>
      <c r="E21" s="2760"/>
      <c r="F21" s="1227" t="s">
        <v>89</v>
      </c>
      <c r="G21" s="283"/>
    </row>
    <row r="22" spans="1:18" ht="13.5" customHeight="1">
      <c r="A22" s="2762"/>
      <c r="B22" s="2746" t="s">
        <v>2634</v>
      </c>
      <c r="C22" s="1024" t="str">
        <f>C8</f>
        <v>估价对象所在区域基础设施水平七通一平</v>
      </c>
      <c r="D22" s="2258"/>
      <c r="E22" s="2760"/>
      <c r="F22" s="1227" t="s">
        <v>750</v>
      </c>
      <c r="G22" s="271"/>
    </row>
    <row r="23" spans="1:18" s="2257" customFormat="1" ht="14.25" thickBot="1">
      <c r="A23" s="2762"/>
      <c r="B23" s="1227" t="s">
        <v>89</v>
      </c>
      <c r="C23" s="283" t="s">
        <v>3057</v>
      </c>
      <c r="D23" s="2270"/>
      <c r="E23" s="2761"/>
      <c r="F23" s="1228" t="s">
        <v>751</v>
      </c>
      <c r="G23" s="284"/>
      <c r="H23" s="2270"/>
      <c r="I23" s="2271"/>
      <c r="J23" s="2270"/>
      <c r="K23" s="2270"/>
      <c r="L23" s="2271"/>
      <c r="M23" s="2270"/>
      <c r="N23" s="2270"/>
      <c r="O23" s="2271"/>
      <c r="P23" s="2270"/>
      <c r="Q23" s="2270"/>
      <c r="R23" s="2272"/>
    </row>
    <row r="24" spans="1:18" s="2257" customFormat="1" ht="14.25" thickBot="1">
      <c r="A24" s="2763"/>
      <c r="B24" s="1228" t="s">
        <v>88</v>
      </c>
      <c r="C24" s="1229" t="str">
        <f>C10</f>
        <v>城市支路——沙窝中路</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7" customWidth="1"/>
    <col min="2" max="9" width="15.75" style="3257" customWidth="1"/>
    <col min="10" max="16384" width="9" style="3257"/>
  </cols>
  <sheetData>
    <row r="1" spans="1:10" ht="16.5">
      <c r="A1" s="3262" t="s">
        <v>2989</v>
      </c>
      <c r="B1" s="3262">
        <f>SUM(B14:B23)</f>
        <v>7148.0899999999992</v>
      </c>
      <c r="C1" s="3261"/>
      <c r="D1" s="3261"/>
      <c r="E1" s="3261"/>
      <c r="F1" s="3261"/>
      <c r="G1" s="3259"/>
    </row>
    <row r="2" spans="1:10" ht="16.5">
      <c r="A2" s="3262" t="s">
        <v>2977</v>
      </c>
      <c r="B2" s="3262">
        <f>SUM(C14:C23)</f>
        <v>1927.24</v>
      </c>
      <c r="C2" s="3261"/>
      <c r="D2" s="3261"/>
      <c r="E2" s="3261"/>
      <c r="F2" s="3261"/>
      <c r="G2" s="3259"/>
    </row>
    <row r="3" spans="1:10" ht="16.5">
      <c r="A3" s="3262" t="s">
        <v>2986</v>
      </c>
      <c r="B3" s="3263">
        <f>项目基本情况!D3</f>
        <v>42928</v>
      </c>
      <c r="C3" s="3261"/>
      <c r="D3" s="3261"/>
      <c r="E3" s="3261"/>
      <c r="F3" s="3261"/>
      <c r="G3" s="3259"/>
    </row>
    <row r="4" spans="1:10" ht="33">
      <c r="A4" s="3262" t="s">
        <v>2985</v>
      </c>
      <c r="B4" s="3262" t="s">
        <v>2984</v>
      </c>
      <c r="C4" s="3262" t="s">
        <v>2983</v>
      </c>
      <c r="D4" s="3262" t="s">
        <v>2982</v>
      </c>
      <c r="E4" s="3261"/>
      <c r="F4" s="3259"/>
      <c r="G4" s="3259"/>
    </row>
    <row r="5" spans="1:10" ht="16.5">
      <c r="A5" s="3262" t="s">
        <v>2981</v>
      </c>
      <c r="B5" s="3262">
        <f ca="1">SUM(D14:D23)</f>
        <v>17005</v>
      </c>
      <c r="C5" s="3262">
        <f ca="1">ROUND(B5*10000/$B$1,0)</f>
        <v>23790</v>
      </c>
      <c r="D5" s="3262">
        <f ca="1">ROUND(B5*10000/$B$2,0)</f>
        <v>88235</v>
      </c>
      <c r="E5" s="3261"/>
      <c r="F5" s="3259"/>
      <c r="G5" s="3259"/>
    </row>
    <row r="6" spans="1:10" ht="16.5">
      <c r="A6" s="3262" t="s">
        <v>2980</v>
      </c>
      <c r="B6" s="3262">
        <f ca="1">SUM(G14:G23)</f>
        <v>17005</v>
      </c>
      <c r="C6" s="3262">
        <f ca="1">ROUND(B6*10000/$B$1,0)</f>
        <v>23790</v>
      </c>
      <c r="D6" s="3262">
        <f ca="1">ROUND(B6*10000/$B$2,0)</f>
        <v>88235</v>
      </c>
      <c r="E6" s="3261"/>
      <c r="F6" s="3259"/>
      <c r="G6" s="3259"/>
    </row>
    <row r="7" spans="1:10" ht="16.5">
      <c r="A7" s="3262" t="s">
        <v>2988</v>
      </c>
      <c r="B7" s="3262">
        <f>SUM(H14:H23)</f>
        <v>0</v>
      </c>
      <c r="C7" s="3262">
        <f>ROUND(B7*10000/$B$1,0)</f>
        <v>0</v>
      </c>
      <c r="D7" s="3262">
        <f>ROUND(B7*10000/$B$2,0)</f>
        <v>0</v>
      </c>
      <c r="E7" s="3261"/>
      <c r="F7" s="3259"/>
      <c r="G7" s="3259"/>
    </row>
    <row r="8" spans="1:10" ht="16.5">
      <c r="A8" s="3262" t="s">
        <v>2877</v>
      </c>
      <c r="B8" s="3262">
        <f>SUM(I14:I23)</f>
        <v>0</v>
      </c>
      <c r="C8" s="3262">
        <f>ROUND(B8*10000/$B$1,0)</f>
        <v>0</v>
      </c>
      <c r="D8" s="3262">
        <f>ROUND(B8*10000/$B$2,0)</f>
        <v>0</v>
      </c>
      <c r="E8" s="3261"/>
      <c r="F8" s="3259"/>
      <c r="G8" s="3259"/>
    </row>
    <row r="9" spans="1:10" ht="16.5">
      <c r="A9" s="3262" t="s">
        <v>2979</v>
      </c>
      <c r="B9" s="3264"/>
      <c r="C9" s="3261"/>
      <c r="D9" s="3261"/>
      <c r="E9" s="3261"/>
      <c r="F9" s="3259"/>
      <c r="G9" s="3259"/>
    </row>
    <row r="10" spans="1:10" ht="16.5">
      <c r="A10" s="3262" t="s">
        <v>2978</v>
      </c>
      <c r="B10" s="3264"/>
      <c r="C10" s="3261"/>
      <c r="D10" s="3261"/>
      <c r="E10" s="3261"/>
      <c r="F10" s="3259"/>
      <c r="G10" s="3259"/>
    </row>
    <row r="11" spans="1:10" ht="16.5">
      <c r="A11" s="3262" t="s">
        <v>2994</v>
      </c>
      <c r="B11" s="3264"/>
      <c r="C11" s="3261"/>
      <c r="D11" s="3261"/>
      <c r="E11" s="3261"/>
      <c r="F11" s="3259"/>
      <c r="G11" s="3259"/>
    </row>
    <row r="12" spans="1:10" ht="16.5">
      <c r="A12" s="3261"/>
      <c r="B12" s="3261"/>
      <c r="C12" s="3261"/>
      <c r="D12" s="3261"/>
      <c r="E12" s="3261"/>
      <c r="F12" s="3259"/>
      <c r="G12" s="3259"/>
    </row>
    <row r="13" spans="1:10" ht="33">
      <c r="A13" s="3267" t="s">
        <v>2993</v>
      </c>
      <c r="B13" s="3260" t="s">
        <v>2990</v>
      </c>
      <c r="C13" s="3260" t="s">
        <v>2992</v>
      </c>
      <c r="D13" s="3260" t="s">
        <v>2991</v>
      </c>
      <c r="E13" s="3262" t="s">
        <v>2983</v>
      </c>
      <c r="F13" s="3262" t="s">
        <v>2982</v>
      </c>
      <c r="G13" s="3260" t="s">
        <v>2976</v>
      </c>
      <c r="H13" s="3260" t="s">
        <v>2987</v>
      </c>
      <c r="I13" s="3260" t="s">
        <v>2975</v>
      </c>
      <c r="J13" s="3259"/>
    </row>
    <row r="14" spans="1:10" ht="16.5">
      <c r="A14" s="3258" t="s">
        <v>2974</v>
      </c>
      <c r="B14" s="3260">
        <f>'数据-汇总表'!E3</f>
        <v>7148.0899999999992</v>
      </c>
      <c r="C14" s="3260">
        <f>'数据-汇总表'!D3</f>
        <v>1927.24</v>
      </c>
      <c r="D14" s="3260">
        <f ca="1">结果表!H118</f>
        <v>17005</v>
      </c>
      <c r="E14" s="3260">
        <f ca="1">ROUND(D14*10000/B14,0)</f>
        <v>23790</v>
      </c>
      <c r="F14" s="3260">
        <f ca="1">ROUND(D14*10000/C14,0)</f>
        <v>88235</v>
      </c>
      <c r="G14" s="3260">
        <f ca="1">结果表!D122</f>
        <v>17005</v>
      </c>
      <c r="H14" s="3260" t="str">
        <f>结果表!D124</f>
        <v>——</v>
      </c>
      <c r="I14" s="3260" t="str">
        <f>结果表!D126</f>
        <v>——</v>
      </c>
      <c r="J14" s="3259"/>
    </row>
    <row r="15" spans="1:10" ht="16.5">
      <c r="A15" s="3258" t="s">
        <v>2973</v>
      </c>
      <c r="B15" s="3265"/>
      <c r="C15" s="3265"/>
      <c r="D15" s="3265"/>
      <c r="E15" s="3260" t="e">
        <f t="shared" ref="E15:E23" si="0">ROUND(D15*10000/B15,0)</f>
        <v>#DIV/0!</v>
      </c>
      <c r="F15" s="3260" t="e">
        <f t="shared" ref="F15:F23" si="1">ROUND(D15*10000/C15,0)</f>
        <v>#DIV/0!</v>
      </c>
      <c r="G15" s="3266"/>
      <c r="H15" s="3266"/>
      <c r="I15" s="3265"/>
      <c r="J15" s="3259"/>
    </row>
    <row r="16" spans="1:10" ht="16.5">
      <c r="A16" s="3258" t="s">
        <v>2972</v>
      </c>
      <c r="B16" s="3265"/>
      <c r="C16" s="3265"/>
      <c r="D16" s="3265"/>
      <c r="E16" s="3260" t="e">
        <f t="shared" si="0"/>
        <v>#DIV/0!</v>
      </c>
      <c r="F16" s="3260" t="e">
        <f t="shared" si="1"/>
        <v>#DIV/0!</v>
      </c>
      <c r="G16" s="3266"/>
      <c r="H16" s="3266"/>
      <c r="I16" s="3265"/>
    </row>
    <row r="17" spans="1:9" ht="16.5">
      <c r="A17" s="3258" t="s">
        <v>2971</v>
      </c>
      <c r="B17" s="3265"/>
      <c r="C17" s="3265"/>
      <c r="D17" s="3265"/>
      <c r="E17" s="3260" t="e">
        <f t="shared" si="0"/>
        <v>#DIV/0!</v>
      </c>
      <c r="F17" s="3260" t="e">
        <f t="shared" si="1"/>
        <v>#DIV/0!</v>
      </c>
      <c r="G17" s="3266"/>
      <c r="H17" s="3266"/>
      <c r="I17" s="3265"/>
    </row>
    <row r="18" spans="1:9" ht="16.5">
      <c r="A18" s="3258" t="s">
        <v>2970</v>
      </c>
      <c r="B18" s="3265"/>
      <c r="C18" s="3265"/>
      <c r="D18" s="3265"/>
      <c r="E18" s="3260" t="e">
        <f t="shared" si="0"/>
        <v>#DIV/0!</v>
      </c>
      <c r="F18" s="3260" t="e">
        <f t="shared" si="1"/>
        <v>#DIV/0!</v>
      </c>
      <c r="G18" s="3265"/>
      <c r="H18" s="3265"/>
      <c r="I18" s="3265"/>
    </row>
    <row r="19" spans="1:9" ht="16.5">
      <c r="A19" s="3258" t="s">
        <v>2969</v>
      </c>
      <c r="B19" s="3265"/>
      <c r="C19" s="3265"/>
      <c r="D19" s="3265"/>
      <c r="E19" s="3260" t="e">
        <f t="shared" si="0"/>
        <v>#DIV/0!</v>
      </c>
      <c r="F19" s="3260" t="e">
        <f t="shared" si="1"/>
        <v>#DIV/0!</v>
      </c>
      <c r="G19" s="3265"/>
      <c r="H19" s="3265"/>
      <c r="I19" s="3265"/>
    </row>
    <row r="20" spans="1:9" ht="16.5">
      <c r="A20" s="3258" t="s">
        <v>2968</v>
      </c>
      <c r="B20" s="3265"/>
      <c r="C20" s="3265"/>
      <c r="D20" s="3265"/>
      <c r="E20" s="3260" t="e">
        <f t="shared" si="0"/>
        <v>#DIV/0!</v>
      </c>
      <c r="F20" s="3260" t="e">
        <f t="shared" si="1"/>
        <v>#DIV/0!</v>
      </c>
      <c r="G20" s="3265"/>
      <c r="H20" s="3265"/>
      <c r="I20" s="3265"/>
    </row>
    <row r="21" spans="1:9" ht="16.5">
      <c r="A21" s="3258" t="s">
        <v>2967</v>
      </c>
      <c r="B21" s="3265"/>
      <c r="C21" s="3265"/>
      <c r="D21" s="3265"/>
      <c r="E21" s="3260" t="e">
        <f t="shared" si="0"/>
        <v>#DIV/0!</v>
      </c>
      <c r="F21" s="3260" t="e">
        <f t="shared" si="1"/>
        <v>#DIV/0!</v>
      </c>
      <c r="G21" s="3265"/>
      <c r="H21" s="3265"/>
      <c r="I21" s="3265"/>
    </row>
    <row r="22" spans="1:9" ht="16.5">
      <c r="A22" s="3258" t="s">
        <v>2966</v>
      </c>
      <c r="B22" s="3265"/>
      <c r="C22" s="3265"/>
      <c r="D22" s="3265"/>
      <c r="E22" s="3260" t="e">
        <f t="shared" si="0"/>
        <v>#DIV/0!</v>
      </c>
      <c r="F22" s="3260" t="e">
        <f t="shared" si="1"/>
        <v>#DIV/0!</v>
      </c>
      <c r="G22" s="3265"/>
      <c r="H22" s="3265"/>
      <c r="I22" s="3265"/>
    </row>
    <row r="23" spans="1:9" ht="16.5">
      <c r="A23" s="3258" t="s">
        <v>2965</v>
      </c>
      <c r="B23" s="3265"/>
      <c r="C23" s="3265"/>
      <c r="D23" s="3265"/>
      <c r="E23" s="3262" t="e">
        <f t="shared" si="0"/>
        <v>#DIV/0!</v>
      </c>
      <c r="F23" s="3262" t="e">
        <f t="shared" si="1"/>
        <v>#DIV/0!</v>
      </c>
      <c r="G23" s="3265"/>
      <c r="H23" s="3265"/>
      <c r="I23" s="326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4" sqref="F14"/>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760</v>
      </c>
      <c r="B1" s="1242"/>
      <c r="C1" s="2099"/>
      <c r="D1" s="1242"/>
      <c r="E1" s="1242"/>
      <c r="F1" s="2083" t="s">
        <v>2111</v>
      </c>
      <c r="G1" s="2056"/>
      <c r="H1" s="2112" t="str">
        <f>IF(G1="现房","——","估价对象范围")</f>
        <v>估价对象范围</v>
      </c>
      <c r="I1" s="2089"/>
    </row>
    <row r="2" spans="1:12" ht="21.75" customHeight="1" thickBot="1">
      <c r="A2" s="3502" t="str">
        <f>项目基本情况!S2</f>
        <v>房地产</v>
      </c>
      <c r="B2" s="3503"/>
      <c r="C2" s="3503"/>
      <c r="D2" s="3503"/>
      <c r="E2" s="3503"/>
      <c r="F2" s="3503"/>
      <c r="G2" s="3503"/>
      <c r="H2" s="3503"/>
      <c r="I2" s="3504"/>
    </row>
    <row r="3" spans="1:12" ht="12">
      <c r="A3" s="3506" t="s">
        <v>10</v>
      </c>
      <c r="B3" s="3507"/>
      <c r="C3" s="3507"/>
      <c r="D3" s="3507"/>
      <c r="E3" s="3507"/>
      <c r="F3" s="3507"/>
      <c r="G3" s="3507"/>
      <c r="H3" s="3507"/>
      <c r="I3" s="3507"/>
    </row>
    <row r="4" spans="1:12" ht="13.5">
      <c r="A4" s="429" t="s">
        <v>11</v>
      </c>
      <c r="B4" s="430" t="s">
        <v>12</v>
      </c>
      <c r="C4" s="431" t="s">
        <v>3257</v>
      </c>
      <c r="D4" s="431" t="s">
        <v>3250</v>
      </c>
      <c r="E4" s="3511" t="s">
        <v>761</v>
      </c>
      <c r="F4" s="3512"/>
      <c r="G4" s="3512"/>
      <c r="H4" s="3512"/>
      <c r="I4" s="3513"/>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78" t="s">
        <v>13</v>
      </c>
      <c r="B5" s="3505">
        <v>25</v>
      </c>
      <c r="C5" s="3508">
        <v>20</v>
      </c>
      <c r="D5" s="3508">
        <v>24</v>
      </c>
      <c r="E5" s="471" t="s">
        <v>805</v>
      </c>
      <c r="F5" s="432"/>
      <c r="G5" s="432"/>
      <c r="H5" s="432"/>
      <c r="I5" s="433"/>
    </row>
    <row r="6" spans="1:12" ht="12.75" customHeight="1">
      <c r="A6" s="3478"/>
      <c r="B6" s="3505"/>
      <c r="C6" s="3510"/>
      <c r="D6" s="3510"/>
      <c r="E6" s="471" t="s">
        <v>806</v>
      </c>
      <c r="F6" s="432"/>
      <c r="G6" s="432"/>
      <c r="H6" s="432"/>
      <c r="I6" s="433"/>
    </row>
    <row r="7" spans="1:12" ht="12.75" customHeight="1">
      <c r="A7" s="3478"/>
      <c r="B7" s="3505"/>
      <c r="C7" s="3509"/>
      <c r="D7" s="3509"/>
      <c r="E7" s="471" t="s">
        <v>807</v>
      </c>
      <c r="F7" s="432"/>
      <c r="G7" s="432"/>
      <c r="H7" s="432"/>
      <c r="I7" s="433"/>
    </row>
    <row r="8" spans="1:12" ht="12.75" customHeight="1">
      <c r="A8" s="3478" t="s">
        <v>14</v>
      </c>
      <c r="B8" s="3505">
        <v>15</v>
      </c>
      <c r="C8" s="3508">
        <v>8</v>
      </c>
      <c r="D8" s="3508">
        <v>14</v>
      </c>
      <c r="E8" s="471" t="s">
        <v>808</v>
      </c>
      <c r="F8" s="432"/>
      <c r="G8" s="432"/>
      <c r="H8" s="432"/>
      <c r="I8" s="433"/>
    </row>
    <row r="9" spans="1:12" ht="12.75" customHeight="1">
      <c r="A9" s="3478"/>
      <c r="B9" s="3505"/>
      <c r="C9" s="3509"/>
      <c r="D9" s="3509"/>
      <c r="E9" s="471" t="s">
        <v>809</v>
      </c>
      <c r="F9" s="432"/>
      <c r="G9" s="432"/>
      <c r="H9" s="432"/>
      <c r="I9" s="433"/>
    </row>
    <row r="10" spans="1:12" ht="12.75" customHeight="1">
      <c r="A10" s="3478" t="s">
        <v>15</v>
      </c>
      <c r="B10" s="3505">
        <v>15</v>
      </c>
      <c r="C10" s="3508">
        <v>8</v>
      </c>
      <c r="D10" s="3508">
        <v>14</v>
      </c>
      <c r="E10" s="471" t="s">
        <v>810</v>
      </c>
      <c r="F10" s="432"/>
      <c r="G10" s="432"/>
      <c r="H10" s="432"/>
      <c r="I10" s="433"/>
    </row>
    <row r="11" spans="1:12" ht="12.75" customHeight="1">
      <c r="A11" s="3478"/>
      <c r="B11" s="3505"/>
      <c r="C11" s="3509"/>
      <c r="D11" s="3509"/>
      <c r="E11" s="471" t="s">
        <v>811</v>
      </c>
      <c r="F11" s="432"/>
      <c r="G11" s="432"/>
      <c r="H11" s="432"/>
      <c r="I11" s="433"/>
    </row>
    <row r="12" spans="1:12" ht="12.75" customHeight="1">
      <c r="A12" s="3478" t="s">
        <v>16</v>
      </c>
      <c r="B12" s="3505">
        <v>15</v>
      </c>
      <c r="C12" s="3508">
        <v>8</v>
      </c>
      <c r="D12" s="3508">
        <v>14</v>
      </c>
      <c r="E12" s="471" t="s">
        <v>812</v>
      </c>
      <c r="F12" s="432"/>
      <c r="G12" s="432"/>
      <c r="H12" s="432"/>
      <c r="I12" s="433"/>
    </row>
    <row r="13" spans="1:12" ht="12.75" customHeight="1">
      <c r="A13" s="3478"/>
      <c r="B13" s="3505"/>
      <c r="C13" s="3509"/>
      <c r="D13" s="3509"/>
      <c r="E13" s="471" t="s">
        <v>813</v>
      </c>
      <c r="F13" s="432"/>
      <c r="G13" s="432"/>
      <c r="H13" s="432"/>
      <c r="I13" s="433"/>
    </row>
    <row r="14" spans="1:12" ht="12.75" customHeight="1">
      <c r="A14" s="3478" t="s">
        <v>17</v>
      </c>
      <c r="B14" s="3505">
        <v>30</v>
      </c>
      <c r="C14" s="3508">
        <v>17</v>
      </c>
      <c r="D14" s="3508">
        <v>25</v>
      </c>
      <c r="E14" s="471" t="s">
        <v>814</v>
      </c>
      <c r="F14" s="432"/>
      <c r="G14" s="432"/>
      <c r="H14" s="432"/>
      <c r="I14" s="433"/>
    </row>
    <row r="15" spans="1:12" ht="12.75" customHeight="1">
      <c r="A15" s="3478"/>
      <c r="B15" s="3505"/>
      <c r="C15" s="3510"/>
      <c r="D15" s="3510"/>
      <c r="E15" s="471" t="s">
        <v>815</v>
      </c>
      <c r="F15" s="432"/>
      <c r="G15" s="432"/>
      <c r="H15" s="432"/>
      <c r="I15" s="433"/>
    </row>
    <row r="16" spans="1:12" ht="12.75" customHeight="1">
      <c r="A16" s="3478"/>
      <c r="B16" s="3505"/>
      <c r="C16" s="3509"/>
      <c r="D16" s="3509"/>
      <c r="E16" s="471" t="s">
        <v>816</v>
      </c>
      <c r="F16" s="432"/>
      <c r="G16" s="432"/>
      <c r="H16" s="432"/>
      <c r="I16" s="433"/>
    </row>
    <row r="17" spans="1:35" ht="14.25">
      <c r="A17" s="434" t="s">
        <v>18</v>
      </c>
      <c r="B17" s="38"/>
      <c r="C17" s="472">
        <f>SUM(C5:C16)</f>
        <v>61</v>
      </c>
      <c r="D17" s="472">
        <f>SUM(D5:D16)</f>
        <v>91</v>
      </c>
      <c r="E17" s="2278"/>
      <c r="F17" s="2278"/>
      <c r="G17" s="2278"/>
      <c r="H17" s="2278"/>
      <c r="I17" s="2278"/>
      <c r="K17" s="2185"/>
      <c r="L17" s="2186" t="s">
        <v>2319</v>
      </c>
      <c r="M17" s="2186" t="s">
        <v>2320</v>
      </c>
    </row>
    <row r="18" spans="1:35" ht="15" thickBot="1">
      <c r="A18" s="435" t="s">
        <v>19</v>
      </c>
      <c r="B18" s="18"/>
      <c r="C18" s="473">
        <f>ROUND(C17/SUM(C17:D17),2)</f>
        <v>0.4</v>
      </c>
      <c r="D18" s="473">
        <f>1-C18</f>
        <v>0.6</v>
      </c>
      <c r="E18" s="2278"/>
      <c r="F18" s="2278"/>
      <c r="G18" s="2278"/>
      <c r="H18" s="2278"/>
      <c r="I18" s="2278"/>
      <c r="K18" s="2185" t="s">
        <v>2133</v>
      </c>
      <c r="L18" s="2185">
        <f>IF(C1="",'数据-汇总表'!E3,SUMIF(项目类型,C1,'数据-汇总表'!E17:E26)+SUMIF(项目类型,C1,'数据-汇总表'!I17:I26))</f>
        <v>7148.0899999999992</v>
      </c>
      <c r="M18" s="2185">
        <f>IF(C1="",'数据-汇总表'!E3,SUMIF(项目类型,C1,'数据-汇总表'!E17:E26))</f>
        <v>7148.0899999999992</v>
      </c>
    </row>
    <row r="19" spans="1:35" ht="14.25">
      <c r="A19" s="436" t="s">
        <v>180</v>
      </c>
      <c r="B19" s="437" t="s">
        <v>20</v>
      </c>
      <c r="C19" s="474">
        <f ca="1">SUMIF(INDIRECT("'"&amp;C4&amp;"'"&amp;"!A:A"),结果表!B19,INDIRECT("'"&amp;C4&amp;"'"&amp;"!B:B"))</f>
        <v>31452</v>
      </c>
      <c r="D19" s="475">
        <f ca="1">SUMIF(INDIRECT("'"&amp;D4&amp;"'"&amp;"!A:A"),结果表!B19,INDIRECT("'"&amp;D4&amp;"'"&amp;"!B:B"))</f>
        <v>7374</v>
      </c>
      <c r="E19" s="436" t="s">
        <v>179</v>
      </c>
      <c r="F19" s="437" t="s">
        <v>20</v>
      </c>
      <c r="G19" s="476">
        <f ca="1">ROUND(C19*$C$18+D19*$D$18,0)</f>
        <v>17005</v>
      </c>
      <c r="H19" s="438" t="s">
        <v>228</v>
      </c>
      <c r="I19" s="2278"/>
      <c r="K19" s="2185" t="s">
        <v>2134</v>
      </c>
      <c r="L19" s="2185">
        <f>IF(C1="",'数据-汇总表'!D3,SUMIF(项目类型,C1,'数据-汇总表'!D17:D26)+SUMIF(项目类型,C1,'数据-汇总表'!H17:H27))</f>
        <v>1927.24</v>
      </c>
      <c r="M19" s="2185">
        <f>IF(C1="",'数据-汇总表'!D3,SUMIF(项目类型,C1,'数据-汇总表'!D17:D26))</f>
        <v>1927.24</v>
      </c>
    </row>
    <row r="20" spans="1:35" ht="14.25">
      <c r="A20" s="439"/>
      <c r="B20" s="440" t="s">
        <v>21</v>
      </c>
      <c r="C20" s="477">
        <f ca="1">SUMIF(INDIRECT("'"&amp;C4&amp;"'"&amp;"!A:A"),结果表!B20,INDIRECT("'"&amp;C4&amp;"'"&amp;"!B:B"))</f>
        <v>44001</v>
      </c>
      <c r="D20" s="478">
        <f ca="1">SUMIF(INDIRECT("'"&amp;D4&amp;"'"&amp;"!A:A"),结果表!B20,INDIRECT("'"&amp;D4&amp;"'"&amp;"!B:B"))</f>
        <v>10316</v>
      </c>
      <c r="E20" s="439"/>
      <c r="F20" s="440" t="s">
        <v>21</v>
      </c>
      <c r="G20" s="479">
        <f ca="1">ROUND(C20*$C$18+D20*$D$18,0)</f>
        <v>23790</v>
      </c>
      <c r="H20" s="441" t="s">
        <v>227</v>
      </c>
      <c r="I20" s="2278"/>
    </row>
    <row r="21" spans="1:35" ht="15" customHeight="1" thickBot="1">
      <c r="A21" s="443"/>
      <c r="B21" s="444" t="s">
        <v>22</v>
      </c>
      <c r="C21" s="1421">
        <f ca="1">ROUND(C19*10000/L19,0)</f>
        <v>163197</v>
      </c>
      <c r="D21" s="1422">
        <f ca="1">ROUND(D19*10000/L19,0)</f>
        <v>38262</v>
      </c>
      <c r="E21" s="443"/>
      <c r="F21" s="444" t="s">
        <v>22</v>
      </c>
      <c r="G21" s="480">
        <f ca="1">ROUND(G19*10000/L19,0)</f>
        <v>88235</v>
      </c>
      <c r="H21" s="445" t="s">
        <v>227</v>
      </c>
      <c r="I21" s="2278"/>
    </row>
    <row r="22" spans="1:35" ht="15" thickBot="1">
      <c r="A22" s="275" t="s">
        <v>181</v>
      </c>
      <c r="B22" s="1423"/>
      <c r="C22" s="1424"/>
      <c r="D22" s="1425">
        <f ca="1">IF(C19&lt;D19,D19/C19-1,C19/D19-1)</f>
        <v>3.2652563059397881</v>
      </c>
      <c r="E22" s="2278"/>
      <c r="F22" s="2278"/>
      <c r="G22" s="2278"/>
      <c r="H22" s="2278"/>
      <c r="I22" s="2278"/>
    </row>
    <row r="23" spans="1:35" ht="12.75" thickBot="1">
      <c r="A23" s="1242"/>
      <c r="B23" s="1242"/>
      <c r="C23" s="1242"/>
      <c r="D23" s="1242"/>
      <c r="E23" s="2278"/>
      <c r="F23" s="2278"/>
      <c r="G23" s="2278"/>
      <c r="H23" s="2278"/>
      <c r="I23" s="2278"/>
    </row>
    <row r="24" spans="1:35" ht="14.25">
      <c r="A24" s="3520" t="s">
        <v>177</v>
      </c>
      <c r="B24" s="437" t="s">
        <v>20</v>
      </c>
      <c r="C24" s="476">
        <f>IF(B30=0,0,D30)</f>
        <v>0</v>
      </c>
      <c r="D24" s="446"/>
      <c r="E24" s="2278"/>
      <c r="F24" s="2278"/>
      <c r="G24" s="2278"/>
      <c r="H24" s="2278"/>
      <c r="I24" s="2278"/>
    </row>
    <row r="25" spans="1:35" ht="14.25">
      <c r="A25" s="3521"/>
      <c r="B25" s="440" t="s">
        <v>21</v>
      </c>
      <c r="C25" s="481">
        <f>IF(B30=0,0,C30)</f>
        <v>0</v>
      </c>
      <c r="D25" s="447"/>
      <c r="E25" s="2278"/>
      <c r="F25" s="2278"/>
      <c r="G25" s="2278"/>
      <c r="H25" s="2278"/>
      <c r="I25" s="2278"/>
    </row>
    <row r="26" spans="1:35" ht="13.5" customHeight="1">
      <c r="A26" s="448" t="s">
        <v>178</v>
      </c>
      <c r="B26" s="449" t="s">
        <v>120</v>
      </c>
      <c r="C26" s="449" t="s">
        <v>121</v>
      </c>
      <c r="D26" s="450" t="s">
        <v>122</v>
      </c>
      <c r="E26" s="2278"/>
      <c r="F26" s="2278"/>
      <c r="G26" s="2278"/>
      <c r="H26" s="2278"/>
      <c r="I26" s="2278"/>
    </row>
    <row r="27" spans="1:35" ht="14.25">
      <c r="A27" s="448"/>
      <c r="B27" s="482">
        <v>0</v>
      </c>
      <c r="C27" s="482">
        <v>0</v>
      </c>
      <c r="D27" s="483">
        <f>ROUND(C27*B27/10000,0)</f>
        <v>0</v>
      </c>
      <c r="E27" s="2278"/>
      <c r="F27" s="2278"/>
      <c r="G27" s="2278"/>
      <c r="H27" s="2278"/>
      <c r="I27" s="2278"/>
    </row>
    <row r="28" spans="1:35" ht="14.25">
      <c r="A28" s="448"/>
      <c r="B28" s="482"/>
      <c r="C28" s="482"/>
      <c r="D28" s="483"/>
      <c r="E28" s="2278"/>
      <c r="F28" s="2278"/>
      <c r="G28" s="2278"/>
      <c r="H28" s="2278"/>
      <c r="I28" s="2278"/>
    </row>
    <row r="29" spans="1:35" ht="14.25">
      <c r="A29" s="448"/>
      <c r="B29" s="482"/>
      <c r="C29" s="482"/>
      <c r="D29" s="483"/>
      <c r="E29" s="2278"/>
      <c r="F29" s="2278"/>
      <c r="G29" s="2278"/>
      <c r="H29" s="2278"/>
      <c r="I29" s="2278"/>
    </row>
    <row r="30" spans="1:35" ht="14.25">
      <c r="A30" s="451" t="s">
        <v>176</v>
      </c>
      <c r="B30" s="484">
        <f>SUM(B27:B29)</f>
        <v>0</v>
      </c>
      <c r="C30" s="484" t="e">
        <f>ROUND(D30*10000/B30,0)</f>
        <v>#DIV/0!</v>
      </c>
      <c r="D30" s="484">
        <f>SUM(D27:D29)</f>
        <v>0</v>
      </c>
      <c r="E30" s="2278"/>
      <c r="F30" s="2278"/>
      <c r="G30" s="2278"/>
      <c r="H30" s="2278"/>
      <c r="I30" s="2278"/>
    </row>
    <row r="31" spans="1:35" s="1244" customFormat="1" ht="14.25" thickBot="1">
      <c r="A31" s="452"/>
      <c r="B31" s="452"/>
      <c r="C31" s="452"/>
      <c r="D31" s="452"/>
      <c r="E31" s="2278"/>
      <c r="F31" s="2278"/>
      <c r="G31" s="2278"/>
      <c r="H31" s="2278"/>
      <c r="I31" s="2278"/>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175</v>
      </c>
      <c r="B32" s="454"/>
      <c r="C32" s="485">
        <f ca="1">IF(D32="总价",G19-C24,G20-C25)</f>
        <v>17005</v>
      </c>
      <c r="D32" s="2093" t="s">
        <v>210</v>
      </c>
      <c r="E32" s="2278"/>
      <c r="F32" s="2278"/>
      <c r="G32" s="2278"/>
      <c r="H32" s="2278"/>
      <c r="I32" s="2278"/>
    </row>
    <row r="33" spans="1:15" ht="13.5">
      <c r="A33" s="457" t="s">
        <v>762</v>
      </c>
      <c r="B33" s="2092"/>
      <c r="C33" s="2878"/>
      <c r="D33" s="2881"/>
      <c r="E33" s="2090" t="s">
        <v>2113</v>
      </c>
      <c r="F33" s="2091" t="str">
        <f>IF(D32="楼面单价","取值（单价）","取值（总价）")</f>
        <v>取值（总价）</v>
      </c>
      <c r="G33" s="2278"/>
      <c r="H33" s="2278"/>
      <c r="I33" s="2278"/>
    </row>
    <row r="34" spans="1:15" ht="15">
      <c r="A34" s="458"/>
      <c r="B34" s="459" t="s">
        <v>765</v>
      </c>
      <c r="C34" s="489" t="e">
        <f ca="1">IF(C33="自定义",F34,C32-C35)</f>
        <v>#REF!</v>
      </c>
      <c r="D34" s="2094" t="e">
        <f ca="1">IF(C33="自定义",ROUND(C34/C32,3),IF(C33="收益比率",SUMIF(INDIRECT("'"&amp;D33&amp;"'"&amp;"!b:b"),"土地收益比率",INDIRECT("'"&amp;D33&amp;"'"&amp;"!c:c")),SUMIF(INDIRECT("'"&amp;D33&amp;"'"&amp;"!b:b"),"土地成本比率",INDIRECT("'"&amp;D33&amp;"'"&amp;"!c:c"))))</f>
        <v>#REF!</v>
      </c>
      <c r="E34" s="2879" t="s">
        <v>2114</v>
      </c>
      <c r="F34" s="3255"/>
      <c r="G34" s="2278"/>
      <c r="H34" s="2278"/>
      <c r="I34" s="2278"/>
    </row>
    <row r="35" spans="1:15" ht="15.75" thickBot="1">
      <c r="A35" s="461"/>
      <c r="B35" s="2882" t="s">
        <v>767</v>
      </c>
      <c r="C35" s="2883" t="e">
        <f ca="1">IF(C33="自定义",F35,ROUND(C32*D35,0))</f>
        <v>#REF!</v>
      </c>
      <c r="D35" s="2884" t="e">
        <f ca="1">IF(C33="自定义",ROUND(C35/C32,3),IF(C33="收益比率",SUMIF(INDIRECT("'"&amp;D33&amp;"'"&amp;"!b:b"),"建筑物收益比率",INDIRECT("'"&amp;D33&amp;"'"&amp;"!c:c")),SUMIF(INDIRECT("'"&amp;D33&amp;"'"&amp;"!b:b"),"建筑物成本比率",INDIRECT("'"&amp;D33&amp;"'"&amp;"!c:c"))))</f>
        <v>#REF!</v>
      </c>
      <c r="E35" s="2880" t="s">
        <v>2115</v>
      </c>
      <c r="F35" s="495"/>
      <c r="G35" s="2278"/>
      <c r="H35" s="2278"/>
      <c r="I35" s="2278"/>
    </row>
    <row r="36" spans="1:15" ht="15.75" thickBot="1">
      <c r="A36" s="3496" t="s">
        <v>763</v>
      </c>
      <c r="B36" s="455" t="s">
        <v>764</v>
      </c>
      <c r="C36" s="486"/>
      <c r="D36" s="456"/>
      <c r="E36" s="1245"/>
      <c r="F36" s="2279"/>
      <c r="G36" s="2278"/>
      <c r="H36" s="2278"/>
      <c r="I36" s="2278"/>
    </row>
    <row r="37" spans="1:15" ht="15.75" thickBot="1">
      <c r="A37" s="3497"/>
      <c r="B37" s="13" t="s">
        <v>766</v>
      </c>
      <c r="C37" s="488"/>
      <c r="D37" s="2227"/>
      <c r="E37" s="2227"/>
      <c r="F37" s="2279"/>
      <c r="G37" s="2278"/>
      <c r="H37" s="2278"/>
      <c r="I37" s="2278"/>
    </row>
    <row r="38" spans="1:15" ht="15.75" thickBot="1">
      <c r="A38" s="3498"/>
      <c r="B38" s="460" t="s">
        <v>768</v>
      </c>
      <c r="C38" s="1136"/>
      <c r="D38" s="1246" t="s">
        <v>769</v>
      </c>
      <c r="E38" s="2227"/>
      <c r="F38" s="2279"/>
      <c r="G38" s="2278"/>
      <c r="H38" s="2278"/>
      <c r="I38" s="2278"/>
    </row>
    <row r="39" spans="1:15" ht="13.5">
      <c r="A39" s="439" t="s">
        <v>770</v>
      </c>
      <c r="B39" s="462" t="s">
        <v>771</v>
      </c>
      <c r="C39" s="463" t="s">
        <v>772</v>
      </c>
      <c r="D39" s="463" t="s">
        <v>773</v>
      </c>
      <c r="E39" s="464" t="s">
        <v>774</v>
      </c>
      <c r="F39" s="2279"/>
      <c r="G39" s="2278"/>
      <c r="H39" s="2278"/>
      <c r="I39" s="2278"/>
    </row>
    <row r="40" spans="1:15" ht="13.5">
      <c r="A40" s="1247" t="s">
        <v>775</v>
      </c>
      <c r="B40" s="490"/>
      <c r="C40" s="491"/>
      <c r="D40" s="491"/>
      <c r="E40" s="492"/>
      <c r="F40" s="2279"/>
      <c r="G40" s="2278"/>
      <c r="H40" s="2278"/>
      <c r="I40" s="2278"/>
    </row>
    <row r="41" spans="1:15" ht="13.5">
      <c r="A41" s="1247" t="s">
        <v>776</v>
      </c>
      <c r="B41" s="490"/>
      <c r="C41" s="491"/>
      <c r="D41" s="491"/>
      <c r="E41" s="492"/>
      <c r="F41" s="2279"/>
      <c r="G41" s="2278"/>
      <c r="H41" s="2278"/>
      <c r="I41" s="2278"/>
    </row>
    <row r="42" spans="1:15" ht="14.25" thickBot="1">
      <c r="A42" s="1248"/>
      <c r="B42" s="493"/>
      <c r="C42" s="494"/>
      <c r="D42" s="494"/>
      <c r="E42" s="495"/>
      <c r="F42" s="2279"/>
      <c r="G42" s="2278"/>
      <c r="H42" s="2278"/>
      <c r="I42" s="2278"/>
    </row>
    <row r="43" spans="1:15" ht="12">
      <c r="A43" s="241"/>
      <c r="B43" s="241"/>
      <c r="C43" s="241"/>
      <c r="D43" s="241"/>
      <c r="E43" s="241"/>
      <c r="F43" s="1249"/>
      <c r="G43" s="1249"/>
      <c r="H43" s="1249"/>
      <c r="I43" s="1250"/>
    </row>
    <row r="44" spans="1:15" ht="18.75">
      <c r="A44" s="1251" t="s">
        <v>777</v>
      </c>
      <c r="B44" s="1252"/>
      <c r="C44" s="1252"/>
      <c r="D44" s="1253"/>
      <c r="E44" s="1253"/>
      <c r="F44" s="1254"/>
      <c r="G44" s="1254"/>
      <c r="H44" s="1254"/>
      <c r="I44" s="1254"/>
      <c r="J44" s="3272" t="s">
        <v>214</v>
      </c>
      <c r="K44" s="3273"/>
      <c r="L44" s="3273"/>
      <c r="M44" s="3273"/>
      <c r="N44" s="3273"/>
      <c r="O44" s="3273"/>
    </row>
    <row r="45" spans="1:15" ht="14.25" customHeight="1" thickBot="1">
      <c r="A45" s="3517" t="s">
        <v>797</v>
      </c>
      <c r="B45" s="3518"/>
      <c r="C45" s="3519"/>
      <c r="D45" s="496">
        <f ca="1">ROUND(H101*F45,0)</f>
        <v>17005</v>
      </c>
      <c r="E45" s="497" t="s">
        <v>798</v>
      </c>
      <c r="F45" s="498">
        <v>1</v>
      </c>
      <c r="G45" s="499" t="s">
        <v>799</v>
      </c>
      <c r="H45" s="2278"/>
      <c r="I45" s="2278"/>
      <c r="J45" s="3428" t="s">
        <v>215</v>
      </c>
      <c r="K45" s="3428"/>
      <c r="L45" s="3428"/>
      <c r="M45" s="3428"/>
      <c r="N45" s="3428"/>
      <c r="O45" s="3428"/>
    </row>
    <row r="46" spans="1:15" ht="14.25" customHeight="1">
      <c r="A46" s="3514" t="s">
        <v>287</v>
      </c>
      <c r="B46" s="3515"/>
      <c r="C46" s="3515"/>
      <c r="D46" s="3515"/>
      <c r="E46" s="3515"/>
      <c r="F46" s="3515"/>
      <c r="G46" s="3516"/>
      <c r="H46" s="2280"/>
      <c r="I46" s="2233"/>
      <c r="J46" s="1500">
        <v>1</v>
      </c>
      <c r="K46" s="3428" t="s">
        <v>216</v>
      </c>
      <c r="L46" s="3428"/>
      <c r="M46" s="3429"/>
      <c r="N46" s="3429"/>
      <c r="O46" s="3429"/>
    </row>
    <row r="47" spans="1:15" ht="12" customHeight="1">
      <c r="A47" s="501" t="s">
        <v>288</v>
      </c>
      <c r="B47" s="502"/>
      <c r="C47" s="503"/>
      <c r="D47" s="504" t="s">
        <v>289</v>
      </c>
      <c r="E47" s="313" t="s">
        <v>290</v>
      </c>
      <c r="F47" s="505" t="s">
        <v>800</v>
      </c>
      <c r="G47" s="506" t="s">
        <v>801</v>
      </c>
      <c r="H47" s="2280"/>
      <c r="I47" s="2233"/>
      <c r="J47" s="1500">
        <v>2</v>
      </c>
      <c r="K47" s="3428" t="s">
        <v>217</v>
      </c>
      <c r="L47" s="3428"/>
      <c r="M47" s="3430">
        <f>'数据-取费表'!B2</f>
        <v>42928</v>
      </c>
      <c r="N47" s="3430"/>
      <c r="O47" s="3430"/>
    </row>
    <row r="48" spans="1:15" ht="25.5">
      <c r="A48" s="3500" t="s">
        <v>291</v>
      </c>
      <c r="B48" s="3501"/>
      <c r="C48" s="3501"/>
      <c r="D48" s="471">
        <f>IF(H48="情况1",0,IF(H48="情况2",D52,IF(H48="情况3",D53,IF(H48="情况4",D54))))</f>
        <v>0</v>
      </c>
      <c r="E48" s="1924" t="str">
        <f>IF(H48="情况4","(销售额-原购置价)×税（费）率","销售额×税（费）率")</f>
        <v>销售额×税（费）率</v>
      </c>
      <c r="F48" s="507" t="str">
        <f>IF(H48="情况1","免征",'数据-取费表'!B41)</f>
        <v>免征</v>
      </c>
      <c r="G48" s="465" t="s">
        <v>778</v>
      </c>
      <c r="H48" s="1431" t="s">
        <v>2417</v>
      </c>
      <c r="I48" s="2280"/>
      <c r="J48" s="1500">
        <v>3</v>
      </c>
      <c r="K48" s="3428" t="s">
        <v>779</v>
      </c>
      <c r="L48" s="3428"/>
      <c r="M48" s="3431">
        <f ca="1">H101</f>
        <v>17005</v>
      </c>
      <c r="N48" s="3431"/>
      <c r="O48" s="3431"/>
    </row>
    <row r="49" spans="1:35" ht="25.5" customHeight="1">
      <c r="A49" s="508" t="s">
        <v>802</v>
      </c>
      <c r="B49" s="3481" t="s">
        <v>803</v>
      </c>
      <c r="C49" s="3481"/>
      <c r="D49" s="509">
        <v>0</v>
      </c>
      <c r="E49" s="312" t="s">
        <v>804</v>
      </c>
      <c r="F49" s="317" t="s">
        <v>171</v>
      </c>
      <c r="G49" s="3460"/>
      <c r="H49" s="2278"/>
      <c r="I49" s="2281"/>
      <c r="J49" s="1500">
        <v>4</v>
      </c>
      <c r="K49" s="3428" t="str">
        <f>IF(项目基本情况!E8="房地产抵押价值","房地产抵押价值","抵押担保权已注销时的房地产抵押价值")</f>
        <v>房地产抵押价值</v>
      </c>
      <c r="L49" s="3428"/>
      <c r="M49" s="3431">
        <f ca="1">IF(项目基本情况!E8="房地产抵押价值",H107,H109)</f>
        <v>17005</v>
      </c>
      <c r="N49" s="3431"/>
      <c r="O49" s="3431"/>
    </row>
    <row r="50" spans="1:35" ht="25.5" customHeight="1">
      <c r="A50" s="510"/>
      <c r="B50" s="3481" t="s">
        <v>294</v>
      </c>
      <c r="C50" s="3481"/>
      <c r="D50" s="511"/>
      <c r="E50" s="320"/>
      <c r="F50" s="512"/>
      <c r="G50" s="3461"/>
      <c r="H50" s="2278"/>
      <c r="I50" s="2281"/>
      <c r="J50" s="3428" t="s">
        <v>218</v>
      </c>
      <c r="K50" s="3428"/>
      <c r="L50" s="3428"/>
      <c r="M50" s="3428"/>
      <c r="N50" s="3428"/>
      <c r="O50" s="3428"/>
    </row>
    <row r="51" spans="1:35" ht="12" customHeight="1">
      <c r="A51" s="513"/>
      <c r="B51" s="3481" t="s">
        <v>295</v>
      </c>
      <c r="C51" s="3481"/>
      <c r="D51" s="514"/>
      <c r="E51" s="319"/>
      <c r="F51" s="512"/>
      <c r="G51" s="3462"/>
      <c r="H51" s="2278"/>
      <c r="I51" s="2281"/>
      <c r="J51" s="3274" t="s">
        <v>219</v>
      </c>
      <c r="K51" s="3428" t="s">
        <v>220</v>
      </c>
      <c r="L51" s="3428"/>
      <c r="M51" s="3274" t="s">
        <v>3002</v>
      </c>
      <c r="N51" s="3274" t="s">
        <v>221</v>
      </c>
      <c r="O51" s="3274" t="s">
        <v>222</v>
      </c>
    </row>
    <row r="52" spans="1:35" ht="24" customHeight="1">
      <c r="A52" s="515" t="s">
        <v>296</v>
      </c>
      <c r="B52" s="3481" t="s">
        <v>297</v>
      </c>
      <c r="C52" s="3481"/>
      <c r="D52" s="514">
        <f ca="1">ROUND(D45*'数据-取费表'!B41/(1+'数据-取费表'!C42),0)</f>
        <v>907</v>
      </c>
      <c r="E52" s="299" t="s">
        <v>298</v>
      </c>
      <c r="F52" s="516">
        <f>'数据-取费表'!B41</f>
        <v>5.6000000000000001E-2</v>
      </c>
      <c r="G52" s="466"/>
      <c r="H52" s="2278"/>
      <c r="I52" s="2281"/>
      <c r="J52" s="1500">
        <v>1</v>
      </c>
      <c r="K52" s="3454" t="s">
        <v>780</v>
      </c>
      <c r="L52" s="3454"/>
      <c r="M52" s="3275">
        <f>D48</f>
        <v>0</v>
      </c>
      <c r="N52" s="1499" t="str">
        <f>E48</f>
        <v>销售额×税（费）率</v>
      </c>
      <c r="O52" s="3276" t="str">
        <f>F48</f>
        <v>免征</v>
      </c>
    </row>
    <row r="53" spans="1:35" ht="12" customHeight="1">
      <c r="A53" s="515" t="s">
        <v>299</v>
      </c>
      <c r="B53" s="3482" t="s">
        <v>300</v>
      </c>
      <c r="C53" s="3483"/>
      <c r="D53" s="514">
        <f ca="1">ROUND(D45*'数据-取费表'!B41/(1+'数据-取费表'!C42),0)</f>
        <v>907</v>
      </c>
      <c r="E53" s="299" t="s">
        <v>298</v>
      </c>
      <c r="F53" s="516">
        <f>'数据-取费表'!B41</f>
        <v>5.6000000000000001E-2</v>
      </c>
      <c r="G53" s="466"/>
      <c r="H53" s="2278"/>
      <c r="I53" s="2281"/>
      <c r="J53" s="1500">
        <v>2</v>
      </c>
      <c r="K53" s="3454" t="s">
        <v>781</v>
      </c>
      <c r="L53" s="3454"/>
      <c r="M53" s="3275">
        <f t="shared" ref="M53:O54" ca="1" si="0">D55</f>
        <v>9</v>
      </c>
      <c r="N53" s="1499" t="str">
        <f t="shared" si="0"/>
        <v>销售额×税（费）率</v>
      </c>
      <c r="O53" s="3276">
        <f t="shared" si="0"/>
        <v>5.0000000000000001E-4</v>
      </c>
    </row>
    <row r="54" spans="1:35" ht="12" customHeight="1">
      <c r="A54" s="515" t="s">
        <v>301</v>
      </c>
      <c r="B54" s="3482" t="s">
        <v>302</v>
      </c>
      <c r="C54" s="3483"/>
      <c r="D54" s="514">
        <f ca="1">C68</f>
        <v>907</v>
      </c>
      <c r="E54" s="319" t="s">
        <v>303</v>
      </c>
      <c r="F54" s="516">
        <f>'数据-取费表'!B41</f>
        <v>5.6000000000000001E-2</v>
      </c>
      <c r="G54" s="466"/>
      <c r="H54" s="2282"/>
      <c r="I54" s="2281"/>
      <c r="J54" s="1500">
        <v>3</v>
      </c>
      <c r="K54" s="3454" t="s">
        <v>782</v>
      </c>
      <c r="L54" s="3454"/>
      <c r="M54" s="3275">
        <f t="shared" ca="1" si="0"/>
        <v>9625</v>
      </c>
      <c r="N54" s="1499" t="str">
        <f t="shared" si="0"/>
        <v>增值额×税（费）率</v>
      </c>
      <c r="O54" s="3277" t="str">
        <f t="shared" si="0"/>
        <v>——</v>
      </c>
    </row>
    <row r="55" spans="1:35" ht="24" customHeight="1">
      <c r="A55" s="3523" t="s">
        <v>304</v>
      </c>
      <c r="B55" s="3501"/>
      <c r="C55" s="3501"/>
      <c r="D55" s="517">
        <f ca="1">IF(H55="个人住宅",0,ROUND(D45*I55,0))</f>
        <v>9</v>
      </c>
      <c r="E55" s="299" t="s">
        <v>305</v>
      </c>
      <c r="F55" s="516">
        <f>IF(H55="正常",I55,"免征")</f>
        <v>5.0000000000000001E-4</v>
      </c>
      <c r="G55" s="466"/>
      <c r="H55" s="1431" t="s">
        <v>155</v>
      </c>
      <c r="I55" s="518">
        <f>'数据-取费表'!B49</f>
        <v>5.0000000000000001E-4</v>
      </c>
      <c r="J55" s="1500" t="str">
        <f>IF(H59="非个人房产","",4)</f>
        <v/>
      </c>
      <c r="K55" s="3454" t="str">
        <f>IF(H59="非个人房产","——","个人所得税")</f>
        <v>——</v>
      </c>
      <c r="L55" s="3454"/>
      <c r="M55" s="3278" t="str">
        <f>D59</f>
        <v>——</v>
      </c>
      <c r="N55" s="3279" t="str">
        <f>E59</f>
        <v>——</v>
      </c>
      <c r="O55" s="3280" t="str">
        <f>F59</f>
        <v>——</v>
      </c>
    </row>
    <row r="56" spans="1:35" ht="24.75">
      <c r="A56" s="3523" t="s">
        <v>306</v>
      </c>
      <c r="B56" s="3501"/>
      <c r="C56" s="3501"/>
      <c r="D56" s="517">
        <f ca="1">IF(H56="个人住宅",D57,D58)</f>
        <v>9625</v>
      </c>
      <c r="E56" s="299" t="s">
        <v>307</v>
      </c>
      <c r="F56" s="516" t="str">
        <f>IF(H56="正常",F58,"免征")</f>
        <v>——</v>
      </c>
      <c r="G56" s="1255" t="s">
        <v>783</v>
      </c>
      <c r="H56" s="1430" t="s">
        <v>155</v>
      </c>
      <c r="I56" s="2283"/>
      <c r="J56" s="1500" t="str">
        <f>IF(项目基本情况!K6="上海银行",IF(J55="",4,J55+1),"")</f>
        <v/>
      </c>
      <c r="K56" s="3434" t="str">
        <f>IF(项目基本情况!K6="上海银行","其他处置费用","")</f>
        <v/>
      </c>
      <c r="L56" s="3435"/>
      <c r="M56" s="3275" t="str">
        <f>IF(项目基本情况!K6="上海银行",M69,"")</f>
        <v/>
      </c>
      <c r="N56" s="3437" t="str">
        <f>IF(项目基本情况!K6="上海银行","包含处置中涉及的律师、诉讼、拍卖、评估等费用","")</f>
        <v/>
      </c>
      <c r="O56" s="3438"/>
    </row>
    <row r="57" spans="1:35" ht="12.75">
      <c r="A57" s="515" t="s">
        <v>292</v>
      </c>
      <c r="B57" s="3487" t="s">
        <v>308</v>
      </c>
      <c r="C57" s="3488"/>
      <c r="D57" s="519">
        <v>0</v>
      </c>
      <c r="E57" s="312" t="s">
        <v>293</v>
      </c>
      <c r="F57" s="487"/>
      <c r="G57" s="466"/>
      <c r="H57" s="2283"/>
      <c r="I57" s="2283"/>
      <c r="J57" s="3466">
        <f>IF(AND(J55="",J56=""),4,IF(项目基本情况!K6="上海银行",结果表!J56+1,结果表!J55+1))</f>
        <v>4</v>
      </c>
      <c r="K57" s="3454" t="s">
        <v>784</v>
      </c>
      <c r="L57" s="3281" t="s">
        <v>223</v>
      </c>
      <c r="M57" s="3282"/>
      <c r="N57" s="3283">
        <f ca="1">SUMIF(M52:M56,"&lt;9e307")</f>
        <v>9634</v>
      </c>
      <c r="O57" s="3284"/>
      <c r="P57" s="3271">
        <f ca="1">N57/M49</f>
        <v>0.56653925316083509</v>
      </c>
    </row>
    <row r="58" spans="1:35" ht="24.75">
      <c r="A58" s="515" t="s">
        <v>296</v>
      </c>
      <c r="B58" s="3487" t="s">
        <v>309</v>
      </c>
      <c r="C58" s="3499"/>
      <c r="D58" s="517">
        <f ca="1">IF(H58="转让取得",C81,C97)</f>
        <v>9625</v>
      </c>
      <c r="E58" s="299" t="s">
        <v>307</v>
      </c>
      <c r="F58" s="313" t="s">
        <v>171</v>
      </c>
      <c r="G58" s="466"/>
      <c r="H58" s="1430" t="s">
        <v>1135</v>
      </c>
      <c r="I58" s="2283"/>
      <c r="J58" s="3466"/>
      <c r="K58" s="3454"/>
      <c r="L58" s="3281" t="s">
        <v>224</v>
      </c>
      <c r="M58" s="3285"/>
      <c r="N58" s="3286" t="str">
        <f ca="1">NUMBERSTRING(INT(N57*10000),2)&amp;"元整"</f>
        <v>玖仟陆佰叁拾肆万元整</v>
      </c>
      <c r="O58" s="3287"/>
    </row>
    <row r="59" spans="1:35" ht="24.75" thickBot="1">
      <c r="A59" s="3458" t="s">
        <v>310</v>
      </c>
      <c r="B59" s="3459"/>
      <c r="C59" s="3459"/>
      <c r="D59" s="520" t="str">
        <f>IF(H59="非个人房产","——",IF(H59="个人住宅",0,ROUND(D45*I59,0)))</f>
        <v>——</v>
      </c>
      <c r="E59" s="521" t="str">
        <f>IF(H59="非个人房产","——","销售额×税（费）率")</f>
        <v>——</v>
      </c>
      <c r="F59" s="522" t="str">
        <f>IF(H59="非个人房产","——",IF(H59="个人住宅","免征",I59))</f>
        <v>——</v>
      </c>
      <c r="G59" s="1256" t="s">
        <v>170</v>
      </c>
      <c r="H59" s="1430" t="s">
        <v>1134</v>
      </c>
      <c r="I59" s="523">
        <v>0.01</v>
      </c>
      <c r="J59" s="3456">
        <f>J57+1</f>
        <v>5</v>
      </c>
      <c r="K59" s="3454" t="s">
        <v>172</v>
      </c>
      <c r="L59" s="1499" t="s">
        <v>223</v>
      </c>
      <c r="M59" s="3288"/>
      <c r="N59" s="3289">
        <f ca="1">M49-N57</f>
        <v>7371</v>
      </c>
      <c r="O59" s="3290"/>
    </row>
    <row r="60" spans="1:35" ht="12" customHeight="1">
      <c r="A60" s="1257"/>
      <c r="B60" s="1242"/>
      <c r="C60" s="1242"/>
      <c r="D60" s="1242"/>
      <c r="E60" s="229"/>
      <c r="F60" s="2283"/>
      <c r="G60" s="2283"/>
      <c r="H60" s="2284"/>
      <c r="I60" s="2278"/>
      <c r="J60" s="3457"/>
      <c r="K60" s="3454"/>
      <c r="L60" s="3281" t="s">
        <v>224</v>
      </c>
      <c r="M60" s="3285"/>
      <c r="N60" s="3286" t="str">
        <f ca="1">NUMBERSTRING(INT(N59*10000),2)&amp;"元整"</f>
        <v>柒仟叁佰柒拾壹万元整</v>
      </c>
      <c r="O60" s="3287"/>
    </row>
    <row r="61" spans="1:35" ht="13.5" thickBot="1">
      <c r="A61" s="3522" t="s">
        <v>311</v>
      </c>
      <c r="B61" s="3522"/>
      <c r="C61" s="3522"/>
      <c r="D61" s="3522"/>
      <c r="E61" s="3522"/>
      <c r="F61" s="2283"/>
      <c r="G61" s="2283"/>
      <c r="H61" s="2284"/>
      <c r="I61" s="2278"/>
      <c r="J61" s="1500">
        <f>J59+1</f>
        <v>6</v>
      </c>
      <c r="K61" s="3454" t="s">
        <v>225</v>
      </c>
      <c r="L61" s="3454"/>
      <c r="M61" s="3291"/>
      <c r="N61" s="3292">
        <f ca="1">ROUND(N59*10000/'数据-汇总表'!E3,0)</f>
        <v>10312</v>
      </c>
      <c r="O61" s="3293"/>
    </row>
    <row r="62" spans="1:35" ht="12.75">
      <c r="A62" s="3475" t="s">
        <v>312</v>
      </c>
      <c r="B62" s="3476"/>
      <c r="C62" s="1918"/>
      <c r="D62" s="1918" t="s">
        <v>320</v>
      </c>
      <c r="E62" s="524" t="s">
        <v>321</v>
      </c>
      <c r="F62" s="2283"/>
      <c r="G62" s="2283"/>
      <c r="H62" s="2284"/>
      <c r="I62" s="2278"/>
    </row>
    <row r="63" spans="1:35" ht="12.75">
      <c r="A63" s="535" t="s">
        <v>1897</v>
      </c>
      <c r="B63" s="525" t="s">
        <v>313</v>
      </c>
      <c r="C63" s="526">
        <f ca="1">ROUND((C64+C65)/(1+'数据-取费表'!C42),0)</f>
        <v>16195</v>
      </c>
      <c r="D63" s="527"/>
      <c r="E63" s="528"/>
      <c r="F63" s="2283"/>
      <c r="G63" s="2283"/>
      <c r="H63" s="2284"/>
      <c r="I63" s="2278"/>
      <c r="J63" s="3436" t="s">
        <v>2995</v>
      </c>
      <c r="K63" s="3270" t="s">
        <v>2996</v>
      </c>
      <c r="L63" s="3268">
        <f ca="1">IF(M49&gt;10000,M49*0.5%,IF(AND(M49&gt;1000,M49&lt;=10000),M49*1%,IF(AND(M49&gt;100,M49&lt;=1000),M49*3%,IF(AND(M49&gt;10,M49&lt;=100),M49*5%,M49*8%))))</f>
        <v>85.025000000000006</v>
      </c>
      <c r="M63" s="313">
        <f ca="1">ROUND(L63,1)</f>
        <v>85</v>
      </c>
      <c r="Z63" s="1433"/>
      <c r="AI63" s="1243"/>
    </row>
    <row r="64" spans="1:35" ht="14.25" customHeight="1">
      <c r="A64" s="529" t="s">
        <v>1892</v>
      </c>
      <c r="B64" s="530" t="s">
        <v>314</v>
      </c>
      <c r="C64" s="531">
        <f ca="1">D45</f>
        <v>17005</v>
      </c>
      <c r="D64" s="532" t="s">
        <v>167</v>
      </c>
      <c r="E64" s="533"/>
      <c r="F64" s="2283"/>
      <c r="G64" s="2283"/>
      <c r="H64" s="2284"/>
      <c r="I64" s="2278"/>
      <c r="J64" s="3436"/>
      <c r="K64" s="3270" t="s">
        <v>2997</v>
      </c>
      <c r="L64" s="3268">
        <f ca="1">IF(M49&gt;2000,M49*0.5%,IF(AND(M49&gt;1000,M49&lt;=2000),M49*0.6%,IF(AND(M49&gt;500,M49&lt;=1000),M49*0.7%,IF(AND(M49&gt;200,M49&lt;=500),M49*0.8%,IF(AND(M49&gt;100,M49&lt;=200),M49*0.9%,IF(AND(M49&gt;50,M49&lt;=100),M49*1%,IF(AND(M49&gt;20,M49&lt;=50),M49*1.5%,IF(AND(M49&gt;10,M49&lt;=20),M49*2%,IF(AND(M49&gt;1,M49&lt;=10),M49*2.5%)))))))))</f>
        <v>85.025000000000006</v>
      </c>
      <c r="M64" s="313">
        <f t="shared" ref="M64:M65" ca="1" si="1">ROUND(L64,1)</f>
        <v>85</v>
      </c>
      <c r="N64" s="469" t="s">
        <v>3003</v>
      </c>
      <c r="Z64" s="1433"/>
      <c r="AI64" s="1243"/>
    </row>
    <row r="65" spans="1:35" ht="14.25" customHeight="1">
      <c r="A65" s="529" t="s">
        <v>1893</v>
      </c>
      <c r="B65" s="530" t="s">
        <v>315</v>
      </c>
      <c r="C65" s="534"/>
      <c r="D65" s="532"/>
      <c r="E65" s="533"/>
      <c r="F65" s="2283"/>
      <c r="G65" s="2283"/>
      <c r="H65" s="2284"/>
      <c r="I65" s="2278"/>
      <c r="J65" s="3436"/>
      <c r="K65" s="3270" t="s">
        <v>2998</v>
      </c>
      <c r="L65" s="3268">
        <f ca="1">IF(M49&gt;1000,M49*0.1%,IF(AND(M49&gt;500,M49&lt;=1000),M49*0.5%,IF(AND(M49&gt;50,M49&lt;=500),M49*1%,IF(AND(M49&gt;1,M49&lt;=50),M49*1.5%))))</f>
        <v>17.004999999999999</v>
      </c>
      <c r="M65" s="313">
        <f t="shared" ca="1" si="1"/>
        <v>17</v>
      </c>
      <c r="N65" s="469" t="s">
        <v>3004</v>
      </c>
      <c r="Z65" s="1433"/>
      <c r="AI65" s="1243"/>
    </row>
    <row r="66" spans="1:35" ht="14.25" customHeight="1">
      <c r="A66" s="535" t="s">
        <v>1894</v>
      </c>
      <c r="B66" s="536" t="s">
        <v>316</v>
      </c>
      <c r="C66" s="537"/>
      <c r="D66" s="538" t="s">
        <v>167</v>
      </c>
      <c r="E66" s="3319" t="s">
        <v>3043</v>
      </c>
      <c r="F66" s="2283"/>
      <c r="G66" s="2283"/>
      <c r="H66" s="2284"/>
      <c r="I66" s="2278"/>
      <c r="J66" s="3436"/>
      <c r="K66" s="3270" t="s">
        <v>2999</v>
      </c>
      <c r="L66" s="3268">
        <f ca="1">M49*0.5%</f>
        <v>85.025000000000006</v>
      </c>
      <c r="M66" s="313">
        <f ca="1">IF(L66&gt;0.5,0.5,ROUND(L66,0))</f>
        <v>0.5</v>
      </c>
      <c r="N66" s="469" t="s">
        <v>3005</v>
      </c>
      <c r="Z66" s="1433"/>
      <c r="AI66" s="1243"/>
    </row>
    <row r="67" spans="1:35" ht="14.25" customHeight="1">
      <c r="A67" s="535" t="s">
        <v>1895</v>
      </c>
      <c r="B67" s="536" t="s">
        <v>317</v>
      </c>
      <c r="C67" s="539">
        <f ca="1">C63-C66</f>
        <v>16195</v>
      </c>
      <c r="D67" s="532" t="s">
        <v>167</v>
      </c>
      <c r="E67" s="533"/>
      <c r="F67" s="2283"/>
      <c r="G67" s="2283"/>
      <c r="H67" s="2284"/>
      <c r="I67" s="2278"/>
      <c r="J67" s="3436"/>
      <c r="K67" s="3270" t="s">
        <v>3000</v>
      </c>
      <c r="L67" s="3268">
        <f ca="1">IF(M49&gt;=10000,(8.25+(M49-10000)*0.01%),IF(AND(M49&gt;=8000,M49&lt;10000),(7.85+(M49-8000)*0.02%),IF(AND(M49&gt;=5000,M49&lt;8000),(6.65+(M49-5000)*0.04%),IF(AND(M49&gt;=2000,M49&lt;5000),(4.25+(PM49-2000)*0.08%),IF(AND(M49&gt;=1000,M49&lt;2000),(2.75+(M49-1000)*0.15%),IF(AND(M49&gt;=100,M49&lt;1000),(0.5+(M49-100)*0.25%),IF(AND(M49&gt;0,M49&lt;100),M49*0.5%)))))))</f>
        <v>8.9504999999999999</v>
      </c>
      <c r="M67" s="313">
        <f ca="1">ROUND(L67*0.9,1)</f>
        <v>8.1</v>
      </c>
      <c r="Z67" s="1433"/>
      <c r="AI67" s="1243"/>
    </row>
    <row r="68" spans="1:35" ht="14.25" customHeight="1" thickBot="1">
      <c r="A68" s="540" t="s">
        <v>1896</v>
      </c>
      <c r="B68" s="541" t="s">
        <v>318</v>
      </c>
      <c r="C68" s="542">
        <f ca="1">IF(C67&lt;=0,0,ROUND(C67*D68,0))</f>
        <v>907</v>
      </c>
      <c r="D68" s="543">
        <f>'数据-取费表'!B41</f>
        <v>5.6000000000000001E-2</v>
      </c>
      <c r="E68" s="544"/>
      <c r="F68" s="2283"/>
      <c r="G68" s="2283"/>
      <c r="H68" s="2284"/>
      <c r="I68" s="2278"/>
      <c r="J68" s="3436"/>
      <c r="K68" s="3270" t="s">
        <v>3001</v>
      </c>
      <c r="L68" s="3268">
        <f ca="1">IF(M49&gt;10000,M49*0.5%,IF(AND(M49&gt;5000,M49&lt;=10000),M49*1%,IF(AND(M49&gt;1000,M49&lt;=5000),M49*2%,IF(AND(M49&gt;200,M49&lt;=1000),M49*3%,M49*5%))))</f>
        <v>85.025000000000006</v>
      </c>
      <c r="M68" s="313">
        <f ca="1">ROUND(L68,1)</f>
        <v>85</v>
      </c>
      <c r="Z68" s="1433"/>
      <c r="AI68" s="1243"/>
    </row>
    <row r="69" spans="1:35" s="1244" customFormat="1" ht="16.5" customHeight="1">
      <c r="A69" s="1258"/>
      <c r="B69" s="1259"/>
      <c r="C69" s="1260"/>
      <c r="D69" s="1261"/>
      <c r="E69" s="1262"/>
      <c r="F69" s="229"/>
      <c r="G69" s="229"/>
      <c r="H69" s="241"/>
      <c r="I69" s="1242"/>
      <c r="J69" s="3436"/>
      <c r="K69" s="3270" t="s">
        <v>187</v>
      </c>
      <c r="L69" s="3269"/>
      <c r="M69" s="313">
        <f ca="1">ROUND(SUM(M63:M68),0)</f>
        <v>281</v>
      </c>
      <c r="N69" s="3271">
        <f ca="1">M69/M49</f>
        <v>1.6524551602469861E-2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485" t="s">
        <v>319</v>
      </c>
      <c r="B70" s="3486"/>
      <c r="C70" s="3486"/>
      <c r="D70" s="3486"/>
      <c r="E70" s="3486"/>
      <c r="F70" s="3486"/>
      <c r="G70" s="3486"/>
      <c r="H70" s="3486"/>
      <c r="I70" s="1263"/>
      <c r="N70" s="2136"/>
      <c r="O70" s="2136"/>
      <c r="P70" s="2136"/>
      <c r="Q70" s="2136"/>
      <c r="R70" s="2136"/>
      <c r="S70" s="2136"/>
      <c r="T70" s="2136"/>
      <c r="U70" s="2136"/>
      <c r="V70" s="2136"/>
      <c r="W70" s="2136"/>
      <c r="X70" s="2136"/>
      <c r="Y70" s="2136"/>
      <c r="Z70" s="2136"/>
      <c r="AA70" s="1434"/>
      <c r="AB70" s="1434"/>
      <c r="AC70" s="1434"/>
      <c r="AD70" s="1434"/>
      <c r="AE70" s="1434"/>
      <c r="AF70" s="1434"/>
      <c r="AG70" s="1434"/>
      <c r="AH70" s="1434"/>
      <c r="AI70" s="1434"/>
    </row>
    <row r="71" spans="1:35" s="1264" customFormat="1" ht="14.25">
      <c r="A71" s="3475" t="s">
        <v>312</v>
      </c>
      <c r="B71" s="3476"/>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4"/>
      <c r="AB71" s="1434"/>
      <c r="AC71" s="1434"/>
      <c r="AD71" s="1434"/>
      <c r="AE71" s="1434"/>
      <c r="AF71" s="1434"/>
      <c r="AG71" s="1434"/>
      <c r="AH71" s="1434"/>
      <c r="AI71" s="1434"/>
    </row>
    <row r="72" spans="1:35" s="1264" customFormat="1" ht="14.25">
      <c r="A72" s="535" t="s">
        <v>1897</v>
      </c>
      <c r="B72" s="536" t="s">
        <v>322</v>
      </c>
      <c r="C72" s="539">
        <f ca="1">ROUND(D45/(1+'数据-取费表'!C42),0)</f>
        <v>16195</v>
      </c>
      <c r="D72" s="532" t="s">
        <v>167</v>
      </c>
      <c r="E72" s="1921"/>
      <c r="F72" s="1922"/>
      <c r="G72" s="1922"/>
      <c r="H72" s="548"/>
      <c r="I72" s="2285"/>
      <c r="N72" s="2136"/>
      <c r="O72" s="2136"/>
      <c r="P72" s="2136"/>
      <c r="Q72" s="2136"/>
      <c r="R72" s="2136"/>
      <c r="S72" s="2136"/>
      <c r="T72" s="2136"/>
      <c r="U72" s="2136"/>
      <c r="V72" s="2136"/>
      <c r="W72" s="2136"/>
      <c r="X72" s="2136"/>
      <c r="Y72" s="2136"/>
      <c r="Z72" s="2136"/>
      <c r="AA72" s="1434"/>
      <c r="AB72" s="1434"/>
      <c r="AC72" s="1434"/>
      <c r="AD72" s="1434"/>
      <c r="AE72" s="1434"/>
      <c r="AF72" s="1434"/>
      <c r="AG72" s="1434"/>
      <c r="AH72" s="1434"/>
      <c r="AI72" s="1434"/>
    </row>
    <row r="73" spans="1:35" s="1264" customFormat="1" ht="14.25">
      <c r="A73" s="535" t="s">
        <v>1894</v>
      </c>
      <c r="B73" s="505" t="s">
        <v>323</v>
      </c>
      <c r="C73" s="539">
        <f ca="1">C74+C78</f>
        <v>97</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4"/>
      <c r="AB73" s="1434"/>
      <c r="AC73" s="1434"/>
      <c r="AD73" s="1434"/>
      <c r="AE73" s="1434"/>
      <c r="AF73" s="1434"/>
      <c r="AG73" s="1434"/>
      <c r="AH73" s="1434"/>
      <c r="AI73" s="1434"/>
    </row>
    <row r="74" spans="1:35" s="1264" customFormat="1" ht="24">
      <c r="A74" s="549" t="s">
        <v>1898</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4"/>
      <c r="AB74" s="1434"/>
      <c r="AC74" s="1434"/>
      <c r="AD74" s="1434"/>
      <c r="AE74" s="1434"/>
      <c r="AF74" s="1434"/>
      <c r="AG74" s="1434"/>
      <c r="AH74" s="1434"/>
      <c r="AI74" s="1434"/>
    </row>
    <row r="75" spans="1:35" s="1264" customFormat="1" ht="13.5">
      <c r="A75" s="549" t="s">
        <v>1899</v>
      </c>
      <c r="B75" s="530" t="s">
        <v>325</v>
      </c>
      <c r="C75" s="550"/>
      <c r="D75" s="532" t="s">
        <v>167</v>
      </c>
      <c r="E75" s="551" t="s">
        <v>326</v>
      </c>
      <c r="F75" s="1426" t="s">
        <v>2418</v>
      </c>
      <c r="G75" s="551" t="s">
        <v>794</v>
      </c>
      <c r="H75" s="552"/>
      <c r="I75" s="2286"/>
      <c r="J75" s="2136"/>
      <c r="K75" s="2136"/>
      <c r="L75" s="2136"/>
      <c r="M75" s="2136"/>
      <c r="N75" s="2136"/>
      <c r="O75" s="2136"/>
      <c r="P75" s="2136"/>
      <c r="Q75" s="2136"/>
      <c r="R75" s="2136"/>
      <c r="S75" s="2136"/>
      <c r="T75" s="2136"/>
      <c r="U75" s="2136"/>
      <c r="V75" s="2136"/>
      <c r="W75" s="2136"/>
      <c r="X75" s="2136"/>
      <c r="Y75" s="2136"/>
      <c r="Z75" s="2136"/>
      <c r="AA75" s="1434"/>
      <c r="AB75" s="1434"/>
      <c r="AC75" s="1434"/>
      <c r="AD75" s="1434"/>
      <c r="AE75" s="1434"/>
      <c r="AF75" s="1434"/>
      <c r="AG75" s="1434"/>
      <c r="AH75" s="1434"/>
      <c r="AI75" s="1434"/>
    </row>
    <row r="76" spans="1:35" s="1264" customFormat="1" ht="24.75" customHeight="1">
      <c r="A76" s="549" t="s">
        <v>1901</v>
      </c>
      <c r="B76" s="553" t="s">
        <v>327</v>
      </c>
      <c r="C76" s="532">
        <f>IF(F75="购房发票",ROUND(C75*H75*D76,0),0)</f>
        <v>0</v>
      </c>
      <c r="D76" s="554">
        <v>0.05</v>
      </c>
      <c r="E76" s="3482" t="s">
        <v>328</v>
      </c>
      <c r="F76" s="3481"/>
      <c r="G76" s="3481"/>
      <c r="H76" s="3484"/>
      <c r="I76" s="2285"/>
      <c r="J76" s="2136"/>
      <c r="K76" s="2136"/>
      <c r="L76" s="2136"/>
      <c r="M76" s="2136"/>
      <c r="N76" s="2136"/>
      <c r="O76" s="2136"/>
      <c r="P76" s="2136"/>
      <c r="Q76" s="2136"/>
      <c r="R76" s="2136"/>
      <c r="S76" s="2136"/>
      <c r="T76" s="2136"/>
      <c r="U76" s="2136"/>
      <c r="V76" s="2136"/>
      <c r="W76" s="2136"/>
      <c r="X76" s="2136"/>
      <c r="Y76" s="2136"/>
      <c r="Z76" s="2136"/>
      <c r="AA76" s="1434"/>
      <c r="AB76" s="1434"/>
      <c r="AC76" s="1434"/>
      <c r="AD76" s="1434"/>
      <c r="AE76" s="1434"/>
      <c r="AF76" s="1434"/>
      <c r="AG76" s="1434"/>
      <c r="AH76" s="1434"/>
      <c r="AI76" s="1434"/>
    </row>
    <row r="77" spans="1:35" s="1264" customFormat="1" ht="24.75" customHeight="1">
      <c r="A77" s="549" t="s">
        <v>1902</v>
      </c>
      <c r="B77" s="530" t="s">
        <v>329</v>
      </c>
      <c r="C77" s="532">
        <f>ROUND(IF(G77="个人住宅",0,IF(G77="2016年5月1日前购买",C75*D77,C75*D77/(1+'数据-取费表'!C42))),0)</f>
        <v>0</v>
      </c>
      <c r="D77" s="555">
        <f>'数据-取费表'!B48+'数据-取费表'!B49</f>
        <v>3.0499999999999999E-2</v>
      </c>
      <c r="E77" s="303" t="s">
        <v>795</v>
      </c>
      <c r="F77" s="556"/>
      <c r="G77" s="1427" t="s">
        <v>2508</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4"/>
      <c r="AB77" s="1434"/>
      <c r="AC77" s="1434"/>
      <c r="AD77" s="1434"/>
      <c r="AE77" s="1434"/>
      <c r="AF77" s="1434"/>
      <c r="AG77" s="1434"/>
      <c r="AH77" s="1434"/>
      <c r="AI77" s="1434"/>
    </row>
    <row r="78" spans="1:35" s="1264" customFormat="1" ht="24.75" customHeight="1">
      <c r="A78" s="549" t="s">
        <v>1900</v>
      </c>
      <c r="B78" s="530" t="s">
        <v>330</v>
      </c>
      <c r="C78" s="557">
        <f ca="1">ROUND(D45*D78/(1+'数据-取费表'!C42),0)</f>
        <v>97</v>
      </c>
      <c r="D78" s="558">
        <f>'数据-取费表'!B43</f>
        <v>6.000000000000001E-3</v>
      </c>
      <c r="E78" s="3477" t="s">
        <v>2509</v>
      </c>
      <c r="F78" s="3473"/>
      <c r="G78" s="3473"/>
      <c r="H78" s="3474"/>
      <c r="I78" s="2287"/>
      <c r="J78" s="2136"/>
      <c r="K78" s="2136"/>
      <c r="L78" s="2136"/>
      <c r="M78" s="2136"/>
      <c r="N78" s="2136"/>
      <c r="O78" s="2136"/>
      <c r="P78" s="2136"/>
      <c r="Q78" s="2136"/>
      <c r="R78" s="2136"/>
      <c r="S78" s="2136"/>
      <c r="T78" s="2136"/>
      <c r="U78" s="2136"/>
      <c r="V78" s="2136"/>
      <c r="W78" s="2136"/>
      <c r="X78" s="2136"/>
      <c r="Y78" s="2136"/>
      <c r="Z78" s="2136"/>
      <c r="AA78" s="1434"/>
      <c r="AB78" s="1434"/>
      <c r="AC78" s="1434"/>
      <c r="AD78" s="1434"/>
      <c r="AE78" s="1434"/>
      <c r="AF78" s="1434"/>
      <c r="AG78" s="1434"/>
      <c r="AH78" s="1434"/>
      <c r="AI78" s="1434"/>
    </row>
    <row r="79" spans="1:35" s="1264" customFormat="1" ht="14.25">
      <c r="A79" s="1800" t="s">
        <v>1903</v>
      </c>
      <c r="B79" s="536" t="s">
        <v>331</v>
      </c>
      <c r="C79" s="539">
        <f ca="1">C72-C73</f>
        <v>16098</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4"/>
      <c r="AB79" s="1434"/>
      <c r="AC79" s="1434"/>
      <c r="AD79" s="1434"/>
      <c r="AE79" s="1434"/>
      <c r="AF79" s="1434"/>
      <c r="AG79" s="1434"/>
      <c r="AH79" s="1434"/>
      <c r="AI79" s="1434"/>
    </row>
    <row r="80" spans="1:35" s="1264" customFormat="1" ht="24">
      <c r="A80" s="1800" t="s">
        <v>1904</v>
      </c>
      <c r="B80" s="536" t="s">
        <v>332</v>
      </c>
      <c r="C80" s="559">
        <f ca="1">IF(C79&lt;=0,0,C79/C73)</f>
        <v>165.95876288659792</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4"/>
      <c r="AB80" s="1434"/>
      <c r="AC80" s="1434"/>
      <c r="AD80" s="1434"/>
      <c r="AE80" s="1434"/>
      <c r="AF80" s="1434"/>
      <c r="AG80" s="1434"/>
      <c r="AH80" s="1434"/>
      <c r="AI80" s="1434"/>
    </row>
    <row r="81" spans="1:35" s="1264" customFormat="1" ht="24.75" thickBot="1">
      <c r="A81" s="1801" t="s">
        <v>1905</v>
      </c>
      <c r="B81" s="541" t="s">
        <v>333</v>
      </c>
      <c r="C81" s="560">
        <f ca="1">ROUND(IF(C79&lt;=0,0,IF(C80&gt;=200%,C79*60%-C73*35%,IF(C80&gt;=100%,C79*50%-C73*15%,IF(C80&gt;=50%,C79*40%-C73*5%,IF(C80&lt;50%,C79*30%,0))))),0)</f>
        <v>9625</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7"/>
      <c r="J82" s="2136"/>
      <c r="K82" s="2136"/>
      <c r="L82" s="2136"/>
      <c r="M82" s="2136"/>
      <c r="N82" s="2136"/>
      <c r="O82" s="2136"/>
      <c r="P82" s="2136"/>
      <c r="Q82" s="2136"/>
      <c r="R82" s="2136"/>
      <c r="S82" s="2136"/>
      <c r="T82" s="2136"/>
      <c r="U82" s="2136"/>
      <c r="V82" s="2136"/>
      <c r="W82" s="2136"/>
      <c r="X82" s="2136"/>
      <c r="Y82" s="2136"/>
      <c r="Z82" s="2136"/>
      <c r="AA82" s="1434"/>
      <c r="AB82" s="1434"/>
      <c r="AC82" s="1434"/>
      <c r="AD82" s="1434"/>
      <c r="AE82" s="1434"/>
      <c r="AF82" s="1434"/>
      <c r="AG82" s="1434"/>
      <c r="AH82" s="1434"/>
      <c r="AI82" s="1434"/>
    </row>
    <row r="83" spans="1:35" s="1264" customFormat="1" ht="14.25" thickBot="1">
      <c r="A83" s="3485" t="s">
        <v>334</v>
      </c>
      <c r="B83" s="3486"/>
      <c r="C83" s="3486"/>
      <c r="D83" s="3486"/>
      <c r="E83" s="3486"/>
      <c r="F83" s="3486"/>
      <c r="G83" s="3486"/>
      <c r="H83" s="3486"/>
      <c r="I83" s="2286"/>
      <c r="J83" s="2136"/>
      <c r="K83" s="2136"/>
      <c r="L83" s="2136"/>
      <c r="M83" s="2136"/>
      <c r="N83" s="2136"/>
      <c r="O83" s="2136"/>
      <c r="P83" s="2136"/>
      <c r="Q83" s="2136"/>
      <c r="R83" s="2136"/>
      <c r="S83" s="2136"/>
      <c r="T83" s="2136"/>
      <c r="U83" s="2136"/>
      <c r="V83" s="2136"/>
      <c r="W83" s="2136"/>
      <c r="X83" s="2136"/>
      <c r="Y83" s="2136"/>
      <c r="Z83" s="2136"/>
      <c r="AA83" s="1434"/>
      <c r="AB83" s="1434"/>
      <c r="AC83" s="1434"/>
      <c r="AD83" s="1434"/>
      <c r="AE83" s="1434"/>
      <c r="AF83" s="1434"/>
      <c r="AG83" s="1434"/>
      <c r="AH83" s="1434"/>
      <c r="AI83" s="1434"/>
    </row>
    <row r="84" spans="1:35" s="1264" customFormat="1" ht="13.5">
      <c r="A84" s="3475" t="s">
        <v>312</v>
      </c>
      <c r="B84" s="3476"/>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4"/>
      <c r="AB84" s="1434"/>
      <c r="AC84" s="1434"/>
      <c r="AD84" s="1434"/>
      <c r="AE84" s="1434"/>
      <c r="AF84" s="1434"/>
      <c r="AG84" s="1434"/>
      <c r="AH84" s="1434"/>
      <c r="AI84" s="1434"/>
    </row>
    <row r="85" spans="1:35" s="1264" customFormat="1" ht="13.5">
      <c r="A85" s="535" t="s">
        <v>1897</v>
      </c>
      <c r="B85" s="536" t="s">
        <v>322</v>
      </c>
      <c r="C85" s="539">
        <f ca="1">ROUND(D45/(1+'数据-取费表'!C42),0)</f>
        <v>16195</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4"/>
      <c r="AB85" s="1434"/>
      <c r="AC85" s="1434"/>
      <c r="AD85" s="1434"/>
      <c r="AE85" s="1434"/>
      <c r="AF85" s="1434"/>
      <c r="AG85" s="1434"/>
      <c r="AH85" s="1434"/>
      <c r="AI85" s="1434"/>
    </row>
    <row r="86" spans="1:35" s="1264" customFormat="1" ht="13.5">
      <c r="A86" s="535" t="s">
        <v>1894</v>
      </c>
      <c r="B86" s="505" t="s">
        <v>323</v>
      </c>
      <c r="C86" s="539">
        <f ca="1">IF(H88="仅含出让金",C87+C90+C91+C92+C93+C94,C87+C91+C92+C93+C94)</f>
        <v>97</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4"/>
      <c r="AB86" s="1434"/>
      <c r="AC86" s="1434"/>
      <c r="AD86" s="1434"/>
      <c r="AE86" s="1434"/>
      <c r="AF86" s="1434"/>
      <c r="AG86" s="1434"/>
      <c r="AH86" s="1434"/>
      <c r="AI86" s="1434"/>
    </row>
    <row r="87" spans="1:35" s="1264" customFormat="1" ht="13.5">
      <c r="A87" s="549" t="s">
        <v>1898</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4"/>
      <c r="AB87" s="1434"/>
      <c r="AC87" s="1434"/>
      <c r="AD87" s="1434"/>
      <c r="AE87" s="1434"/>
      <c r="AF87" s="1434"/>
      <c r="AG87" s="1434"/>
      <c r="AH87" s="1434"/>
      <c r="AI87" s="1434"/>
    </row>
    <row r="88" spans="1:35" s="1264" customFormat="1" ht="13.5">
      <c r="A88" s="549" t="s">
        <v>1899</v>
      </c>
      <c r="B88" s="530" t="s">
        <v>336</v>
      </c>
      <c r="C88" s="568"/>
      <c r="D88" s="558"/>
      <c r="E88" s="569" t="s">
        <v>337</v>
      </c>
      <c r="F88" s="1917"/>
      <c r="G88" s="570" t="s">
        <v>338</v>
      </c>
      <c r="H88" s="1428"/>
      <c r="I88" s="2286"/>
      <c r="J88" s="2136"/>
      <c r="K88" s="2136"/>
      <c r="L88" s="2136"/>
      <c r="M88" s="2136"/>
      <c r="N88" s="2136"/>
      <c r="O88" s="2136"/>
      <c r="P88" s="2136"/>
      <c r="Q88" s="2136"/>
      <c r="R88" s="2136"/>
      <c r="S88" s="2136"/>
      <c r="T88" s="2136"/>
      <c r="U88" s="2136"/>
      <c r="V88" s="2136"/>
      <c r="W88" s="2136"/>
      <c r="X88" s="2136"/>
      <c r="Y88" s="2136"/>
      <c r="Z88" s="2136"/>
      <c r="AA88" s="1434"/>
      <c r="AB88" s="1434"/>
      <c r="AC88" s="1434"/>
      <c r="AD88" s="1434"/>
      <c r="AE88" s="1434"/>
      <c r="AF88" s="1434"/>
      <c r="AG88" s="1434"/>
      <c r="AH88" s="1434"/>
      <c r="AI88" s="1434"/>
    </row>
    <row r="89" spans="1:35" s="1264" customFormat="1" ht="13.5">
      <c r="A89" s="549" t="s">
        <v>1901</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4"/>
      <c r="AB89" s="1434"/>
      <c r="AC89" s="1434"/>
      <c r="AD89" s="1434"/>
      <c r="AE89" s="1434"/>
      <c r="AF89" s="1434"/>
      <c r="AG89" s="1434"/>
      <c r="AH89" s="1434"/>
      <c r="AI89" s="1434"/>
    </row>
    <row r="90" spans="1:35" s="1264" customFormat="1" ht="13.5">
      <c r="A90" s="549" t="s">
        <v>1900</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4"/>
      <c r="AB90" s="1434"/>
      <c r="AC90" s="1434"/>
      <c r="AD90" s="1434"/>
      <c r="AE90" s="1434"/>
      <c r="AF90" s="1434"/>
      <c r="AG90" s="1434"/>
      <c r="AH90" s="1434"/>
      <c r="AI90" s="1434"/>
    </row>
    <row r="91" spans="1:35" s="1264" customFormat="1" ht="27.75" customHeight="1">
      <c r="A91" s="1802" t="s">
        <v>1906</v>
      </c>
      <c r="B91" s="530" t="s">
        <v>341</v>
      </c>
      <c r="C91" s="557">
        <f>IF(H91="——",成本法!C33,I91)</f>
        <v>0</v>
      </c>
      <c r="D91" s="558"/>
      <c r="E91" s="3472" t="s">
        <v>796</v>
      </c>
      <c r="F91" s="3473"/>
      <c r="G91" s="3473"/>
      <c r="H91" s="1429" t="s">
        <v>2318</v>
      </c>
      <c r="I91" s="2183"/>
      <c r="J91" s="2136"/>
      <c r="K91" s="2136"/>
      <c r="L91" s="2136"/>
      <c r="M91" s="2136"/>
      <c r="N91" s="2136"/>
      <c r="O91" s="2136"/>
      <c r="P91" s="2136"/>
      <c r="Q91" s="2136"/>
      <c r="R91" s="2136"/>
      <c r="S91" s="2136"/>
      <c r="T91" s="2136"/>
      <c r="U91" s="2136"/>
      <c r="V91" s="2136"/>
      <c r="W91" s="2136"/>
      <c r="X91" s="2136"/>
      <c r="Y91" s="2136"/>
      <c r="Z91" s="2136"/>
      <c r="AA91" s="1434"/>
      <c r="AB91" s="1434"/>
      <c r="AC91" s="1434"/>
      <c r="AD91" s="1434"/>
      <c r="AE91" s="1434"/>
      <c r="AF91" s="1434"/>
      <c r="AG91" s="1434"/>
      <c r="AH91" s="1434"/>
      <c r="AI91" s="1434"/>
    </row>
    <row r="92" spans="1:35" s="1264" customFormat="1" ht="25.5" customHeight="1">
      <c r="A92" s="1802" t="s">
        <v>1907</v>
      </c>
      <c r="B92" s="530" t="s">
        <v>342</v>
      </c>
      <c r="C92" s="557">
        <f>ROUND((C87+C90+C91)*D92,0)</f>
        <v>0</v>
      </c>
      <c r="D92" s="558">
        <v>0.1</v>
      </c>
      <c r="E92" s="3472" t="s">
        <v>343</v>
      </c>
      <c r="F92" s="3473"/>
      <c r="G92" s="3473"/>
      <c r="H92" s="3474"/>
      <c r="I92" s="2286"/>
      <c r="J92" s="2136"/>
      <c r="K92" s="2136"/>
      <c r="L92" s="2136"/>
      <c r="M92" s="2136"/>
      <c r="N92" s="2136"/>
      <c r="O92" s="2136"/>
      <c r="P92" s="2136"/>
      <c r="Q92" s="2136"/>
      <c r="R92" s="2136"/>
      <c r="S92" s="2136"/>
      <c r="T92" s="2136"/>
      <c r="U92" s="2136"/>
      <c r="V92" s="2136"/>
      <c r="W92" s="2136"/>
      <c r="X92" s="2136"/>
      <c r="Y92" s="2136"/>
      <c r="Z92" s="2136"/>
      <c r="AA92" s="1434"/>
      <c r="AB92" s="1434"/>
      <c r="AC92" s="1434"/>
      <c r="AD92" s="1434"/>
      <c r="AE92" s="1434"/>
      <c r="AF92" s="1434"/>
      <c r="AG92" s="1434"/>
      <c r="AH92" s="1434"/>
      <c r="AI92" s="1434"/>
    </row>
    <row r="93" spans="1:35" s="1264" customFormat="1" ht="25.5" customHeight="1">
      <c r="A93" s="1802" t="s">
        <v>1908</v>
      </c>
      <c r="B93" s="530" t="s">
        <v>330</v>
      </c>
      <c r="C93" s="557">
        <f ca="1">ROUND(D45*D93/(1+'数据-取费表'!C42),0)</f>
        <v>97</v>
      </c>
      <c r="D93" s="558">
        <f>'数据-取费表'!B43</f>
        <v>6.000000000000001E-3</v>
      </c>
      <c r="E93" s="3477" t="s">
        <v>2509</v>
      </c>
      <c r="F93" s="3473"/>
      <c r="G93" s="3473"/>
      <c r="H93" s="3474"/>
      <c r="I93" s="2286"/>
      <c r="J93" s="2136"/>
      <c r="K93" s="2136"/>
      <c r="L93" s="2136"/>
      <c r="M93" s="2136"/>
      <c r="N93" s="2136"/>
      <c r="O93" s="2136"/>
      <c r="P93" s="2136"/>
      <c r="Q93" s="2136"/>
      <c r="R93" s="2136"/>
      <c r="S93" s="2136"/>
      <c r="T93" s="2136"/>
      <c r="U93" s="2136"/>
      <c r="V93" s="2136"/>
      <c r="W93" s="2136"/>
      <c r="X93" s="2136"/>
      <c r="Y93" s="2136"/>
      <c r="Z93" s="2136"/>
      <c r="AA93" s="1434"/>
      <c r="AB93" s="1434"/>
      <c r="AC93" s="1434"/>
      <c r="AD93" s="1434"/>
      <c r="AE93" s="1434"/>
      <c r="AF93" s="1434"/>
      <c r="AG93" s="1434"/>
      <c r="AH93" s="1434"/>
      <c r="AI93" s="1434"/>
    </row>
    <row r="94" spans="1:35" s="1264" customFormat="1" ht="25.5" customHeight="1">
      <c r="A94" s="1802" t="s">
        <v>1909</v>
      </c>
      <c r="B94" s="530" t="s">
        <v>344</v>
      </c>
      <c r="C94" s="557">
        <f>ROUND((C87+C90+C91)*D94,0)</f>
        <v>0</v>
      </c>
      <c r="D94" s="558">
        <v>0.2</v>
      </c>
      <c r="E94" s="3472" t="s">
        <v>345</v>
      </c>
      <c r="F94" s="3473"/>
      <c r="G94" s="3473"/>
      <c r="H94" s="3474"/>
      <c r="I94" s="2286"/>
      <c r="J94" s="2136"/>
      <c r="K94" s="2136"/>
      <c r="L94" s="2136"/>
      <c r="M94" s="2136"/>
      <c r="N94" s="2136"/>
      <c r="O94" s="2136"/>
      <c r="P94" s="2136"/>
      <c r="Q94" s="2136"/>
      <c r="R94" s="2136"/>
      <c r="S94" s="2136"/>
      <c r="T94" s="2136"/>
      <c r="U94" s="2136"/>
      <c r="V94" s="2136"/>
      <c r="W94" s="2136"/>
      <c r="X94" s="2136"/>
      <c r="Y94" s="2136"/>
      <c r="Z94" s="2136"/>
      <c r="AA94" s="1434"/>
      <c r="AB94" s="1434"/>
      <c r="AC94" s="1434"/>
      <c r="AD94" s="1434"/>
      <c r="AE94" s="1434"/>
      <c r="AF94" s="1434"/>
      <c r="AG94" s="1434"/>
      <c r="AH94" s="1434"/>
      <c r="AI94" s="1434"/>
    </row>
    <row r="95" spans="1:35" s="1264" customFormat="1" ht="13.5">
      <c r="A95" s="1800" t="s">
        <v>1903</v>
      </c>
      <c r="B95" s="536" t="s">
        <v>331</v>
      </c>
      <c r="C95" s="539">
        <f ca="1">ROUND(C85-C86,0)</f>
        <v>16098</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4"/>
      <c r="AB95" s="1434"/>
      <c r="AC95" s="1434"/>
      <c r="AD95" s="1434"/>
      <c r="AE95" s="1434"/>
      <c r="AF95" s="1434"/>
      <c r="AG95" s="1434"/>
      <c r="AH95" s="1434"/>
      <c r="AI95" s="1434"/>
    </row>
    <row r="96" spans="1:35" s="1264" customFormat="1" ht="24">
      <c r="A96" s="1800" t="s">
        <v>1904</v>
      </c>
      <c r="B96" s="536" t="s">
        <v>332</v>
      </c>
      <c r="C96" s="559">
        <f ca="1">IF(C95&lt;=0,0,C95/C86)</f>
        <v>165.95876288659792</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4"/>
      <c r="AB96" s="1434"/>
      <c r="AC96" s="1434"/>
      <c r="AD96" s="1434"/>
      <c r="AE96" s="1434"/>
      <c r="AF96" s="1434"/>
      <c r="AG96" s="1434"/>
      <c r="AH96" s="1434"/>
      <c r="AI96" s="1434"/>
    </row>
    <row r="97" spans="1:35" s="1264" customFormat="1" ht="24.75" thickBot="1">
      <c r="A97" s="1801" t="s">
        <v>1905</v>
      </c>
      <c r="B97" s="541" t="s">
        <v>333</v>
      </c>
      <c r="C97" s="560">
        <f ca="1">ROUND(IF(C95&lt;=0,0,IF(C96&gt;=200%,C95*60%-C86*35%,IF(C96&gt;=100%,C95*50%-C86*15%,IF(C96&gt;=50%,C95*40%-C86*5%,IF(C96&lt;50%,C95*30%,0))))),0)</f>
        <v>9625</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8"/>
    </row>
    <row r="99" spans="1:35" ht="21.75" customHeight="1" thickBot="1">
      <c r="A99" s="1251" t="s">
        <v>229</v>
      </c>
      <c r="B99" s="1242"/>
      <c r="C99" s="1242"/>
      <c r="D99" s="1242"/>
      <c r="E99" s="229"/>
      <c r="F99" s="229"/>
      <c r="G99" s="229"/>
      <c r="H99" s="241"/>
      <c r="I99" s="2278"/>
    </row>
    <row r="100" spans="1:35" ht="18.75" customHeight="1">
      <c r="A100" s="3420" t="s">
        <v>230</v>
      </c>
      <c r="B100" s="3421"/>
      <c r="C100" s="3421"/>
      <c r="D100" s="3455"/>
      <c r="E100" s="3421" t="s">
        <v>2908</v>
      </c>
      <c r="F100" s="3421"/>
      <c r="G100" s="3421"/>
      <c r="H100" s="3455"/>
      <c r="I100" s="2278"/>
    </row>
    <row r="101" spans="1:35" ht="18.75" customHeight="1">
      <c r="A101" s="3463" t="s">
        <v>208</v>
      </c>
      <c r="B101" s="3464"/>
      <c r="C101" s="1265" t="str">
        <f>C4</f>
        <v>成本法</v>
      </c>
      <c r="D101" s="1266" t="str">
        <f>D4</f>
        <v>收益法</v>
      </c>
      <c r="E101" s="3432" t="s">
        <v>1911</v>
      </c>
      <c r="F101" s="3433"/>
      <c r="G101" s="1267" t="s">
        <v>210</v>
      </c>
      <c r="H101" s="1986">
        <f ca="1">H118</f>
        <v>17005</v>
      </c>
      <c r="I101" s="2278"/>
    </row>
    <row r="102" spans="1:35" ht="18.75" customHeight="1">
      <c r="A102" s="3465" t="s">
        <v>209</v>
      </c>
      <c r="B102" s="1267" t="s">
        <v>210</v>
      </c>
      <c r="C102" s="1234">
        <f ca="1">C19</f>
        <v>31452</v>
      </c>
      <c r="D102" s="1235">
        <f ca="1">D19</f>
        <v>7374</v>
      </c>
      <c r="E102" s="3432"/>
      <c r="F102" s="3433"/>
      <c r="G102" s="1267" t="s">
        <v>211</v>
      </c>
      <c r="H102" s="711">
        <f ca="1">I118</f>
        <v>23790</v>
      </c>
      <c r="I102" s="2278"/>
    </row>
    <row r="103" spans="1:35" ht="42.75" customHeight="1">
      <c r="A103" s="3465"/>
      <c r="B103" s="1267" t="s">
        <v>211</v>
      </c>
      <c r="C103" s="1236">
        <f ca="1">C20</f>
        <v>44001</v>
      </c>
      <c r="D103" s="1237">
        <f ca="1">D20</f>
        <v>10316</v>
      </c>
      <c r="E103" s="3426" t="s">
        <v>3018</v>
      </c>
      <c r="F103" s="3427"/>
      <c r="G103" s="1268" t="s">
        <v>213</v>
      </c>
      <c r="H103" s="1986">
        <f>IF(D36="正常操作",H104+H105+H106,H105+H106)</f>
        <v>0</v>
      </c>
      <c r="I103" s="2278"/>
    </row>
    <row r="104" spans="1:35" ht="18.75" customHeight="1">
      <c r="A104" s="3465" t="s">
        <v>212</v>
      </c>
      <c r="B104" s="1269" t="s">
        <v>210</v>
      </c>
      <c r="C104" s="1238">
        <f ca="1">H118</f>
        <v>17005</v>
      </c>
      <c r="D104" s="1239"/>
      <c r="E104" s="13" t="s">
        <v>1910</v>
      </c>
      <c r="F104" s="6"/>
      <c r="G104" s="1268" t="s">
        <v>213</v>
      </c>
      <c r="H104" s="1987">
        <f>IF(D36="同一抵押权人同一抵押物续贷",C36&amp;"（未扣减，详见特别提示）",C36)</f>
        <v>0</v>
      </c>
      <c r="I104" s="2278"/>
    </row>
    <row r="105" spans="1:35" ht="18.75" customHeight="1" thickBot="1">
      <c r="A105" s="3479"/>
      <c r="B105" s="1270" t="s">
        <v>211</v>
      </c>
      <c r="C105" s="1240">
        <f ca="1">I118</f>
        <v>23790</v>
      </c>
      <c r="D105" s="1241"/>
      <c r="E105" s="13" t="s">
        <v>1912</v>
      </c>
      <c r="F105" s="6"/>
      <c r="G105" s="1268" t="s">
        <v>213</v>
      </c>
      <c r="H105" s="1987">
        <f>C37</f>
        <v>0</v>
      </c>
      <c r="I105" s="2278"/>
    </row>
    <row r="106" spans="1:35" ht="18.75" customHeight="1">
      <c r="A106" s="1242" t="s">
        <v>2008</v>
      </c>
      <c r="B106" s="1242"/>
      <c r="C106" s="1242"/>
      <c r="D106" s="1242"/>
      <c r="E106" s="467" t="s">
        <v>1913</v>
      </c>
      <c r="F106" s="6"/>
      <c r="G106" s="1268" t="s">
        <v>213</v>
      </c>
      <c r="H106" s="1987">
        <f>C38</f>
        <v>0</v>
      </c>
      <c r="I106" s="2278"/>
    </row>
    <row r="107" spans="1:35" ht="18.75" customHeight="1">
      <c r="A107" s="2278"/>
      <c r="B107" s="2278"/>
      <c r="C107" s="2278"/>
      <c r="D107" s="2278"/>
      <c r="E107" s="3467" t="str">
        <f>IF(项目基本情况!E8="已注销","——","3.房地产抵押价值")</f>
        <v>3.房地产抵押价值</v>
      </c>
      <c r="F107" s="3433"/>
      <c r="G107" s="1267" t="s">
        <v>210</v>
      </c>
      <c r="H107" s="1986">
        <f ca="1">IF(E107="——","——",H101-H103)</f>
        <v>17005</v>
      </c>
      <c r="I107" s="2278"/>
    </row>
    <row r="108" spans="1:35" ht="18.75" customHeight="1">
      <c r="A108" s="2278"/>
      <c r="B108" s="2278"/>
      <c r="C108" s="2278"/>
      <c r="D108" s="2278"/>
      <c r="E108" s="3467"/>
      <c r="F108" s="3433"/>
      <c r="G108" s="1267" t="s">
        <v>211</v>
      </c>
      <c r="H108" s="711">
        <f ca="1">ROUND(H107*10000/'数据-汇总表'!E3,0)</f>
        <v>23790</v>
      </c>
      <c r="I108" s="2278"/>
    </row>
    <row r="109" spans="1:35" ht="18.75" customHeight="1">
      <c r="A109" s="2278"/>
      <c r="B109" s="2278"/>
      <c r="C109" s="2278"/>
      <c r="D109" s="2278"/>
      <c r="E109" s="3467" t="str">
        <f>IF(项目基本情况!E8="已注销及未注销","4.抵押担保权已注销时的房地产抵押价值",IF(项目基本情况!E8="已注销","3.抵押担保权已注销时的房地产抵押价值","——"))</f>
        <v>——</v>
      </c>
      <c r="F109" s="3433"/>
      <c r="G109" s="1267" t="s">
        <v>210</v>
      </c>
      <c r="H109" s="685" t="str">
        <f>IF(E109="——","——",H101-H105-H106)</f>
        <v>——</v>
      </c>
      <c r="I109" s="2278"/>
    </row>
    <row r="110" spans="1:35" ht="18.75" customHeight="1">
      <c r="A110" s="2278"/>
      <c r="B110" s="2278"/>
      <c r="C110" s="2278"/>
      <c r="D110" s="2278"/>
      <c r="E110" s="3467"/>
      <c r="F110" s="3433"/>
      <c r="G110" s="1267" t="s">
        <v>211</v>
      </c>
      <c r="H110" s="711" t="str">
        <f>IF(H109="——","——",ROUND(H109*10000/'数据-汇总表'!E3,0))</f>
        <v>——</v>
      </c>
      <c r="I110" s="2278"/>
    </row>
    <row r="111" spans="1:35" ht="18.75" customHeight="1">
      <c r="A111" s="2278"/>
      <c r="B111" s="2278"/>
      <c r="C111" s="2278"/>
      <c r="D111" s="2278"/>
      <c r="E111" s="3468" t="str">
        <f>IF(项目基本情况!E9="抵押净值",IF(OR(项目基本情况!E8="已注销",项目基本情况!E8="房地产抵押价值"),"4.抵押净值","5.抵押净值"),"——")</f>
        <v>——</v>
      </c>
      <c r="F111" s="3469"/>
      <c r="G111" s="1267" t="s">
        <v>210</v>
      </c>
      <c r="H111" s="1986" t="str">
        <f>IF(E111="——","——",N59)</f>
        <v>——</v>
      </c>
      <c r="I111" s="2278"/>
    </row>
    <row r="112" spans="1:35" ht="18.75" customHeight="1" thickBot="1">
      <c r="A112" s="2278"/>
      <c r="B112" s="2278"/>
      <c r="C112" s="2278"/>
      <c r="D112" s="2278"/>
      <c r="E112" s="3470"/>
      <c r="F112" s="3471"/>
      <c r="G112" s="1271" t="s">
        <v>211</v>
      </c>
      <c r="H112" s="1422" t="str">
        <f>IF(E111="——","——",N61)</f>
        <v>——</v>
      </c>
      <c r="I112" s="2278"/>
    </row>
    <row r="113" spans="1:11" ht="18.75" customHeight="1">
      <c r="A113" s="2278"/>
      <c r="B113" s="2278"/>
      <c r="C113" s="2278"/>
      <c r="D113" s="2278"/>
      <c r="E113" s="3480" t="s">
        <v>2008</v>
      </c>
      <c r="F113" s="3480"/>
      <c r="G113" s="3480"/>
      <c r="H113" s="3480"/>
      <c r="I113" s="2278"/>
    </row>
    <row r="114" spans="1:11" ht="3.75" customHeight="1">
      <c r="A114" s="1242"/>
      <c r="B114" s="1242"/>
      <c r="C114" s="1242"/>
      <c r="D114" s="1242"/>
      <c r="E114" s="1257"/>
      <c r="F114" s="1257"/>
      <c r="G114" s="1257"/>
      <c r="H114" s="1257"/>
      <c r="I114" s="1242"/>
    </row>
    <row r="115" spans="1:11" ht="18.75" customHeight="1">
      <c r="A115" s="3493" t="s">
        <v>226</v>
      </c>
      <c r="B115" s="3494"/>
      <c r="C115" s="3494"/>
      <c r="D115" s="3494"/>
      <c r="E115" s="3494"/>
      <c r="F115" s="3494"/>
      <c r="G115" s="3494"/>
      <c r="H115" s="3494"/>
      <c r="I115" s="3495"/>
    </row>
    <row r="116" spans="1:11" ht="27" customHeight="1">
      <c r="A116" s="3400" t="s">
        <v>5</v>
      </c>
      <c r="B116" s="3442" t="s">
        <v>785</v>
      </c>
      <c r="C116" s="3442" t="s">
        <v>786</v>
      </c>
      <c r="D116" s="3451" t="s">
        <v>206</v>
      </c>
      <c r="E116" s="3452"/>
      <c r="F116" s="3489" t="s">
        <v>2386</v>
      </c>
      <c r="G116" s="3489"/>
      <c r="H116" s="3400" t="s">
        <v>6</v>
      </c>
      <c r="I116" s="3400"/>
    </row>
    <row r="117" spans="1:11" ht="18.75" customHeight="1">
      <c r="A117" s="3400"/>
      <c r="B117" s="3443"/>
      <c r="C117" s="3443"/>
      <c r="D117" s="1915" t="s">
        <v>7</v>
      </c>
      <c r="E117" s="1915" t="s">
        <v>787</v>
      </c>
      <c r="F117" s="1915" t="s">
        <v>7</v>
      </c>
      <c r="G117" s="1915" t="s">
        <v>8</v>
      </c>
      <c r="H117" s="1915" t="s">
        <v>7</v>
      </c>
      <c r="I117" s="1915" t="s">
        <v>8</v>
      </c>
    </row>
    <row r="118" spans="1:11" ht="24.75" customHeight="1">
      <c r="A118" s="2033" t="str">
        <f>项目基本情况!S2</f>
        <v>房地产</v>
      </c>
      <c r="B118" s="1920">
        <f>M18</f>
        <v>7148.0899999999992</v>
      </c>
      <c r="C118" s="1920">
        <f>M19</f>
        <v>1927.24</v>
      </c>
      <c r="D118" s="1920" t="e">
        <f ca="1">ROUND(IF(D32="总价",C34,E118*B118/10000),0)</f>
        <v>#REF!</v>
      </c>
      <c r="E118" s="1920" t="e">
        <f ca="1">ROUND(IF(C33="自定义",IF(D32="楼面单价",C34,D118*10000/B118),I118-G118),0)</f>
        <v>#REF!</v>
      </c>
      <c r="F118" s="1920" t="e">
        <f ca="1">ROUND(IF(D32="总价",C35,G118*B118/10000),0)</f>
        <v>#REF!</v>
      </c>
      <c r="G118" s="1920" t="e">
        <f ca="1">ROUND(IF(D32="楼面单价",C35,F118*10000/B118),0)</f>
        <v>#REF!</v>
      </c>
      <c r="H118" s="1920">
        <f ca="1">ROUND(IF(D32="总价",C32,I118*B118/10000),0)</f>
        <v>17005</v>
      </c>
      <c r="I118" s="1920">
        <f ca="1">ROUND(IF(D32="楼面单价",C32,H118*10000/B118),0)</f>
        <v>23790</v>
      </c>
    </row>
    <row r="119" spans="1:11" ht="18.75" customHeight="1">
      <c r="A119" s="3400" t="s">
        <v>9</v>
      </c>
      <c r="B119" s="3400"/>
      <c r="C119" s="3400"/>
      <c r="D119" s="3444" t="e">
        <f ca="1">NUMBERSTRING(INT(D118*10000),2)&amp;"元整"</f>
        <v>#REF!</v>
      </c>
      <c r="E119" s="3445"/>
      <c r="F119" s="3444" t="e">
        <f ca="1">NUMBERSTRING(INT(F118*10000),2)&amp;"元整"</f>
        <v>#REF!</v>
      </c>
      <c r="G119" s="3445"/>
      <c r="H119" s="3444" t="str">
        <f ca="1">NUMBERSTRING(INT(H118*10000),2)&amp;"元整"</f>
        <v>壹亿柒仟零伍万元整</v>
      </c>
      <c r="I119" s="3445"/>
    </row>
    <row r="120" spans="1:11" ht="18.75" customHeight="1">
      <c r="A120" s="3446" t="str">
        <f>MID(E103,3,LEN(E103)-2)</f>
        <v>估价师知悉的法定优先受偿款</v>
      </c>
      <c r="B120" s="3447"/>
      <c r="C120" s="3448"/>
      <c r="D120" s="3439">
        <f>H103</f>
        <v>0</v>
      </c>
      <c r="E120" s="3440"/>
      <c r="F120" s="3440"/>
      <c r="G120" s="3440"/>
      <c r="H120" s="3440"/>
      <c r="I120" s="3441"/>
      <c r="K120" s="1433" t="str">
        <f>IF(D120=0,"故，本次评估不存在"&amp;A120,"故，本次评估"&amp;A120&amp;"为人民币"&amp;D120&amp;"万元整。")</f>
        <v>故，本次评估不存在估价师知悉的法定优先受偿款</v>
      </c>
    </row>
    <row r="121" spans="1:11" ht="18.75" customHeight="1">
      <c r="A121" s="3490" t="s">
        <v>9</v>
      </c>
      <c r="B121" s="3491"/>
      <c r="C121" s="3492"/>
      <c r="D121" s="3444" t="str">
        <f>IF(D120=0,"零元整",NUMBERSTRING(INT(D120*10000),2)&amp;"元整")</f>
        <v>零元整</v>
      </c>
      <c r="E121" s="3449"/>
      <c r="F121" s="3449"/>
      <c r="G121" s="3449"/>
      <c r="H121" s="3449"/>
      <c r="I121" s="3445"/>
    </row>
    <row r="122" spans="1:11" ht="18.75" customHeight="1">
      <c r="A122" s="3453" t="str">
        <f>MID(E107,3,LEN(E107)-2)</f>
        <v>房地产抵押价值</v>
      </c>
      <c r="B122" s="3453"/>
      <c r="C122" s="3453"/>
      <c r="D122" s="3439">
        <f ca="1">H107</f>
        <v>17005</v>
      </c>
      <c r="E122" s="3440"/>
      <c r="F122" s="3440"/>
      <c r="G122" s="3440"/>
      <c r="H122" s="3440"/>
      <c r="I122" s="3441"/>
    </row>
    <row r="123" spans="1:11" ht="18.75" customHeight="1">
      <c r="A123" s="3400" t="s">
        <v>9</v>
      </c>
      <c r="B123" s="3400"/>
      <c r="C123" s="3400"/>
      <c r="D123" s="3444" t="str">
        <f ca="1">NUMBERSTRING(INT(D122*10000),2)&amp;"元整"</f>
        <v>壹亿柒仟零伍万元整</v>
      </c>
      <c r="E123" s="3449"/>
      <c r="F123" s="3449"/>
      <c r="G123" s="3449"/>
      <c r="H123" s="3449"/>
      <c r="I123" s="3445"/>
    </row>
    <row r="124" spans="1:11" ht="18.75" customHeight="1">
      <c r="A124" s="3453" t="str">
        <f>MID(E109,3,LEN(E109)-2)</f>
        <v/>
      </c>
      <c r="B124" s="3453"/>
      <c r="C124" s="3453"/>
      <c r="D124" s="3439" t="str">
        <f>H109</f>
        <v>——</v>
      </c>
      <c r="E124" s="3440"/>
      <c r="F124" s="3440"/>
      <c r="G124" s="3440"/>
      <c r="H124" s="3440"/>
      <c r="I124" s="3441"/>
    </row>
    <row r="125" spans="1:11" ht="18.75" customHeight="1">
      <c r="A125" s="3400" t="s">
        <v>9</v>
      </c>
      <c r="B125" s="3400"/>
      <c r="C125" s="3400"/>
      <c r="D125" s="3444" t="e">
        <f>NUMBERSTRING(INT(D124*10000),2)&amp;"元整"</f>
        <v>#VALUE!</v>
      </c>
      <c r="E125" s="3449"/>
      <c r="F125" s="3449"/>
      <c r="G125" s="3449"/>
      <c r="H125" s="3449"/>
      <c r="I125" s="3445"/>
    </row>
    <row r="126" spans="1:11" ht="18.75" customHeight="1">
      <c r="A126" s="3453" t="str">
        <f>MID(E111,3,LEN(E111)-2)</f>
        <v/>
      </c>
      <c r="B126" s="3453"/>
      <c r="C126" s="3453"/>
      <c r="D126" s="3439" t="str">
        <f>H111</f>
        <v>——</v>
      </c>
      <c r="E126" s="3440"/>
      <c r="F126" s="3440"/>
      <c r="G126" s="3440"/>
      <c r="H126" s="3440"/>
      <c r="I126" s="3441"/>
    </row>
    <row r="127" spans="1:11" ht="18.75" customHeight="1">
      <c r="A127" s="3400" t="s">
        <v>9</v>
      </c>
      <c r="B127" s="3400"/>
      <c r="C127" s="3400"/>
      <c r="D127" s="3444" t="e">
        <f>NUMBERSTRING(INT(D126*10000),2)&amp;"元整"</f>
        <v>#VALUE!</v>
      </c>
      <c r="E127" s="3449"/>
      <c r="F127" s="3449"/>
      <c r="G127" s="3449"/>
      <c r="H127" s="3449"/>
      <c r="I127" s="3445"/>
    </row>
    <row r="128" spans="1:11" ht="21.75" customHeight="1">
      <c r="A128" s="3450" t="s">
        <v>2007</v>
      </c>
      <c r="B128" s="3450"/>
      <c r="C128" s="3450"/>
      <c r="D128" s="3450"/>
      <c r="E128" s="3450"/>
      <c r="F128" s="3450"/>
      <c r="G128" s="3450"/>
      <c r="H128" s="3450"/>
      <c r="I128" s="3450"/>
    </row>
    <row r="129" spans="1:35" ht="21.75" customHeight="1">
      <c r="A129" s="2028" t="s">
        <v>788</v>
      </c>
      <c r="B129" s="2029"/>
      <c r="C129" s="468" t="s">
        <v>150</v>
      </c>
      <c r="D129" s="2030"/>
      <c r="E129" s="2030"/>
      <c r="F129" s="2030"/>
      <c r="G129" s="2030"/>
      <c r="H129" s="2031"/>
      <c r="I129" s="2032"/>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789</v>
      </c>
      <c r="G135" s="1447"/>
      <c r="H135" s="1447"/>
      <c r="I135" s="1448" t="s">
        <v>790</v>
      </c>
    </row>
    <row r="136" spans="1:35" ht="21.75" customHeight="1">
      <c r="A136" s="1445"/>
      <c r="B136" s="1449" t="s">
        <v>791</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792</v>
      </c>
    </row>
    <row r="139" spans="1:35" ht="21.75" customHeight="1">
      <c r="A139" s="1445"/>
      <c r="B139" s="1449" t="s">
        <v>793</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792</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43" priority="11" stopIfTrue="1">
      <formula>$H$88&lt;&gt;"仅含出让金"</formula>
    </cfRule>
  </conditionalFormatting>
  <conditionalFormatting sqref="C91">
    <cfRule type="expression" dxfId="142" priority="10" stopIfTrue="1">
      <formula>$H$91="由企业提供"</formula>
    </cfRule>
  </conditionalFormatting>
  <conditionalFormatting sqref="E36">
    <cfRule type="expression" dxfId="141" priority="9" stopIfTrue="1">
      <formula>$D$36="同一抵押权人同一抵押物续贷"</formula>
    </cfRule>
  </conditionalFormatting>
  <conditionalFormatting sqref="C5:C7">
    <cfRule type="cellIs" dxfId="7" priority="8" stopIfTrue="1" operator="equal">
      <formula>25</formula>
    </cfRule>
  </conditionalFormatting>
  <conditionalFormatting sqref="C8:C9">
    <cfRule type="cellIs" dxfId="6" priority="7" stopIfTrue="1" operator="equal">
      <formula>15</formula>
    </cfRule>
  </conditionalFormatting>
  <conditionalFormatting sqref="C14:C16">
    <cfRule type="cellIs" dxfId="5" priority="6" stopIfTrue="1" operator="equal">
      <formula>30</formula>
    </cfRule>
  </conditionalFormatting>
  <conditionalFormatting sqref="C10:C13">
    <cfRule type="cellIs" dxfId="4" priority="5" stopIfTrue="1" operator="equal">
      <formula>15</formula>
    </cfRule>
  </conditionalFormatting>
  <conditionalFormatting sqref="D5:D7">
    <cfRule type="cellIs" dxfId="3" priority="4" stopIfTrue="1" operator="equal">
      <formula>25</formula>
    </cfRule>
  </conditionalFormatting>
  <conditionalFormatting sqref="D8:D9">
    <cfRule type="cellIs" dxfId="2" priority="3" stopIfTrue="1" operator="equal">
      <formula>15</formula>
    </cfRule>
  </conditionalFormatting>
  <conditionalFormatting sqref="D14:D16">
    <cfRule type="cellIs" dxfId="1" priority="2" stopIfTrue="1" operator="equal">
      <formula>30</formula>
    </cfRule>
  </conditionalFormatting>
  <conditionalFormatting sqref="D10:D13">
    <cfRule type="cellIs" dxfId="0"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F63" sqref="F6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3" t="s">
        <v>3251</v>
      </c>
      <c r="C1" s="574"/>
      <c r="D1" s="574"/>
      <c r="E1" s="574"/>
      <c r="F1" s="574"/>
      <c r="G1" s="2754">
        <f>MATCH(B1,'数据-取费表'!A6:A16,0)+5</f>
        <v>6</v>
      </c>
    </row>
    <row r="2" spans="1:9" s="576" customFormat="1" ht="18" customHeight="1">
      <c r="A2" s="577" t="s">
        <v>447</v>
      </c>
      <c r="B2" s="578">
        <f ca="1">IF(D2="——",C52,C52-E2)</f>
        <v>31452</v>
      </c>
      <c r="C2" s="85" t="s">
        <v>867</v>
      </c>
      <c r="D2" s="2874" t="s">
        <v>532</v>
      </c>
      <c r="E2" s="2872" t="e">
        <f ca="1">SUMIF(INDIRECT("'"&amp;G2&amp;"'"&amp;"!A:A"),"承租人权益价值",INDIRECT("'"&amp;G2&amp;"'"&amp;"!c:c"))</f>
        <v>#REF!</v>
      </c>
      <c r="F2" s="2870" t="s">
        <v>867</v>
      </c>
      <c r="G2" s="2873"/>
    </row>
    <row r="3" spans="1:9" s="576" customFormat="1" ht="18" customHeight="1" thickBot="1">
      <c r="A3" s="579" t="s">
        <v>448</v>
      </c>
      <c r="B3" s="580">
        <f ca="1">ROUND(B2*10000/(IF(B1="",'数据-汇总表'!E3,INDIRECT("'数据-取费表'!k"&amp;$G$1))),0)</f>
        <v>44001</v>
      </c>
      <c r="C3" s="85" t="s">
        <v>868</v>
      </c>
      <c r="D3" s="575"/>
      <c r="E3" s="575"/>
      <c r="F3" s="575"/>
      <c r="G3" s="575"/>
    </row>
    <row r="4" spans="1:9" s="584" customFormat="1" ht="15.75">
      <c r="A4" s="581" t="s">
        <v>820</v>
      </c>
      <c r="B4" s="582"/>
      <c r="C4" s="582"/>
      <c r="D4" s="582"/>
      <c r="E4" s="582"/>
      <c r="F4" s="582"/>
      <c r="G4" s="583"/>
    </row>
    <row r="5" spans="1:9" s="590" customFormat="1" ht="13.5" customHeight="1">
      <c r="A5" s="631" t="s">
        <v>2510</v>
      </c>
      <c r="B5" s="586" t="s">
        <v>821</v>
      </c>
      <c r="C5" s="587">
        <f ca="1">C6+C7+C8</f>
        <v>21362</v>
      </c>
      <c r="D5" s="587" t="s">
        <v>822</v>
      </c>
      <c r="E5" s="588" t="s">
        <v>823</v>
      </c>
      <c r="F5" s="588" t="s">
        <v>824</v>
      </c>
      <c r="G5" s="589"/>
    </row>
    <row r="6" spans="1:9" s="590" customFormat="1" ht="13.5" customHeight="1">
      <c r="A6" s="1804" t="s">
        <v>1923</v>
      </c>
      <c r="B6" s="591" t="s">
        <v>825</v>
      </c>
      <c r="C6" s="592">
        <f>'土地比较法-住宅、综合'!B2</f>
        <v>20591</v>
      </c>
      <c r="D6" s="593"/>
      <c r="E6" s="594"/>
      <c r="F6" s="594"/>
      <c r="G6" s="595"/>
    </row>
    <row r="7" spans="1:9" s="590" customFormat="1" ht="13.5" customHeight="1">
      <c r="A7" s="1804" t="s">
        <v>1924</v>
      </c>
      <c r="B7" s="591" t="s">
        <v>348</v>
      </c>
      <c r="C7" s="596">
        <f>ROUND(C6*F7,0)</f>
        <v>628</v>
      </c>
      <c r="D7" s="596"/>
      <c r="E7" s="594"/>
      <c r="F7" s="597">
        <f>'数据-取费表'!B48+'数据-取费表'!B49</f>
        <v>3.0499999999999999E-2</v>
      </c>
      <c r="G7" s="595"/>
    </row>
    <row r="8" spans="1:9" s="599" customFormat="1">
      <c r="A8" s="1804" t="s">
        <v>1925</v>
      </c>
      <c r="B8" s="591" t="s">
        <v>826</v>
      </c>
      <c r="C8" s="596">
        <f ca="1">IF(G8="已包含在土地购买价格中","0",IF(B1="",'数据-取费表'!B29,IF(G9="全部缴纳",C9+C10,H9)))</f>
        <v>143</v>
      </c>
      <c r="D8" s="598"/>
      <c r="E8" s="596"/>
      <c r="F8" s="597"/>
      <c r="G8" s="84" t="s">
        <v>3254</v>
      </c>
    </row>
    <row r="9" spans="1:9" s="590" customFormat="1" ht="13.5" customHeight="1">
      <c r="A9" s="1805" t="s">
        <v>1932</v>
      </c>
      <c r="B9" s="600" t="s">
        <v>827</v>
      </c>
      <c r="C9" s="601">
        <f ca="1">ROUND(D9*E9/10000,0)</f>
        <v>0</v>
      </c>
      <c r="D9" s="1909">
        <f ca="1">IF(B1="",'数据-汇总表'!E5,IF(INDIRECT("'数据-取费表'!c"&amp;$G$1)="住宅",INDIRECT("'数据-取费表'!k"&amp;$G$1),0))</f>
        <v>0</v>
      </c>
      <c r="E9" s="601">
        <f>'数据-取费表'!B27</f>
        <v>160</v>
      </c>
      <c r="F9" s="597"/>
      <c r="G9" s="2804" t="s">
        <v>3255</v>
      </c>
      <c r="H9" s="2805"/>
      <c r="I9" s="2806" t="s">
        <v>2691</v>
      </c>
    </row>
    <row r="10" spans="1:9" s="590" customFormat="1" ht="13.5" customHeight="1">
      <c r="A10" s="1805" t="s">
        <v>1933</v>
      </c>
      <c r="B10" s="600" t="s">
        <v>828</v>
      </c>
      <c r="C10" s="601">
        <f ca="1">ROUND(D10*E10/10000,0)</f>
        <v>143</v>
      </c>
      <c r="D10" s="1909">
        <f ca="1">IF(B1="",'数据-汇总表'!E6,IF(INDIRECT("'数据-取费表'!c"&amp;$G$1)="住宅",INDIRECT("'数据-取费表'!s"&amp;$G$1),INDIRECT("'数据-取费表'!k"&amp;$G$1)+INDIRECT("'数据-取费表'!s"&amp;$G$1)))</f>
        <v>7148.0899999999992</v>
      </c>
      <c r="E10" s="601">
        <f>'数据-取费表'!B28</f>
        <v>200</v>
      </c>
      <c r="F10" s="597"/>
      <c r="G10" s="602"/>
    </row>
    <row r="11" spans="1:9" s="590" customFormat="1" ht="13.5" hidden="1" customHeight="1">
      <c r="A11" s="603" t="s">
        <v>42</v>
      </c>
      <c r="B11" s="591" t="s">
        <v>829</v>
      </c>
      <c r="C11" s="587"/>
      <c r="D11" s="1911"/>
      <c r="E11" s="594"/>
      <c r="F11" s="594"/>
      <c r="G11" s="595"/>
    </row>
    <row r="12" spans="1:9" s="590" customFormat="1" ht="13.5" hidden="1" customHeight="1">
      <c r="A12" s="603" t="s">
        <v>43</v>
      </c>
      <c r="B12" s="591" t="s">
        <v>830</v>
      </c>
      <c r="C12" s="587">
        <v>0</v>
      </c>
      <c r="D12" s="1911"/>
      <c r="E12" s="604"/>
      <c r="F12" s="597">
        <v>3.0499999999999999E-2</v>
      </c>
      <c r="G12" s="595"/>
    </row>
    <row r="13" spans="1:9" s="590" customFormat="1" ht="13.5" hidden="1" customHeight="1">
      <c r="A13" s="603" t="s">
        <v>44</v>
      </c>
      <c r="B13" s="591" t="s">
        <v>831</v>
      </c>
      <c r="C13" s="587"/>
      <c r="D13" s="1911"/>
      <c r="E13" s="594"/>
      <c r="F13" s="594"/>
      <c r="G13" s="595"/>
    </row>
    <row r="14" spans="1:9" s="590" customFormat="1" ht="13.5" hidden="1" customHeight="1">
      <c r="A14" s="603" t="s">
        <v>45</v>
      </c>
      <c r="B14" s="591" t="s">
        <v>826</v>
      </c>
      <c r="C14" s="587"/>
      <c r="D14" s="1911"/>
      <c r="E14" s="594"/>
      <c r="F14" s="594"/>
      <c r="G14" s="595" t="s">
        <v>832</v>
      </c>
    </row>
    <row r="15" spans="1:9" s="590" customFormat="1" ht="13.5" hidden="1" customHeight="1">
      <c r="A15" s="603" t="s">
        <v>46</v>
      </c>
      <c r="B15" s="591" t="s">
        <v>833</v>
      </c>
      <c r="C15" s="596"/>
      <c r="D15" s="1911"/>
      <c r="E15" s="594"/>
      <c r="F15" s="594"/>
      <c r="G15" s="595" t="s">
        <v>834</v>
      </c>
    </row>
    <row r="16" spans="1:9"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2511</v>
      </c>
      <c r="B19" s="586" t="s">
        <v>845</v>
      </c>
      <c r="C19" s="587" t="str">
        <f>IF(G19="已包含在土地取得成本中","0",ROUND(D19*E19/10000,0))</f>
        <v>0</v>
      </c>
      <c r="D19" s="1913">
        <f ca="1">D9+D10</f>
        <v>7148.0899999999992</v>
      </c>
      <c r="E19" s="587">
        <f>'数据-取费表'!B31</f>
        <v>200</v>
      </c>
      <c r="F19" s="607"/>
      <c r="G19" s="84" t="s">
        <v>3256</v>
      </c>
    </row>
    <row r="20" spans="1:7" s="590" customFormat="1" ht="13.5" customHeight="1">
      <c r="A20" s="1803" t="s">
        <v>2513</v>
      </c>
      <c r="B20" s="586" t="s">
        <v>838</v>
      </c>
      <c r="C20" s="608">
        <f ca="1">ROUND((C5+C19)*F20,0)</f>
        <v>214</v>
      </c>
      <c r="D20" s="608"/>
      <c r="E20" s="608"/>
      <c r="F20" s="609">
        <f>'数据-取费表'!B37</f>
        <v>0.01</v>
      </c>
      <c r="G20" s="2621" t="s">
        <v>2524</v>
      </c>
    </row>
    <row r="21" spans="1:7" s="590" customFormat="1" ht="13.5" customHeight="1">
      <c r="A21" s="1803" t="s">
        <v>2515</v>
      </c>
      <c r="B21" s="586" t="s">
        <v>839</v>
      </c>
      <c r="C21" s="611">
        <f>F21</f>
        <v>0.01</v>
      </c>
      <c r="D21" s="612" t="s">
        <v>860</v>
      </c>
      <c r="E21" s="608"/>
      <c r="F21" s="609">
        <f>'数据-取费表'!B38</f>
        <v>0.01</v>
      </c>
      <c r="G21" s="610" t="s">
        <v>840</v>
      </c>
    </row>
    <row r="22" spans="1:7" s="590" customFormat="1" ht="13.5" customHeight="1">
      <c r="A22" s="1803" t="s">
        <v>1918</v>
      </c>
      <c r="B22" s="586" t="s">
        <v>841</v>
      </c>
      <c r="C22" s="2700">
        <f ca="1">ROUND(SUM(C23:C25),0)</f>
        <v>934</v>
      </c>
      <c r="D22" s="611">
        <f ca="1">C26</f>
        <v>2.0000000000000001E-4</v>
      </c>
      <c r="E22" s="612" t="s">
        <v>860</v>
      </c>
      <c r="F22" s="613">
        <f ca="1">'数据-取费表'!B40</f>
        <v>4.3499999999999997E-2</v>
      </c>
      <c r="G22" s="2621" t="str">
        <f>IF('数据-取费表'!B22&lt;=1,"单利计息","复利计息")</f>
        <v>单利计息</v>
      </c>
    </row>
    <row r="23" spans="1:7" s="590" customFormat="1" ht="13.5" customHeight="1">
      <c r="A23" s="1806" t="s">
        <v>1923</v>
      </c>
      <c r="B23" s="591" t="s">
        <v>2517</v>
      </c>
      <c r="C23" s="2701">
        <f ca="1">ROUND(IF('数据-取费表'!B22&lt;=1,C5*F22*'数据-取费表'!B23,C5*(POWER((1+F22),'数据-取费表'!B23)-1)),0)</f>
        <v>929</v>
      </c>
      <c r="D23" s="614"/>
      <c r="E23" s="614"/>
      <c r="F23" s="615"/>
      <c r="G23" s="616" t="s">
        <v>842</v>
      </c>
    </row>
    <row r="24" spans="1:7" s="590" customFormat="1" ht="13.5" customHeight="1">
      <c r="A24" s="1806" t="s">
        <v>1924</v>
      </c>
      <c r="B24" s="591" t="s">
        <v>2512</v>
      </c>
      <c r="C24" s="2701">
        <f ca="1">ROUND(IF('数据-取费表'!B22&lt;=1,C19*F22*('数据-取费表'!B19/2+'数据-取费表'!B21),C19*(POWER((1+F22),('数据-取费表'!B19/2+'数据-取费表'!B21))-1)),0)</f>
        <v>0</v>
      </c>
      <c r="D24" s="614"/>
      <c r="E24" s="614"/>
      <c r="F24" s="615"/>
      <c r="G24" s="616" t="s">
        <v>843</v>
      </c>
    </row>
    <row r="25" spans="1:7" s="590" customFormat="1" ht="24">
      <c r="A25" s="1806" t="s">
        <v>1925</v>
      </c>
      <c r="B25" s="591" t="s">
        <v>2514</v>
      </c>
      <c r="C25" s="2701">
        <f ca="1">ROUND(IF('数据-取费表'!B22&lt;=1,C20*F22*'数据-取费表'!B23/2,C20*(POWER((1+F22),'数据-取费表'!B23/2)-1)),0)</f>
        <v>5</v>
      </c>
      <c r="D25" s="614"/>
      <c r="E25" s="617"/>
      <c r="F25" s="615"/>
      <c r="G25" s="618" t="s">
        <v>844</v>
      </c>
    </row>
    <row r="26" spans="1:7" s="590" customFormat="1">
      <c r="A26" s="1806" t="s">
        <v>1927</v>
      </c>
      <c r="B26" s="591" t="s">
        <v>2516</v>
      </c>
      <c r="C26" s="614">
        <f ca="1">ROUND(IF('数据-取费表'!B22&lt;=1,F21*F22*'数据-取费表'!B23/2,F21*(POWER((1+F22),'数据-取费表'!B23/2)-1)),4)</f>
        <v>2.0000000000000001E-4</v>
      </c>
      <c r="D26" s="614"/>
      <c r="E26" s="617"/>
      <c r="F26" s="615"/>
      <c r="G26" s="619"/>
    </row>
    <row r="27" spans="1:7" s="590" customFormat="1" ht="24.75">
      <c r="A27" s="1803" t="s">
        <v>1919</v>
      </c>
      <c r="B27" s="620" t="s">
        <v>846</v>
      </c>
      <c r="C27" s="621">
        <f ca="1">C28</f>
        <v>5394</v>
      </c>
      <c r="D27" s="611">
        <f ca="1">C29</f>
        <v>2.5000000000000001E-3</v>
      </c>
      <c r="E27" s="612" t="s">
        <v>860</v>
      </c>
      <c r="F27" s="622">
        <f ca="1">IF(B1="",'数据-取费表'!Q16,INDIRECT("'数据-取费表'!q"&amp;$G$1))</f>
        <v>0.25</v>
      </c>
      <c r="G27" s="623" t="s">
        <v>2525</v>
      </c>
    </row>
    <row r="28" spans="1:7" s="590" customFormat="1" ht="13.5" customHeight="1">
      <c r="A28" s="1806" t="s">
        <v>1923</v>
      </c>
      <c r="B28" s="624" t="s">
        <v>2518</v>
      </c>
      <c r="C28" s="625">
        <f ca="1">ROUND((C5+C19+C20)*F27*'数据-取费表'!B21/'数据-取费表'!B20,0)</f>
        <v>5394</v>
      </c>
      <c r="D28" s="611"/>
      <c r="E28" s="612"/>
      <c r="F28" s="622"/>
      <c r="G28" s="623"/>
    </row>
    <row r="29" spans="1:7" s="590" customFormat="1" ht="13.5" customHeight="1">
      <c r="A29" s="1806" t="s">
        <v>1924</v>
      </c>
      <c r="B29" s="624" t="s">
        <v>2519</v>
      </c>
      <c r="C29" s="614">
        <f ca="1">ROUND(C21*F27*'数据-取费表'!B21/'数据-取费表'!B20,4)</f>
        <v>2.5000000000000001E-3</v>
      </c>
      <c r="D29" s="611"/>
      <c r="E29" s="612"/>
      <c r="F29" s="622"/>
      <c r="G29" s="623"/>
    </row>
    <row r="30" spans="1:7" s="590" customFormat="1" ht="13.5" customHeight="1">
      <c r="A30" s="1803" t="s">
        <v>1920</v>
      </c>
      <c r="B30" s="586" t="s">
        <v>349</v>
      </c>
      <c r="C30" s="611">
        <f>ROUND(F30/(1+'数据-取费表'!C42),4)</f>
        <v>5.33E-2</v>
      </c>
      <c r="D30" s="612" t="s">
        <v>2945</v>
      </c>
      <c r="E30" s="617"/>
      <c r="F30" s="613">
        <f>'数据-取费表'!B41</f>
        <v>5.6000000000000001E-2</v>
      </c>
      <c r="G30" s="2621" t="s">
        <v>2946</v>
      </c>
    </row>
    <row r="31" spans="1:7" ht="16.5" customHeight="1">
      <c r="A31" s="585">
        <v>1</v>
      </c>
      <c r="B31" s="586" t="s">
        <v>862</v>
      </c>
      <c r="C31" s="587">
        <f ca="1">ROUND((C5+C19+C20+C22+C27)/(1-C21-D22-D27-C30),0)</f>
        <v>29876</v>
      </c>
      <c r="D31" s="606"/>
      <c r="E31" s="587"/>
      <c r="F31" s="626"/>
      <c r="G31" s="610" t="s">
        <v>2526</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1637</v>
      </c>
      <c r="D33" s="608"/>
      <c r="E33" s="588"/>
      <c r="F33" s="617"/>
      <c r="G33" s="610"/>
    </row>
    <row r="34" spans="1:7" s="634" customFormat="1" ht="13.5" customHeight="1">
      <c r="A34" s="1806" t="s">
        <v>1923</v>
      </c>
      <c r="B34" s="591" t="s">
        <v>350</v>
      </c>
      <c r="C34" s="596">
        <f ca="1">IF(B1="",IF(F34=100%,'数据-取费表'!M16,'数据-取费表'!O16),IF(F34=100%,INDIRECT("'数据-取费表'!m"&amp;$G$1)+INDIRECT("'数据-取费表'!t"&amp;$G$1),INDIRECT("'数据-取费表'!o"&amp;$G$1)+INDIRECT("'数据-取费表'!aq"&amp;$G$1)))</f>
        <v>1430</v>
      </c>
      <c r="D34" s="593"/>
      <c r="E34" s="596"/>
      <c r="F34" s="633">
        <f ca="1">IF('数据-取费表'!B24=0,1,IF(B1="",'数据-取费表'!N16,INDIRECT("'数据-取费表'!n"&amp;$G$1)))</f>
        <v>1</v>
      </c>
      <c r="G34" s="595" t="s">
        <v>850</v>
      </c>
    </row>
    <row r="35" spans="1:7" ht="13.5" customHeight="1">
      <c r="A35" s="1806" t="s">
        <v>1928</v>
      </c>
      <c r="B35" s="591" t="s">
        <v>351</v>
      </c>
      <c r="C35" s="596">
        <f ca="1">ROUND(C34*F35,0)</f>
        <v>43</v>
      </c>
      <c r="D35" s="596"/>
      <c r="E35" s="596"/>
      <c r="F35" s="635">
        <f>'数据-取费表'!B33</f>
        <v>0.03</v>
      </c>
      <c r="G35" s="595" t="s">
        <v>851</v>
      </c>
    </row>
    <row r="36" spans="1:7" ht="24">
      <c r="A36" s="1806" t="s">
        <v>1929</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6" t="s">
        <v>1930</v>
      </c>
      <c r="B37" s="591" t="s">
        <v>852</v>
      </c>
      <c r="C37" s="625">
        <f ca="1">ROUND(E37*D37*F34/10000,0)</f>
        <v>143</v>
      </c>
      <c r="D37" s="593">
        <f ca="1">D19</f>
        <v>7148.0899999999992</v>
      </c>
      <c r="E37" s="625">
        <f>'数据-取费表'!B35</f>
        <v>200</v>
      </c>
      <c r="F37" s="635"/>
      <c r="G37" s="637" t="s">
        <v>853</v>
      </c>
    </row>
    <row r="38" spans="1:7" ht="13.5" customHeight="1">
      <c r="A38" s="1806" t="s">
        <v>1931</v>
      </c>
      <c r="B38" s="591" t="s">
        <v>354</v>
      </c>
      <c r="C38" s="596">
        <f ca="1">ROUND(C34*F38,0)</f>
        <v>21</v>
      </c>
      <c r="D38" s="596"/>
      <c r="E38" s="596"/>
      <c r="F38" s="635">
        <f>'数据-取费表'!B36</f>
        <v>1.4999999999999999E-2</v>
      </c>
      <c r="G38" s="595" t="s">
        <v>851</v>
      </c>
    </row>
    <row r="39" spans="1:7" s="590" customFormat="1" ht="13.5" customHeight="1">
      <c r="A39" s="1803" t="s">
        <v>1915</v>
      </c>
      <c r="B39" s="586" t="s">
        <v>838</v>
      </c>
      <c r="C39" s="608">
        <f ca="1">ROUND(C33*F20,0)</f>
        <v>16</v>
      </c>
      <c r="D39" s="608"/>
      <c r="E39" s="608"/>
      <c r="F39" s="609"/>
      <c r="G39" s="2621" t="s">
        <v>2527</v>
      </c>
    </row>
    <row r="40" spans="1:7" s="590" customFormat="1" ht="13.5" customHeight="1">
      <c r="A40" s="1803" t="s">
        <v>1916</v>
      </c>
      <c r="B40" s="586" t="s">
        <v>839</v>
      </c>
      <c r="C40" s="3240">
        <f>F21</f>
        <v>0.01</v>
      </c>
      <c r="D40" s="612" t="s">
        <v>863</v>
      </c>
      <c r="E40" s="608"/>
      <c r="F40" s="609"/>
      <c r="G40" s="610" t="s">
        <v>854</v>
      </c>
    </row>
    <row r="41" spans="1:7" s="590" customFormat="1" ht="13.5" customHeight="1">
      <c r="A41" s="1803" t="s">
        <v>1917</v>
      </c>
      <c r="B41" s="586" t="s">
        <v>841</v>
      </c>
      <c r="C41" s="608">
        <f ca="1">ROUND(SUM(C42:C43),0)</f>
        <v>36</v>
      </c>
      <c r="D41" s="611">
        <f ca="1">C44</f>
        <v>2.0000000000000001E-4</v>
      </c>
      <c r="E41" s="612" t="s">
        <v>863</v>
      </c>
      <c r="F41" s="613"/>
      <c r="G41" s="2621" t="str">
        <f>IF('数据-取费表'!B22&lt;=1,"单利计息","复利计息")</f>
        <v>单利计息</v>
      </c>
    </row>
    <row r="42" spans="1:7" ht="13.5" customHeight="1">
      <c r="A42" s="1806" t="s">
        <v>1923</v>
      </c>
      <c r="B42" s="591" t="s">
        <v>2517</v>
      </c>
      <c r="C42" s="614">
        <f ca="1">ROUND(IF('数据-取费表'!B22&lt;=1,C33*F22*'数据-取费表'!B21/2,C33*(POWER((1+F22),'数据-取费表'!B21/2)-1)),0)</f>
        <v>36</v>
      </c>
      <c r="D42" s="614"/>
      <c r="E42" s="614"/>
      <c r="F42" s="615"/>
      <c r="G42" s="3524" t="s">
        <v>855</v>
      </c>
    </row>
    <row r="43" spans="1:7" ht="13.5" customHeight="1">
      <c r="A43" s="1806" t="s">
        <v>1924</v>
      </c>
      <c r="B43" s="591" t="s">
        <v>2520</v>
      </c>
      <c r="C43" s="614">
        <f ca="1">ROUND(IF('数据-取费表'!B22&lt;=1,C39*F22*'数据-取费表'!B21/2,C39*(POWER((1+F22),'数据-取费表'!B21/2)-1)),0)</f>
        <v>0</v>
      </c>
      <c r="D43" s="614"/>
      <c r="E43" s="614"/>
      <c r="F43" s="615"/>
      <c r="G43" s="3525"/>
    </row>
    <row r="44" spans="1:7" ht="13.5" customHeight="1">
      <c r="A44" s="1806" t="s">
        <v>1925</v>
      </c>
      <c r="B44" s="591" t="s">
        <v>2522</v>
      </c>
      <c r="C44" s="614">
        <f ca="1">ROUND(IF('数据-取费表'!B22&lt;=1,C40*F22*'数据-取费表'!B21/2,C40*(POWER((1+F22),'数据-取费表'!B21/2)-1)),4)</f>
        <v>2.0000000000000001E-4</v>
      </c>
      <c r="D44" s="614"/>
      <c r="E44" s="614"/>
      <c r="F44" s="615"/>
      <c r="G44" s="3526"/>
    </row>
    <row r="45" spans="1:7" s="590" customFormat="1" ht="13.5" customHeight="1">
      <c r="A45" s="1803" t="s">
        <v>1918</v>
      </c>
      <c r="B45" s="620" t="s">
        <v>846</v>
      </c>
      <c r="C45" s="621">
        <f ca="1">C46</f>
        <v>413</v>
      </c>
      <c r="D45" s="611">
        <f ca="1">C47</f>
        <v>2.5000000000000001E-3</v>
      </c>
      <c r="E45" s="612" t="s">
        <v>863</v>
      </c>
      <c r="F45" s="622"/>
      <c r="G45" s="623" t="s">
        <v>2528</v>
      </c>
    </row>
    <row r="46" spans="1:7" s="590" customFormat="1" ht="13.5" customHeight="1">
      <c r="A46" s="1806" t="s">
        <v>1923</v>
      </c>
      <c r="B46" s="624" t="s">
        <v>2521</v>
      </c>
      <c r="C46" s="625">
        <f ca="1">ROUND((C33+C39)*F27,0)</f>
        <v>413</v>
      </c>
      <c r="D46" s="639"/>
      <c r="E46" s="612"/>
      <c r="F46" s="622"/>
      <c r="G46" s="623"/>
    </row>
    <row r="47" spans="1:7" s="590" customFormat="1" ht="13.5" customHeight="1">
      <c r="A47" s="1806" t="s">
        <v>1924</v>
      </c>
      <c r="B47" s="624" t="s">
        <v>2523</v>
      </c>
      <c r="C47" s="614">
        <f ca="1">ROUND(C40*F27,4)</f>
        <v>2.5000000000000001E-3</v>
      </c>
      <c r="D47" s="639"/>
      <c r="E47" s="612"/>
      <c r="F47" s="622"/>
      <c r="G47" s="623"/>
    </row>
    <row r="48" spans="1:7" s="590" customFormat="1" ht="13.5" customHeight="1">
      <c r="A48" s="1803" t="s">
        <v>1919</v>
      </c>
      <c r="B48" s="586" t="s">
        <v>856</v>
      </c>
      <c r="C48" s="3240">
        <f>ROUND(F30/(1+'数据-取费表'!C42),4)</f>
        <v>5.33E-2</v>
      </c>
      <c r="D48" s="612" t="s">
        <v>2947</v>
      </c>
      <c r="E48" s="608"/>
      <c r="F48" s="613"/>
      <c r="G48" s="2621" t="s">
        <v>2948</v>
      </c>
    </row>
    <row r="49" spans="1:7" ht="16.5" customHeight="1">
      <c r="A49" s="1803" t="s">
        <v>1920</v>
      </c>
      <c r="B49" s="586" t="s">
        <v>865</v>
      </c>
      <c r="C49" s="608">
        <f ca="1">ROUND((C33+C39+C41+C45)/(1-C40-D41-D45-C48),0)</f>
        <v>2251</v>
      </c>
      <c r="D49" s="608"/>
      <c r="E49" s="608"/>
      <c r="F49" s="640"/>
      <c r="G49" s="610" t="s">
        <v>2529</v>
      </c>
    </row>
    <row r="50" spans="1:7" s="634" customFormat="1" ht="24">
      <c r="A50" s="1803" t="s">
        <v>1921</v>
      </c>
      <c r="B50" s="586" t="s">
        <v>858</v>
      </c>
      <c r="C50" s="608"/>
      <c r="D50" s="608"/>
      <c r="E50" s="608"/>
      <c r="F50" s="640">
        <f>IF('数据-取费表'!B24=0,'数据-取费表'!N16,1)</f>
        <v>0.7</v>
      </c>
      <c r="G50" s="623" t="s">
        <v>859</v>
      </c>
    </row>
    <row r="51" spans="1:7" ht="16.5" customHeight="1">
      <c r="A51" s="1803" t="s">
        <v>1922</v>
      </c>
      <c r="B51" s="586" t="s">
        <v>866</v>
      </c>
      <c r="C51" s="608">
        <f ca="1">ROUND(C49*F50,0)</f>
        <v>1576</v>
      </c>
      <c r="D51" s="608"/>
      <c r="E51" s="608"/>
      <c r="F51" s="640"/>
      <c r="G51" s="610" t="s">
        <v>355</v>
      </c>
    </row>
    <row r="52" spans="1:7" s="584" customFormat="1" ht="16.5" thickBot="1">
      <c r="A52" s="641" t="s">
        <v>356</v>
      </c>
      <c r="B52" s="642"/>
      <c r="C52" s="643">
        <f ca="1">C31+C51</f>
        <v>31452</v>
      </c>
      <c r="D52" s="642"/>
      <c r="E52" s="642"/>
      <c r="F52" s="642"/>
      <c r="G52" s="644"/>
    </row>
    <row r="55" spans="1:7" ht="15">
      <c r="B55" s="646" t="s">
        <v>357</v>
      </c>
      <c r="C55" s="647"/>
    </row>
    <row r="56" spans="1:7">
      <c r="B56" s="2876" t="s">
        <v>2703</v>
      </c>
      <c r="C56" s="651">
        <f ca="1">1-C57</f>
        <v>0.95</v>
      </c>
    </row>
    <row r="57" spans="1:7">
      <c r="B57" s="2876" t="s">
        <v>2702</v>
      </c>
      <c r="C57" s="650">
        <f ca="1">ROUND(C51/C52,3)</f>
        <v>0.05</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1964</v>
      </c>
      <c r="B36" s="1888" t="s">
        <v>1965</v>
      </c>
    </row>
    <row r="37" spans="1:9" ht="27.75" customHeight="1">
      <c r="A37" s="1888"/>
      <c r="B37" s="3335" t="str">
        <f>项目基本情况!B1</f>
        <v>房地产抵押价值预评估</v>
      </c>
      <c r="C37" s="3335"/>
      <c r="D37" s="3335"/>
      <c r="E37" s="3335"/>
      <c r="F37" s="3335"/>
      <c r="G37" s="3335"/>
      <c r="H37" s="3335"/>
      <c r="I37" s="3335"/>
    </row>
    <row r="38" spans="1:9">
      <c r="A38" s="1890"/>
      <c r="B38" s="1890"/>
    </row>
    <row r="39" spans="1:9">
      <c r="A39" s="1888" t="s">
        <v>1964</v>
      </c>
      <c r="B39" s="1888" t="s">
        <v>1966</v>
      </c>
    </row>
    <row r="40" spans="1:9">
      <c r="A40" s="1888"/>
      <c r="B40" s="1888">
        <f>项目基本情况!B5</f>
        <v>0</v>
      </c>
    </row>
    <row r="41" spans="1:9">
      <c r="A41" s="1888"/>
      <c r="B41" s="1888"/>
    </row>
    <row r="42" spans="1:9">
      <c r="A42" s="1888" t="s">
        <v>1964</v>
      </c>
      <c r="B42" s="1888" t="s">
        <v>1967</v>
      </c>
    </row>
    <row r="43" spans="1:9">
      <c r="A43" s="1888"/>
      <c r="B43" s="1888" t="s">
        <v>1968</v>
      </c>
    </row>
    <row r="44" spans="1:9">
      <c r="A44" s="1888"/>
      <c r="B44" s="1888"/>
    </row>
    <row r="45" spans="1:9">
      <c r="A45" s="1888" t="s">
        <v>1964</v>
      </c>
      <c r="B45" s="1888" t="s">
        <v>1969</v>
      </c>
    </row>
    <row r="46" spans="1:9" s="1888" customFormat="1" ht="12.75">
      <c r="B46" s="1888" t="str">
        <f>项目基本情况!K4</f>
        <v>（注册号：0)、（注册号：0)</v>
      </c>
    </row>
    <row r="47" spans="1:9">
      <c r="A47" s="1888"/>
      <c r="B47" s="1888" t="str">
        <f>项目基本情况!K5</f>
        <v/>
      </c>
    </row>
    <row r="48" spans="1:9">
      <c r="A48" s="1888" t="s">
        <v>1964</v>
      </c>
      <c r="B48" s="1888" t="s">
        <v>1970</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3"/>
      <c r="C1" s="2758" t="s">
        <v>2633</v>
      </c>
      <c r="D1" s="574"/>
      <c r="E1" s="574"/>
      <c r="F1" s="574"/>
      <c r="G1" s="2754">
        <f>MATCH(B1,'数据-取费表'!A6:A16,0)+5</f>
        <v>7</v>
      </c>
      <c r="H1" s="2585" t="str">
        <f>IF(ISERROR(FIND("住宅",B1)),"非住宅","住宅")</f>
        <v>非住宅</v>
      </c>
    </row>
    <row r="2" spans="1:8" s="576" customFormat="1" ht="18" customHeight="1">
      <c r="A2" s="577" t="s">
        <v>346</v>
      </c>
      <c r="B2" s="578">
        <f ca="1">ROUND(IF(D2="——",C52/10000,C52/10000-E2),0)</f>
        <v>1976</v>
      </c>
      <c r="C2" s="85" t="s">
        <v>867</v>
      </c>
      <c r="D2" s="2874" t="s">
        <v>532</v>
      </c>
      <c r="E2" s="2872" t="e">
        <f ca="1">SUMIF(INDIRECT("'"&amp;G2&amp;"'"&amp;"!A:A"),"承租人权益价值",INDIRECT("'"&amp;G2&amp;"'"&amp;"!c:c"))</f>
        <v>#REF!</v>
      </c>
      <c r="F2" s="2870" t="s">
        <v>867</v>
      </c>
      <c r="G2" s="2873"/>
    </row>
    <row r="3" spans="1:8" s="576" customFormat="1" ht="18" customHeight="1" thickBot="1">
      <c r="A3" s="579" t="s">
        <v>347</v>
      </c>
      <c r="B3" s="580">
        <f ca="1">ROUND(B2*10000/(IF(B1="",'数据-汇总表'!E3,INDIRECT("'数据-取费表'!k"&amp;$G$1))),0)</f>
        <v>2764</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1429618</v>
      </c>
      <c r="D5" s="587" t="s">
        <v>822</v>
      </c>
      <c r="E5" s="588" t="s">
        <v>823</v>
      </c>
      <c r="F5" s="588" t="s">
        <v>824</v>
      </c>
      <c r="G5" s="589"/>
    </row>
    <row r="6" spans="1:8" s="590" customFormat="1" ht="13.5" customHeight="1">
      <c r="A6" s="1804" t="s">
        <v>1923</v>
      </c>
      <c r="B6" s="591" t="s">
        <v>825</v>
      </c>
      <c r="C6" s="592"/>
      <c r="D6" s="593"/>
      <c r="E6" s="594"/>
      <c r="F6" s="594"/>
      <c r="G6" s="595"/>
    </row>
    <row r="7" spans="1:8" s="590" customFormat="1" ht="13.5" customHeight="1">
      <c r="A7" s="1804" t="s">
        <v>1924</v>
      </c>
      <c r="B7" s="591" t="s">
        <v>348</v>
      </c>
      <c r="C7" s="596">
        <f>ROUND(C6*F7,0)</f>
        <v>0</v>
      </c>
      <c r="D7" s="596"/>
      <c r="E7" s="594"/>
      <c r="F7" s="597">
        <f>'数据-取费表'!B48+'数据-取费表'!B49</f>
        <v>3.0499999999999999E-2</v>
      </c>
      <c r="G7" s="595"/>
    </row>
    <row r="8" spans="1:8" s="599" customFormat="1">
      <c r="A8" s="1804" t="s">
        <v>1925</v>
      </c>
      <c r="B8" s="591" t="s">
        <v>826</v>
      </c>
      <c r="C8" s="596">
        <f ca="1">IF(G8="已包含在土地购买价格中",0,C9+C10)</f>
        <v>1429618</v>
      </c>
      <c r="D8" s="598"/>
      <c r="E8" s="596"/>
      <c r="F8" s="597"/>
      <c r="G8" s="84"/>
    </row>
    <row r="9" spans="1:8" s="590" customFormat="1" ht="13.5" customHeight="1">
      <c r="A9" s="1805" t="s">
        <v>1932</v>
      </c>
      <c r="B9" s="600" t="s">
        <v>827</v>
      </c>
      <c r="C9" s="601">
        <f ca="1">ROUND(D9*E9,0)</f>
        <v>0</v>
      </c>
      <c r="D9" s="1909">
        <f ca="1">IF(B1="",'数据-汇总表'!E5,IF(INDIRECT("'数据-取费表'!c"&amp;$G$1)="住宅",INDIRECT("'数据-取费表'!k"&amp;$G$1),0))</f>
        <v>0</v>
      </c>
      <c r="E9" s="601">
        <f>'数据-取费表'!B27</f>
        <v>160</v>
      </c>
      <c r="F9" s="597"/>
      <c r="G9" s="602"/>
    </row>
    <row r="10" spans="1:8" s="590" customFormat="1" ht="13.5" customHeight="1">
      <c r="A10" s="1805" t="s">
        <v>1933</v>
      </c>
      <c r="B10" s="600" t="s">
        <v>828</v>
      </c>
      <c r="C10" s="601">
        <f ca="1">ROUND(D10*E10,0)</f>
        <v>1429618</v>
      </c>
      <c r="D10" s="1909">
        <f ca="1">IF(B1="",'数据-汇总表'!E6,IF(INDIRECT("'数据-取费表'!c"&amp;$G$1)="住宅",INDIRECT("'数据-取费表'!s"&amp;$G$1),INDIRECT("'数据-取费表'!k"&amp;$G$1)+INDIRECT("'数据-取费表'!s"&amp;$G$1)))</f>
        <v>7148.0899999999992</v>
      </c>
      <c r="E10" s="601">
        <f>'数据-取费表'!B28</f>
        <v>200</v>
      </c>
      <c r="F10" s="597"/>
      <c r="G10" s="602"/>
    </row>
    <row r="11" spans="1:8" s="590" customFormat="1" ht="13.5" hidden="1" customHeight="1">
      <c r="A11" s="603" t="s">
        <v>42</v>
      </c>
      <c r="B11" s="591" t="s">
        <v>829</v>
      </c>
      <c r="C11" s="587"/>
      <c r="D11" s="1911"/>
      <c r="E11" s="594"/>
      <c r="F11" s="594"/>
      <c r="G11" s="595"/>
    </row>
    <row r="12" spans="1:8" s="590" customFormat="1" ht="13.5" hidden="1" customHeight="1">
      <c r="A12" s="603" t="s">
        <v>43</v>
      </c>
      <c r="B12" s="591" t="s">
        <v>830</v>
      </c>
      <c r="C12" s="587">
        <v>0</v>
      </c>
      <c r="D12" s="1911"/>
      <c r="E12" s="604"/>
      <c r="F12" s="597">
        <v>3.0499999999999999E-2</v>
      </c>
      <c r="G12" s="595"/>
    </row>
    <row r="13" spans="1:8" s="590" customFormat="1" ht="13.5" hidden="1" customHeight="1">
      <c r="A13" s="603" t="s">
        <v>44</v>
      </c>
      <c r="B13" s="591" t="s">
        <v>831</v>
      </c>
      <c r="C13" s="587"/>
      <c r="D13" s="1911"/>
      <c r="E13" s="594"/>
      <c r="F13" s="594"/>
      <c r="G13" s="595"/>
    </row>
    <row r="14" spans="1:8" s="590" customFormat="1" ht="13.5" hidden="1" customHeight="1">
      <c r="A14" s="603" t="s">
        <v>45</v>
      </c>
      <c r="B14" s="591" t="s">
        <v>826</v>
      </c>
      <c r="C14" s="587"/>
      <c r="D14" s="1911"/>
      <c r="E14" s="594"/>
      <c r="F14" s="594"/>
      <c r="G14" s="595" t="s">
        <v>832</v>
      </c>
    </row>
    <row r="15" spans="1:8" s="590" customFormat="1" ht="13.5" hidden="1" customHeight="1">
      <c r="A15" s="603" t="s">
        <v>46</v>
      </c>
      <c r="B15" s="591" t="s">
        <v>833</v>
      </c>
      <c r="C15" s="596"/>
      <c r="D15" s="1911"/>
      <c r="E15" s="594"/>
      <c r="F15" s="594"/>
      <c r="G15" s="595" t="s">
        <v>834</v>
      </c>
    </row>
    <row r="16" spans="1:8"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1915</v>
      </c>
      <c r="B19" s="586" t="s">
        <v>845</v>
      </c>
      <c r="C19" s="587">
        <f ca="1">IF(G19="已包含在土地取得成本中","0",ROUND(D19*E19,0))</f>
        <v>1429618</v>
      </c>
      <c r="D19" s="1913">
        <f ca="1">D9+D10</f>
        <v>7148.0899999999992</v>
      </c>
      <c r="E19" s="587">
        <f>'数据-取费表'!B31</f>
        <v>200</v>
      </c>
      <c r="F19" s="607"/>
      <c r="G19" s="84"/>
    </row>
    <row r="20" spans="1:7" s="590" customFormat="1" ht="13.5" customHeight="1">
      <c r="A20" s="1803" t="s">
        <v>1916</v>
      </c>
      <c r="B20" s="586" t="s">
        <v>838</v>
      </c>
      <c r="C20" s="608">
        <f ca="1">ROUND((C5+C19)*F20,0)</f>
        <v>28592</v>
      </c>
      <c r="D20" s="608"/>
      <c r="E20" s="608"/>
      <c r="F20" s="609">
        <f>'数据-取费表'!B37</f>
        <v>0.01</v>
      </c>
      <c r="G20" s="2621" t="s">
        <v>2524</v>
      </c>
    </row>
    <row r="21" spans="1:7" s="590" customFormat="1" ht="13.5" customHeight="1">
      <c r="A21" s="1803" t="s">
        <v>1917</v>
      </c>
      <c r="B21" s="586" t="s">
        <v>839</v>
      </c>
      <c r="C21" s="611">
        <f>F21</f>
        <v>0.01</v>
      </c>
      <c r="D21" s="612" t="s">
        <v>860</v>
      </c>
      <c r="E21" s="608"/>
      <c r="F21" s="609">
        <f>'数据-取费表'!B38</f>
        <v>0.01</v>
      </c>
      <c r="G21" s="610" t="s">
        <v>840</v>
      </c>
    </row>
    <row r="22" spans="1:7" s="590" customFormat="1" ht="13.5" customHeight="1">
      <c r="A22" s="1803" t="s">
        <v>1918</v>
      </c>
      <c r="B22" s="586" t="s">
        <v>841</v>
      </c>
      <c r="C22" s="2755">
        <f ca="1">ROUND(SUM(C23:C25),0)</f>
        <v>124998</v>
      </c>
      <c r="D22" s="611">
        <f ca="1">C26</f>
        <v>2.0000000000000001E-4</v>
      </c>
      <c r="E22" s="612" t="s">
        <v>860</v>
      </c>
      <c r="F22" s="613">
        <f ca="1">'数据-取费表'!B40</f>
        <v>4.3499999999999997E-2</v>
      </c>
      <c r="G22" s="2621" t="str">
        <f>IF('数据-取费表'!B22&lt;=1,"单利计息","复利计息")</f>
        <v>单利计息</v>
      </c>
    </row>
    <row r="23" spans="1:7" s="590" customFormat="1" ht="13.5" customHeight="1">
      <c r="A23" s="1806" t="s">
        <v>1923</v>
      </c>
      <c r="B23" s="591" t="s">
        <v>2517</v>
      </c>
      <c r="C23" s="2756">
        <f ca="1">ROUND(IF('数据-取费表'!B22&lt;=1,C5*F22*'数据-取费表'!B22,C5*(POWER((1+F22),'数据-取费表'!B22)-1)),0)</f>
        <v>62188</v>
      </c>
      <c r="D23" s="614"/>
      <c r="E23" s="614"/>
      <c r="F23" s="615"/>
      <c r="G23" s="616" t="s">
        <v>842</v>
      </c>
    </row>
    <row r="24" spans="1:7" s="590" customFormat="1" ht="13.5" customHeight="1">
      <c r="A24" s="1806" t="s">
        <v>1924</v>
      </c>
      <c r="B24" s="591" t="s">
        <v>2512</v>
      </c>
      <c r="C24" s="2756">
        <f ca="1">ROUND(IF('数据-取费表'!B22&lt;=1,C19*F22*('数据-取费表'!B19/2+'数据-取费表'!B20),C19*(POWER((1+F22),('数据-取费表'!B19/2+'数据-取费表'!B20))-1)),0)</f>
        <v>62188</v>
      </c>
      <c r="D24" s="614"/>
      <c r="E24" s="614"/>
      <c r="F24" s="615"/>
      <c r="G24" s="616" t="s">
        <v>843</v>
      </c>
    </row>
    <row r="25" spans="1:7" s="590" customFormat="1" ht="24">
      <c r="A25" s="1806" t="s">
        <v>1925</v>
      </c>
      <c r="B25" s="591" t="s">
        <v>2514</v>
      </c>
      <c r="C25" s="2756">
        <f ca="1">ROUND(IF('数据-取费表'!B22&lt;=1,C20*F22*'数据-取费表'!B22/2,C20*(POWER((1+F22),'数据-取费表'!B22/2)-1)),0)</f>
        <v>622</v>
      </c>
      <c r="D25" s="614"/>
      <c r="E25" s="617"/>
      <c r="F25" s="615"/>
      <c r="G25" s="618" t="s">
        <v>844</v>
      </c>
    </row>
    <row r="26" spans="1:7" s="590" customFormat="1">
      <c r="A26" s="1806" t="s">
        <v>1927</v>
      </c>
      <c r="B26" s="591" t="s">
        <v>2516</v>
      </c>
      <c r="C26" s="614">
        <f ca="1">ROUND(IF('数据-取费表'!B22&lt;=1,F21*F22*'数据-取费表'!B22/2,F21*(POWER((1+F22),'数据-取费表'!B22/2)-1)),4)</f>
        <v>2.0000000000000001E-4</v>
      </c>
      <c r="D26" s="614"/>
      <c r="E26" s="617"/>
      <c r="F26" s="615"/>
      <c r="G26" s="619"/>
    </row>
    <row r="27" spans="1:7" s="590" customFormat="1" ht="24.75">
      <c r="A27" s="1803" t="s">
        <v>1919</v>
      </c>
      <c r="B27" s="620" t="s">
        <v>846</v>
      </c>
      <c r="C27" s="621">
        <f ca="1">C28</f>
        <v>721957</v>
      </c>
      <c r="D27" s="611">
        <f ca="1">C29</f>
        <v>2.5000000000000001E-3</v>
      </c>
      <c r="E27" s="612" t="s">
        <v>860</v>
      </c>
      <c r="F27" s="622">
        <f ca="1">IF(B1="",'数据-取费表'!Q16,INDIRECT("'数据-取费表'!q"&amp;$G$1))</f>
        <v>0.25</v>
      </c>
      <c r="G27" s="623" t="s">
        <v>2525</v>
      </c>
    </row>
    <row r="28" spans="1:7" s="590" customFormat="1" ht="13.5" customHeight="1">
      <c r="A28" s="1806" t="s">
        <v>1923</v>
      </c>
      <c r="B28" s="624" t="s">
        <v>2518</v>
      </c>
      <c r="C28" s="625">
        <f ca="1">ROUND((C5+C19+C20)*F27,0)</f>
        <v>721957</v>
      </c>
      <c r="D28" s="611"/>
      <c r="E28" s="612"/>
      <c r="F28" s="622"/>
      <c r="G28" s="623"/>
    </row>
    <row r="29" spans="1:7" s="590" customFormat="1" ht="13.5" customHeight="1">
      <c r="A29" s="1806" t="s">
        <v>1924</v>
      </c>
      <c r="B29" s="624" t="s">
        <v>2519</v>
      </c>
      <c r="C29" s="614">
        <f ca="1">ROUND(C21*F27,4)</f>
        <v>2.5000000000000001E-3</v>
      </c>
      <c r="D29" s="611"/>
      <c r="E29" s="612"/>
      <c r="F29" s="622"/>
      <c r="G29" s="623"/>
    </row>
    <row r="30" spans="1:7" s="590" customFormat="1" ht="13.5" customHeight="1">
      <c r="A30" s="1803" t="s">
        <v>1920</v>
      </c>
      <c r="B30" s="586" t="s">
        <v>349</v>
      </c>
      <c r="C30" s="611">
        <f>ROUND(F30/(1+'数据-取费表'!C42),4)</f>
        <v>5.33E-2</v>
      </c>
      <c r="D30" s="612" t="s">
        <v>2949</v>
      </c>
      <c r="E30" s="617"/>
      <c r="F30" s="613">
        <f>'数据-取费表'!B41</f>
        <v>5.6000000000000001E-2</v>
      </c>
      <c r="G30" s="2621" t="s">
        <v>2950</v>
      </c>
    </row>
    <row r="31" spans="1:7" ht="16.5" customHeight="1">
      <c r="A31" s="585">
        <v>1</v>
      </c>
      <c r="B31" s="586" t="s">
        <v>862</v>
      </c>
      <c r="C31" s="587">
        <f ca="1">ROUND((C5+C19+C20+C22+C27)/(1-C21-D22-D27-C30),0)</f>
        <v>3998697</v>
      </c>
      <c r="D31" s="606"/>
      <c r="E31" s="587"/>
      <c r="F31" s="626"/>
      <c r="G31" s="610" t="s">
        <v>2526</v>
      </c>
    </row>
    <row r="32" spans="1:7" s="584" customFormat="1" ht="15.75">
      <c r="A32" s="628" t="s">
        <v>2628</v>
      </c>
      <c r="B32" s="629"/>
      <c r="C32" s="629"/>
      <c r="D32" s="629"/>
      <c r="E32" s="629"/>
      <c r="F32" s="629"/>
      <c r="G32" s="630"/>
    </row>
    <row r="33" spans="1:7" s="590" customFormat="1" ht="13.5" customHeight="1">
      <c r="A33" s="631" t="s">
        <v>1914</v>
      </c>
      <c r="B33" s="2757" t="s">
        <v>2629</v>
      </c>
      <c r="C33" s="632">
        <f ca="1">SUM(C34:C38)</f>
        <v>16369126</v>
      </c>
      <c r="D33" s="608"/>
      <c r="E33" s="588"/>
      <c r="F33" s="617"/>
      <c r="G33" s="610"/>
    </row>
    <row r="34" spans="1:7" s="634" customFormat="1" ht="13.5" customHeight="1">
      <c r="A34" s="1806" t="s">
        <v>1923</v>
      </c>
      <c r="B34" s="591" t="s">
        <v>350</v>
      </c>
      <c r="C34" s="596">
        <f ca="1">ROUND(IF(B1="",SUMPRODUCT('数据-取费表'!K6:K14,'数据-取费表'!L6:L14),INDIRECT("'数据-取费表'!l"&amp;$G$1)*INDIRECT("'数据-取费表'!k"&amp;$G$1)+'数据-取费表'!L14*INDIRECT("'数据-取费表'!S"&amp;$G$1)),0)</f>
        <v>14296180</v>
      </c>
      <c r="D34" s="593"/>
      <c r="E34" s="596"/>
      <c r="F34" s="633"/>
      <c r="G34" s="595"/>
    </row>
    <row r="35" spans="1:7" ht="13.5" customHeight="1">
      <c r="A35" s="1806" t="s">
        <v>1928</v>
      </c>
      <c r="B35" s="591" t="s">
        <v>351</v>
      </c>
      <c r="C35" s="596">
        <f ca="1">ROUND(C34*F35,0)</f>
        <v>428885</v>
      </c>
      <c r="D35" s="596"/>
      <c r="E35" s="596"/>
      <c r="F35" s="635">
        <f>'数据-取费表'!B33</f>
        <v>0.03</v>
      </c>
      <c r="G35" s="595" t="s">
        <v>851</v>
      </c>
    </row>
    <row r="36" spans="1:7" ht="24">
      <c r="A36" s="1806" t="s">
        <v>1929</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6" t="s">
        <v>1930</v>
      </c>
      <c r="B37" s="591" t="s">
        <v>852</v>
      </c>
      <c r="C37" s="625">
        <f ca="1">ROUND(E37*D37,0)</f>
        <v>1429618</v>
      </c>
      <c r="D37" s="593">
        <f ca="1">D19</f>
        <v>7148.0899999999992</v>
      </c>
      <c r="E37" s="625">
        <f>'数据-取费表'!B35</f>
        <v>200</v>
      </c>
      <c r="F37" s="635"/>
      <c r="G37" s="637"/>
    </row>
    <row r="38" spans="1:7" ht="13.5" customHeight="1">
      <c r="A38" s="1806" t="s">
        <v>1931</v>
      </c>
      <c r="B38" s="591" t="s">
        <v>354</v>
      </c>
      <c r="C38" s="596">
        <f ca="1">ROUND(C34*F38,0)</f>
        <v>214443</v>
      </c>
      <c r="D38" s="596"/>
      <c r="E38" s="596"/>
      <c r="F38" s="635">
        <f>'数据-取费表'!B36</f>
        <v>1.4999999999999999E-2</v>
      </c>
      <c r="G38" s="595" t="s">
        <v>851</v>
      </c>
    </row>
    <row r="39" spans="1:7" s="590" customFormat="1" ht="13.5" customHeight="1">
      <c r="A39" s="1803" t="s">
        <v>1915</v>
      </c>
      <c r="B39" s="586" t="s">
        <v>838</v>
      </c>
      <c r="C39" s="608">
        <f ca="1">ROUND(C33*F20,0)</f>
        <v>163691</v>
      </c>
      <c r="D39" s="608"/>
      <c r="E39" s="608"/>
      <c r="F39" s="609"/>
      <c r="G39" s="2621" t="s">
        <v>2527</v>
      </c>
    </row>
    <row r="40" spans="1:7" s="590" customFormat="1" ht="13.5" customHeight="1">
      <c r="A40" s="1803" t="s">
        <v>1916</v>
      </c>
      <c r="B40" s="586" t="s">
        <v>839</v>
      </c>
      <c r="C40" s="3240">
        <f>F21</f>
        <v>0.01</v>
      </c>
      <c r="D40" s="612" t="s">
        <v>863</v>
      </c>
      <c r="E40" s="608"/>
      <c r="F40" s="609"/>
      <c r="G40" s="610" t="s">
        <v>854</v>
      </c>
    </row>
    <row r="41" spans="1:7" s="590" customFormat="1" ht="13.5" customHeight="1">
      <c r="A41" s="1803" t="s">
        <v>1917</v>
      </c>
      <c r="B41" s="586" t="s">
        <v>841</v>
      </c>
      <c r="C41" s="608">
        <f ca="1">ROUND(SUM(C42:C43),0)</f>
        <v>359588</v>
      </c>
      <c r="D41" s="611">
        <f ca="1">C44</f>
        <v>2.0000000000000001E-4</v>
      </c>
      <c r="E41" s="612" t="s">
        <v>863</v>
      </c>
      <c r="F41" s="613"/>
      <c r="G41" s="2621" t="str">
        <f>IF('数据-取费表'!B22&lt;=1,"单利计息","复利计息")</f>
        <v>单利计息</v>
      </c>
    </row>
    <row r="42" spans="1:7" ht="13.5" customHeight="1">
      <c r="A42" s="1806" t="s">
        <v>1923</v>
      </c>
      <c r="B42" s="591" t="s">
        <v>2517</v>
      </c>
      <c r="C42" s="614">
        <f ca="1">ROUND(IF('数据-取费表'!B22&lt;=1,C33*F22*'数据-取费表'!B20/2,C33*(POWER((1+F22),'数据-取费表'!B20/2)-1)),0)</f>
        <v>356028</v>
      </c>
      <c r="D42" s="614"/>
      <c r="E42" s="614"/>
      <c r="F42" s="615"/>
      <c r="G42" s="3527" t="s">
        <v>2632</v>
      </c>
    </row>
    <row r="43" spans="1:7" ht="13.5" customHeight="1">
      <c r="A43" s="1806" t="s">
        <v>1924</v>
      </c>
      <c r="B43" s="591" t="s">
        <v>2512</v>
      </c>
      <c r="C43" s="614">
        <f ca="1">ROUND(IF('数据-取费表'!B22&lt;=1,C39*F22*'数据-取费表'!B20/2,C39*(POWER((1+F22),'数据-取费表'!B20/2)-1)),0)</f>
        <v>3560</v>
      </c>
      <c r="D43" s="614"/>
      <c r="E43" s="614"/>
      <c r="F43" s="615"/>
      <c r="G43" s="3525"/>
    </row>
    <row r="44" spans="1:7" ht="13.5" customHeight="1">
      <c r="A44" s="1806" t="s">
        <v>1925</v>
      </c>
      <c r="B44" s="591" t="s">
        <v>2514</v>
      </c>
      <c r="C44" s="614">
        <f ca="1">ROUND(IF('数据-取费表'!B22&lt;=1,C40*F22*'数据-取费表'!B20/2,C40*(POWER((1+F22),'数据-取费表'!B20/2)-1)),4)</f>
        <v>2.0000000000000001E-4</v>
      </c>
      <c r="D44" s="614"/>
      <c r="E44" s="614"/>
      <c r="F44" s="615"/>
      <c r="G44" s="3526"/>
    </row>
    <row r="45" spans="1:7" s="590" customFormat="1" ht="13.5" customHeight="1">
      <c r="A45" s="1803" t="s">
        <v>1918</v>
      </c>
      <c r="B45" s="620" t="s">
        <v>846</v>
      </c>
      <c r="C45" s="621">
        <f ca="1">C46</f>
        <v>4133204</v>
      </c>
      <c r="D45" s="611">
        <f ca="1">C47</f>
        <v>2.5000000000000001E-3</v>
      </c>
      <c r="E45" s="612" t="s">
        <v>863</v>
      </c>
      <c r="F45" s="622"/>
      <c r="G45" s="623" t="s">
        <v>2528</v>
      </c>
    </row>
    <row r="46" spans="1:7" s="590" customFormat="1" ht="13.5" customHeight="1">
      <c r="A46" s="1806" t="s">
        <v>1923</v>
      </c>
      <c r="B46" s="624" t="s">
        <v>2521</v>
      </c>
      <c r="C46" s="625">
        <f ca="1">ROUND((C33+C39)*F27,0)</f>
        <v>4133204</v>
      </c>
      <c r="D46" s="639"/>
      <c r="E46" s="612"/>
      <c r="F46" s="622"/>
      <c r="G46" s="623"/>
    </row>
    <row r="47" spans="1:7" s="590" customFormat="1" ht="13.5" customHeight="1">
      <c r="A47" s="1806" t="s">
        <v>1924</v>
      </c>
      <c r="B47" s="624" t="s">
        <v>2523</v>
      </c>
      <c r="C47" s="614">
        <f ca="1">ROUND(C40*F27,4)</f>
        <v>2.5000000000000001E-3</v>
      </c>
      <c r="D47" s="639"/>
      <c r="E47" s="612"/>
      <c r="F47" s="622"/>
      <c r="G47" s="623"/>
    </row>
    <row r="48" spans="1:7" s="590" customFormat="1" ht="13.5" customHeight="1">
      <c r="A48" s="1803" t="s">
        <v>1919</v>
      </c>
      <c r="B48" s="586" t="s">
        <v>856</v>
      </c>
      <c r="C48" s="638">
        <f>ROUND(F30/(1+'数据-取费表'!C42),4)</f>
        <v>5.33E-2</v>
      </c>
      <c r="D48" s="612" t="s">
        <v>2947</v>
      </c>
      <c r="E48" s="608"/>
      <c r="F48" s="613"/>
      <c r="G48" s="2621" t="s">
        <v>2948</v>
      </c>
    </row>
    <row r="49" spans="1:7" ht="16.5" customHeight="1">
      <c r="A49" s="1803" t="s">
        <v>1920</v>
      </c>
      <c r="B49" s="586" t="s">
        <v>2630</v>
      </c>
      <c r="C49" s="608">
        <f ca="1">ROUND((C33+C39+C41+C45)/(1-C40-D41-D45-C48),0)</f>
        <v>22511359</v>
      </c>
      <c r="D49" s="608"/>
      <c r="E49" s="608"/>
      <c r="F49" s="640"/>
      <c r="G49" s="610" t="s">
        <v>2529</v>
      </c>
    </row>
    <row r="50" spans="1:7" s="634" customFormat="1">
      <c r="A50" s="1803" t="s">
        <v>1921</v>
      </c>
      <c r="B50" s="586" t="s">
        <v>858</v>
      </c>
      <c r="C50" s="608"/>
      <c r="D50" s="608"/>
      <c r="E50" s="608"/>
      <c r="F50" s="640">
        <f>IF('数据-取费表'!B24=0,'数据-取费表'!N16,1)</f>
        <v>0.7</v>
      </c>
      <c r="G50" s="623"/>
    </row>
    <row r="51" spans="1:7" ht="16.5" customHeight="1">
      <c r="A51" s="1803" t="s">
        <v>1922</v>
      </c>
      <c r="B51" s="586" t="s">
        <v>2631</v>
      </c>
      <c r="C51" s="608">
        <f ca="1">ROUND(C49*F50,0)</f>
        <v>15757951</v>
      </c>
      <c r="D51" s="608"/>
      <c r="E51" s="608"/>
      <c r="F51" s="640"/>
      <c r="G51" s="610" t="s">
        <v>355</v>
      </c>
    </row>
    <row r="52" spans="1:7" s="584" customFormat="1" ht="16.5" thickBot="1">
      <c r="A52" s="641" t="s">
        <v>356</v>
      </c>
      <c r="B52" s="642"/>
      <c r="C52" s="643">
        <f ca="1">C31+C51</f>
        <v>19756648</v>
      </c>
      <c r="D52" s="642"/>
      <c r="E52" s="642"/>
      <c r="F52" s="642"/>
      <c r="G52" s="644"/>
    </row>
    <row r="55" spans="1:7" ht="15">
      <c r="B55" s="646" t="s">
        <v>357</v>
      </c>
      <c r="C55" s="647"/>
    </row>
    <row r="56" spans="1:7">
      <c r="B56" s="2876" t="s">
        <v>2703</v>
      </c>
      <c r="C56" s="651">
        <f ca="1">1-C57</f>
        <v>0.20199999999999996</v>
      </c>
    </row>
    <row r="57" spans="1:7">
      <c r="B57" s="2876" t="s">
        <v>2702</v>
      </c>
      <c r="C57" s="650">
        <f ca="1">ROUND(C51/C52,3)</f>
        <v>0.79800000000000004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7" customWidth="1"/>
    <col min="3" max="3" width="10.375" style="1851" customWidth="1"/>
    <col min="4" max="4" width="9.875" style="1807" customWidth="1"/>
    <col min="5" max="5" width="9.5" style="1465"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869</v>
      </c>
      <c r="B1" s="3055"/>
      <c r="C1" s="3056"/>
      <c r="D1" s="3054"/>
      <c r="E1" s="652"/>
      <c r="F1" s="652"/>
      <c r="G1" s="3055"/>
      <c r="H1" s="652"/>
      <c r="I1" s="652"/>
      <c r="J1" s="652"/>
      <c r="K1" s="652">
        <f>MATCH(C1,'数据-取费表'!A6:A16,0)+5</f>
        <v>7</v>
      </c>
    </row>
    <row r="2" spans="1:33" ht="18" customHeight="1">
      <c r="A2" s="577" t="s">
        <v>818</v>
      </c>
      <c r="B2" s="580">
        <f ca="1">C32</f>
        <v>0</v>
      </c>
      <c r="C2" s="88" t="s">
        <v>1101</v>
      </c>
      <c r="D2" s="652"/>
      <c r="E2" s="652"/>
      <c r="F2" s="652"/>
      <c r="G2" s="652"/>
      <c r="H2" s="652"/>
      <c r="I2" s="652"/>
      <c r="J2" s="652"/>
      <c r="K2" s="652"/>
    </row>
    <row r="3" spans="1:33" ht="18" customHeight="1" thickBot="1">
      <c r="A3" s="579" t="s">
        <v>819</v>
      </c>
      <c r="B3" s="580">
        <f ca="1">ROUND(B2*10000/IF(C1="",'数据-汇总表'!E3,INDIRECT("'数据-取费表'!K"&amp;$K$1)),0)</f>
        <v>0</v>
      </c>
      <c r="C3" s="88" t="s">
        <v>868</v>
      </c>
      <c r="D3" s="652"/>
      <c r="E3" s="652"/>
      <c r="F3" s="652"/>
      <c r="G3" s="652"/>
      <c r="H3" s="652"/>
      <c r="I3" s="652"/>
      <c r="J3" s="652"/>
      <c r="K3" s="652"/>
    </row>
    <row r="4" spans="1:33" s="1811" customFormat="1" ht="16.5" customHeight="1">
      <c r="A4" s="1808" t="s">
        <v>870</v>
      </c>
      <c r="B4" s="1809"/>
      <c r="C4" s="1852">
        <f>SUM(C8:K8)</f>
        <v>0</v>
      </c>
      <c r="D4" s="1809"/>
      <c r="E4" s="1809"/>
      <c r="F4" s="1809"/>
      <c r="G4" s="1809"/>
      <c r="H4" s="1809"/>
      <c r="I4" s="1809"/>
      <c r="J4" s="1809"/>
      <c r="K4" s="1810"/>
    </row>
    <row r="5" spans="1:33" s="1815" customFormat="1" ht="24">
      <c r="A5" s="1812" t="s">
        <v>871</v>
      </c>
      <c r="B5" s="1813" t="s">
        <v>872</v>
      </c>
      <c r="C5" s="1272" t="s">
        <v>204</v>
      </c>
      <c r="D5" s="1272" t="s">
        <v>205</v>
      </c>
      <c r="E5" s="1272" t="s">
        <v>195</v>
      </c>
      <c r="F5" s="1272"/>
      <c r="G5" s="1272"/>
      <c r="H5" s="1272"/>
      <c r="I5" s="1272"/>
      <c r="J5" s="1272"/>
      <c r="K5" s="1272"/>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1934</v>
      </c>
      <c r="B6" s="471" t="s">
        <v>873</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1916</v>
      </c>
      <c r="B8" s="509" t="s">
        <v>875</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876</v>
      </c>
      <c r="B9" s="1809"/>
      <c r="C9" s="1809"/>
      <c r="D9" s="1809"/>
      <c r="E9" s="1809"/>
      <c r="F9" s="1809"/>
      <c r="G9" s="1809"/>
      <c r="H9" s="1809"/>
      <c r="I9" s="1809"/>
      <c r="J9" s="1809"/>
      <c r="K9" s="1810"/>
    </row>
    <row r="10" spans="1:33" s="1826" customFormat="1" ht="13.5" customHeight="1">
      <c r="A10" s="1812" t="s">
        <v>871</v>
      </c>
      <c r="B10" s="295" t="s">
        <v>872</v>
      </c>
      <c r="C10" s="1822" t="s">
        <v>877</v>
      </c>
      <c r="D10" s="1823" t="s">
        <v>878</v>
      </c>
      <c r="E10" s="1823" t="s">
        <v>879</v>
      </c>
      <c r="F10" s="1823" t="s">
        <v>880</v>
      </c>
      <c r="G10" s="295"/>
      <c r="H10" s="1824"/>
      <c r="I10" s="1824"/>
      <c r="J10" s="1824"/>
      <c r="K10" s="1825"/>
    </row>
    <row r="11" spans="1:33" s="1831" customFormat="1" ht="13.5" customHeight="1">
      <c r="A11" s="1827" t="s">
        <v>2953</v>
      </c>
      <c r="B11" s="1828" t="s">
        <v>881</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2954</v>
      </c>
      <c r="B12" s="1828" t="s">
        <v>882</v>
      </c>
      <c r="C12" s="313">
        <f ca="1">ROUND(C11*F12,0)</f>
        <v>0</v>
      </c>
      <c r="D12" s="1829"/>
      <c r="E12" s="715"/>
      <c r="F12" s="1832">
        <f>'数据-取费表'!B33</f>
        <v>0.03</v>
      </c>
      <c r="G12" s="295" t="s">
        <v>883</v>
      </c>
      <c r="H12" s="1824"/>
      <c r="I12" s="1824"/>
      <c r="J12" s="1824"/>
      <c r="K12" s="1825"/>
    </row>
    <row r="13" spans="1:33" s="1831" customFormat="1" ht="13.5" customHeight="1">
      <c r="A13" s="1827" t="s">
        <v>2955</v>
      </c>
      <c r="B13" s="1828" t="s">
        <v>884</v>
      </c>
      <c r="C13" s="313">
        <f ca="1">ROUND(IF(C1="",SUMIF('数据-取费表'!C:C,"住宅",'数据-取费表'!P:P)*F13,IF(INDIRECT("'数据-取费表'!c"&amp;$K$1)="住宅",INDIRECT("'数据-取费表'!P"&amp;$K$1)*F13,0)),0)</f>
        <v>0</v>
      </c>
      <c r="D13" s="1910"/>
      <c r="E13" s="715"/>
      <c r="F13" s="1832">
        <f>'数据-取费表'!B34</f>
        <v>0</v>
      </c>
      <c r="G13" s="295" t="s">
        <v>885</v>
      </c>
      <c r="H13" s="1824"/>
      <c r="I13" s="1824"/>
      <c r="J13" s="1824"/>
      <c r="K13" s="1825"/>
    </row>
    <row r="14" spans="1:33" s="1833" customFormat="1" ht="13.5" customHeight="1">
      <c r="A14" s="1827" t="s">
        <v>2956</v>
      </c>
      <c r="B14" s="1828" t="s">
        <v>886</v>
      </c>
      <c r="C14" s="313">
        <f ca="1">ROUND(D14*E14*F11/10000,0)</f>
        <v>0</v>
      </c>
      <c r="D14" s="1910">
        <f ca="1">IF(C1="",'数据-汇总表'!E3,INDIRECT("'数据-取费表'!K"&amp;$K$1)+INDIRECT("'数据-取费表'!S"&amp;$K$1))</f>
        <v>7148.0899999999992</v>
      </c>
      <c r="E14" s="313">
        <f>'数据-取费表'!B35</f>
        <v>200</v>
      </c>
      <c r="F14" s="1832"/>
      <c r="G14" s="295" t="s">
        <v>887</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2957</v>
      </c>
      <c r="B15" s="1828" t="s">
        <v>893</v>
      </c>
      <c r="C15" s="1839">
        <f ca="1">ROUND(C11*F15,0)</f>
        <v>0</v>
      </c>
      <c r="D15" s="1834"/>
      <c r="E15" s="1839"/>
      <c r="F15" s="1840">
        <f>'数据-取费表'!B36</f>
        <v>1.4999999999999999E-2</v>
      </c>
      <c r="G15" s="471" t="s">
        <v>894</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1935</v>
      </c>
      <c r="B16" s="3241" t="s">
        <v>2958</v>
      </c>
      <c r="C16" s="1839">
        <f ca="1">SUM(C11:C15)</f>
        <v>0</v>
      </c>
      <c r="D16" s="1834"/>
      <c r="E16" s="1839"/>
      <c r="F16" s="1840"/>
      <c r="G16" s="471"/>
      <c r="H16" s="3052"/>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1936</v>
      </c>
      <c r="B17" s="1828" t="s">
        <v>888</v>
      </c>
      <c r="C17" s="313">
        <f ca="1">ROUND(D17*E17/10000,0)</f>
        <v>0</v>
      </c>
      <c r="D17" s="1910">
        <f ca="1">D14</f>
        <v>7148.0899999999992</v>
      </c>
      <c r="E17" s="313">
        <f>'数据-取费表'!B32</f>
        <v>0</v>
      </c>
      <c r="F17" s="1834"/>
      <c r="G17" s="471" t="s">
        <v>889</v>
      </c>
      <c r="H17" s="3052"/>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2959</v>
      </c>
      <c r="B18" s="1828" t="s">
        <v>890</v>
      </c>
      <c r="C18" s="313">
        <f ca="1">C19+C20-IF(C1="",'数据-取费表'!B29,IF(G18="已全部缴纳",C19+C20,H18))</f>
        <v>0</v>
      </c>
      <c r="D18" s="1910"/>
      <c r="E18" s="313"/>
      <c r="F18" s="1832"/>
      <c r="G18" s="3051"/>
      <c r="H18" s="3049"/>
      <c r="I18" s="3050" t="s">
        <v>2803</v>
      </c>
      <c r="J18" s="1835"/>
      <c r="K18" s="1836"/>
    </row>
    <row r="19" spans="1:33" s="1831" customFormat="1" ht="13.5" customHeight="1">
      <c r="A19" s="1827" t="s">
        <v>1937</v>
      </c>
      <c r="B19" s="1828" t="s">
        <v>891</v>
      </c>
      <c r="C19" s="313">
        <f ca="1">ROUND(D19*E19/10000,0)</f>
        <v>0</v>
      </c>
      <c r="D19" s="1910">
        <f ca="1">IF(C1="",'数据-汇总表'!E5,IF(INDIRECT("'数据-取费表'!c"&amp;$K$1)="住宅",INDIRECT("'数据-取费表'!k"&amp;$K$1),0))</f>
        <v>0</v>
      </c>
      <c r="E19" s="313">
        <f>'数据-取费表'!B27</f>
        <v>160</v>
      </c>
      <c r="F19" s="1832"/>
      <c r="G19" s="303"/>
      <c r="H19" s="3053"/>
      <c r="I19" s="1837"/>
      <c r="J19" s="1837"/>
      <c r="K19" s="1838"/>
    </row>
    <row r="20" spans="1:33" s="1831" customFormat="1" ht="13.5" customHeight="1">
      <c r="A20" s="1827" t="s">
        <v>1938</v>
      </c>
      <c r="B20" s="1828" t="s">
        <v>892</v>
      </c>
      <c r="C20" s="313">
        <f ca="1">ROUND(D20*E20/10000,0)</f>
        <v>143</v>
      </c>
      <c r="D20" s="1910">
        <f ca="1">IF(C1="",'数据-汇总表'!E6,IF(INDIRECT("'数据-取费表'!c"&amp;$K$1)="住宅",INDIRECT("'数据-取费表'!s"&amp;$K$1),INDIRECT("'数据-取费表'!k"&amp;$K$1)+INDIRECT("'数据-取费表'!s"&amp;$K$1)))</f>
        <v>7148.0899999999992</v>
      </c>
      <c r="E20" s="313">
        <f>'数据-取费表'!B28</f>
        <v>200</v>
      </c>
      <c r="F20" s="1832"/>
      <c r="G20" s="303"/>
      <c r="H20" s="1837"/>
      <c r="I20" s="1837"/>
      <c r="J20" s="1837"/>
      <c r="K20" s="1838"/>
    </row>
    <row r="21" spans="1:33" s="1831" customFormat="1" ht="13.5" customHeight="1">
      <c r="A21" s="1816" t="s">
        <v>1934</v>
      </c>
      <c r="B21" s="1841" t="s">
        <v>895</v>
      </c>
      <c r="C21" s="1842">
        <f ca="1">C16+C17+C18</f>
        <v>0</v>
      </c>
      <c r="D21" s="1843"/>
      <c r="E21" s="657"/>
      <c r="F21" s="657"/>
      <c r="G21" s="471" t="s">
        <v>2530</v>
      </c>
      <c r="H21" s="1835"/>
      <c r="I21" s="1835"/>
      <c r="J21" s="1835"/>
      <c r="K21" s="1836"/>
    </row>
    <row r="22" spans="1:33" s="1831" customFormat="1" ht="13.5" customHeight="1">
      <c r="A22" s="1821" t="s">
        <v>1915</v>
      </c>
      <c r="B22" s="1841" t="s">
        <v>896</v>
      </c>
      <c r="C22" s="1842">
        <f ca="1">ROUND(C21*F22,0)</f>
        <v>0</v>
      </c>
      <c r="D22" s="657"/>
      <c r="E22" s="657"/>
      <c r="F22" s="1844">
        <f>'数据-取费表'!B37</f>
        <v>0.01</v>
      </c>
      <c r="G22" s="295" t="s">
        <v>897</v>
      </c>
      <c r="H22" s="1824"/>
      <c r="I22" s="1824"/>
      <c r="J22" s="1824"/>
      <c r="K22" s="1825"/>
    </row>
    <row r="23" spans="1:33" s="1831" customFormat="1" ht="13.5" customHeight="1">
      <c r="A23" s="1821" t="s">
        <v>1916</v>
      </c>
      <c r="B23" s="1841" t="s">
        <v>898</v>
      </c>
      <c r="C23" s="1842">
        <f ca="1">ROUND(C4*F23*F11,0)</f>
        <v>0</v>
      </c>
      <c r="D23" s="657"/>
      <c r="E23" s="657"/>
      <c r="F23" s="1844">
        <f>'数据-取费表'!B38</f>
        <v>0.01</v>
      </c>
      <c r="G23" s="295" t="s">
        <v>899</v>
      </c>
      <c r="H23" s="1824"/>
      <c r="I23" s="1824"/>
      <c r="J23" s="1824"/>
      <c r="K23" s="1825"/>
    </row>
    <row r="24" spans="1:33" s="1831" customFormat="1" ht="13.5" customHeight="1">
      <c r="A24" s="1821" t="s">
        <v>1917</v>
      </c>
      <c r="B24" s="1841" t="s">
        <v>900</v>
      </c>
      <c r="C24" s="656">
        <f>ROUND(F24/(1+'数据-取费表'!C42),4)</f>
        <v>2.9000000000000001E-2</v>
      </c>
      <c r="D24" s="657" t="s">
        <v>50</v>
      </c>
      <c r="E24" s="657"/>
      <c r="F24" s="1844">
        <f>'数据-取费表'!B48+'数据-取费表'!B49</f>
        <v>3.0499999999999999E-2</v>
      </c>
      <c r="G24" s="2023" t="s">
        <v>2951</v>
      </c>
      <c r="H24" s="1846"/>
      <c r="I24" s="1846"/>
      <c r="J24" s="1846"/>
      <c r="K24" s="1847"/>
    </row>
    <row r="25" spans="1:33" s="1831" customFormat="1" ht="13.5" customHeight="1">
      <c r="A25" s="1821" t="s">
        <v>1918</v>
      </c>
      <c r="B25" s="1843" t="s">
        <v>901</v>
      </c>
      <c r="C25" s="2703">
        <f ca="1">C27</f>
        <v>0</v>
      </c>
      <c r="D25" s="656">
        <f ca="1">C26</f>
        <v>0</v>
      </c>
      <c r="E25" s="658" t="s">
        <v>50</v>
      </c>
      <c r="F25" s="659">
        <f ca="1">'数据-取费表'!B40</f>
        <v>4.3499999999999997E-2</v>
      </c>
      <c r="G25" s="2702"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1935</v>
      </c>
      <c r="B26" s="1848" t="s">
        <v>902</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1936</v>
      </c>
      <c r="B27" s="1848" t="s">
        <v>2620</v>
      </c>
      <c r="C27" s="2705">
        <f ca="1">ROUND(IF('数据-取费表'!B22&lt;=1,(C21+C22+C23)*F25*'数据-取费表'!B24/2,(C21+C22+C23)*(POWER((1+F25),'数据-取费表'!B24/2)-1)),0)</f>
        <v>0</v>
      </c>
      <c r="D27" s="660"/>
      <c r="E27" s="661"/>
      <c r="F27" s="662"/>
      <c r="G27" s="2709" t="str">
        <f>IF('数据-取费表'!B22&lt;=1,"（1）-（3）项×年利率×建设期÷2","（1）-（3）项×((1+年利率)^(建设期÷2)-1)")</f>
        <v>（1）-（3）项×年利率×建设期÷2</v>
      </c>
      <c r="H27" s="1835"/>
      <c r="I27" s="1835"/>
      <c r="J27" s="1835"/>
      <c r="K27" s="1836"/>
    </row>
    <row r="28" spans="1:33" s="665" customFormat="1" ht="13.5" customHeight="1">
      <c r="A28" s="1821" t="s">
        <v>1919</v>
      </c>
      <c r="B28" s="3242" t="s">
        <v>2960</v>
      </c>
      <c r="C28" s="663">
        <f ca="1">C30</f>
        <v>0</v>
      </c>
      <c r="D28" s="656">
        <f ca="1">C29</f>
        <v>0</v>
      </c>
      <c r="E28" s="658" t="s">
        <v>50</v>
      </c>
      <c r="F28" s="664">
        <f ca="1">IF(C1="",'数据-取费表'!Q16,INDIRECT("'数据-取费表'!q"&amp;$K$1))</f>
        <v>0.25</v>
      </c>
      <c r="G28" s="1845"/>
      <c r="H28" s="1846"/>
      <c r="I28" s="1846"/>
      <c r="J28" s="1846"/>
      <c r="K28" s="1847"/>
    </row>
    <row r="29" spans="1:33" s="667" customFormat="1" ht="13.5" customHeight="1">
      <c r="A29" s="1827" t="s">
        <v>1935</v>
      </c>
      <c r="B29" s="1850" t="s">
        <v>903</v>
      </c>
      <c r="C29" s="660">
        <f ca="1">ROUND((1+C24)*F28*'数据-取费表'!B24/'数据-取费表'!B20,4)</f>
        <v>0</v>
      </c>
      <c r="D29" s="660"/>
      <c r="E29" s="661"/>
      <c r="F29" s="666"/>
      <c r="G29" s="471" t="s">
        <v>904</v>
      </c>
      <c r="H29" s="1835"/>
      <c r="I29" s="1835"/>
      <c r="J29" s="1835"/>
      <c r="K29" s="1836"/>
    </row>
    <row r="30" spans="1:33" s="667" customFormat="1" ht="13.5" customHeight="1">
      <c r="A30" s="1827" t="s">
        <v>1936</v>
      </c>
      <c r="B30" s="2710" t="s">
        <v>2621</v>
      </c>
      <c r="C30" s="668">
        <f ca="1">ROUND((C21+C22+C23)*F28,0)</f>
        <v>0</v>
      </c>
      <c r="D30" s="660"/>
      <c r="E30" s="661"/>
      <c r="F30" s="666"/>
      <c r="G30" s="471"/>
      <c r="H30" s="1835"/>
      <c r="I30" s="1835"/>
      <c r="J30" s="1835"/>
      <c r="K30" s="1836"/>
    </row>
    <row r="31" spans="1:33" s="1831" customFormat="1" ht="13.5" customHeight="1" thickBot="1">
      <c r="A31" s="1862" t="s">
        <v>1920</v>
      </c>
      <c r="B31" s="1863" t="s">
        <v>905</v>
      </c>
      <c r="C31" s="1864">
        <f>ROUND(C4*F31/(1+'数据-取费表'!C42),0)</f>
        <v>0</v>
      </c>
      <c r="D31" s="1865"/>
      <c r="E31" s="1866"/>
      <c r="F31" s="1867">
        <f>'数据-取费表'!B41</f>
        <v>5.6000000000000001E-2</v>
      </c>
      <c r="G31" s="1868" t="s">
        <v>906</v>
      </c>
      <c r="H31" s="1869"/>
      <c r="I31" s="1869"/>
      <c r="J31" s="1869"/>
      <c r="K31" s="1870"/>
    </row>
    <row r="32" spans="1:33" s="1826" customFormat="1" ht="13.5" customHeight="1" thickBot="1">
      <c r="A32" s="1857" t="s">
        <v>2952</v>
      </c>
      <c r="B32" s="1858"/>
      <c r="C32" s="1859">
        <f ca="1">ROUND((C4-C21-C22-C23-C25-C28-C31)/(1+C24+D25+D28),0)</f>
        <v>0</v>
      </c>
      <c r="D32" s="1858"/>
      <c r="E32" s="1858"/>
      <c r="F32" s="1858"/>
      <c r="G32" s="1860" t="s">
        <v>907</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3" sqref="D2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93" t="s">
        <v>3251</v>
      </c>
      <c r="D1" s="1273"/>
      <c r="E1" s="2586" t="s">
        <v>2449</v>
      </c>
      <c r="F1" s="2587">
        <f ca="1">J53</f>
        <v>30.09</v>
      </c>
      <c r="G1" s="672">
        <f>MATCH(C1,'数据-取费表'!A6:A16,0)+5</f>
        <v>6</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818</v>
      </c>
      <c r="B2" s="1406">
        <f ca="1">C40+J29+L46</f>
        <v>7374</v>
      </c>
      <c r="C2" s="1299" t="s">
        <v>1102</v>
      </c>
      <c r="D2" s="1275"/>
      <c r="E2" s="2576"/>
      <c r="F2" s="1276"/>
      <c r="G2" s="2288"/>
      <c r="H2" s="1274"/>
      <c r="I2" s="1274"/>
      <c r="J2" s="1274"/>
      <c r="K2" s="1298"/>
      <c r="L2" s="1274"/>
      <c r="M2" s="1274"/>
    </row>
    <row r="3" spans="1:37" ht="18" customHeight="1" thickBot="1">
      <c r="A3" s="675" t="s">
        <v>819</v>
      </c>
      <c r="B3" s="1407">
        <f ca="1">IF(ISERROR(B2*10000/F43),0,ROUND(B2*10000/F43,0))</f>
        <v>10316</v>
      </c>
      <c r="C3" s="1299" t="s">
        <v>1103</v>
      </c>
      <c r="D3" s="1275"/>
      <c r="E3" s="2576"/>
      <c r="F3" s="1276"/>
      <c r="G3" s="2288"/>
      <c r="H3" s="676" t="s">
        <v>909</v>
      </c>
      <c r="I3" s="1274"/>
      <c r="J3" s="1274"/>
      <c r="K3" s="1298"/>
      <c r="L3" s="1274"/>
      <c r="M3" s="1274"/>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2538</v>
      </c>
      <c r="C5" s="2627">
        <f ca="1">C6+C10+C12</f>
        <v>572</v>
      </c>
      <c r="D5" s="2637" t="s">
        <v>2540</v>
      </c>
      <c r="E5" s="2628"/>
      <c r="F5" s="2629"/>
      <c r="G5" s="2289"/>
      <c r="H5" s="681">
        <v>1</v>
      </c>
      <c r="I5" s="682" t="s">
        <v>2538</v>
      </c>
      <c r="J5" s="2627">
        <f ca="1">J6+J10+J12</f>
        <v>582</v>
      </c>
      <c r="K5" s="2630" t="s">
        <v>2540</v>
      </c>
      <c r="L5" s="2628"/>
      <c r="M5" s="2629"/>
    </row>
    <row r="6" spans="1:37" ht="18" customHeight="1">
      <c r="A6" s="2623" t="s">
        <v>2545</v>
      </c>
      <c r="B6" s="3530" t="s">
        <v>2539</v>
      </c>
      <c r="C6" s="2632">
        <f ca="1">ROUND(F6*F8*F7*(1-F9)/10000,0)</f>
        <v>570</v>
      </c>
      <c r="D6" s="2626" t="s">
        <v>2541</v>
      </c>
      <c r="E6" s="684" t="s">
        <v>915</v>
      </c>
      <c r="F6" s="685">
        <f ca="1">INDIRECT("'数据-取费表'!u"&amp;$G$1)</f>
        <v>5695048</v>
      </c>
      <c r="G6" s="2289"/>
      <c r="H6" s="2623" t="s">
        <v>2548</v>
      </c>
      <c r="I6" s="3530" t="s">
        <v>2539</v>
      </c>
      <c r="J6" s="683">
        <f ca="1">ROUND(M6*M8*M7*(1-M9)/10000,0)</f>
        <v>580</v>
      </c>
      <c r="K6" s="2626" t="s">
        <v>2541</v>
      </c>
      <c r="L6" s="684" t="s">
        <v>915</v>
      </c>
      <c r="M6" s="685">
        <f ca="1">INDIRECT("'数据-取费表'!z"&amp;$G$1)</f>
        <v>5796238</v>
      </c>
    </row>
    <row r="7" spans="1:37" ht="18" customHeight="1">
      <c r="A7" s="2631"/>
      <c r="B7" s="3531"/>
      <c r="C7" s="2633"/>
      <c r="D7" s="2062"/>
      <c r="E7" s="2634" t="s">
        <v>916</v>
      </c>
      <c r="F7" s="685">
        <f ca="1">IF(INDIRECT("'数据-取费表'!ah"&amp;$G$1)="",INDIRECT("'数据-取费表'!k"&amp;$G$1),INDIRECT("'数据-取费表'!ah"&amp;$G$1))</f>
        <v>1</v>
      </c>
      <c r="G7" s="2289"/>
      <c r="H7" s="686"/>
      <c r="I7" s="3531"/>
      <c r="J7" s="688"/>
      <c r="K7" s="689"/>
      <c r="L7" s="684" t="s">
        <v>916</v>
      </c>
      <c r="M7" s="685">
        <f ca="1">F7</f>
        <v>1</v>
      </c>
    </row>
    <row r="8" spans="1:37" ht="18" customHeight="1">
      <c r="A8" s="686"/>
      <c r="B8" s="3531"/>
      <c r="C8" s="688"/>
      <c r="D8" s="689"/>
      <c r="E8" s="684" t="s">
        <v>917</v>
      </c>
      <c r="F8" s="685">
        <f ca="1">INDIRECT("'数据-取费表'!ai"&amp;$G$1)</f>
        <v>1</v>
      </c>
      <c r="G8" s="2289"/>
      <c r="H8" s="686"/>
      <c r="I8" s="3531"/>
      <c r="J8" s="688"/>
      <c r="K8" s="689"/>
      <c r="L8" s="684" t="s">
        <v>917</v>
      </c>
      <c r="M8" s="685">
        <f ca="1">INDIRECT("'数据-取费表'!ai"&amp;$G$1)</f>
        <v>1</v>
      </c>
    </row>
    <row r="9" spans="1:37" ht="18" customHeight="1">
      <c r="A9" s="686"/>
      <c r="B9" s="3532"/>
      <c r="C9" s="688"/>
      <c r="D9" s="689"/>
      <c r="E9" s="684" t="s">
        <v>918</v>
      </c>
      <c r="F9" s="694">
        <f ca="1">INDIRECT("'数据-取费表'!w"&amp;$G$1)</f>
        <v>0</v>
      </c>
      <c r="G9" s="2289"/>
      <c r="H9" s="686"/>
      <c r="I9" s="3532"/>
      <c r="J9" s="688"/>
      <c r="K9" s="689"/>
      <c r="L9" s="695" t="s">
        <v>918</v>
      </c>
      <c r="M9" s="696">
        <f ca="1">INDIRECT("'数据-取费表'!ab"&amp;$G$1)</f>
        <v>0</v>
      </c>
    </row>
    <row r="10" spans="1:37" ht="18" customHeight="1">
      <c r="A10" s="2623" t="s">
        <v>2546</v>
      </c>
      <c r="B10" s="2624" t="s">
        <v>2534</v>
      </c>
      <c r="C10" s="698">
        <f ca="1">ROUND(IF(F10="押一",F6*F8*F7/12*F11,IF(F10="押二",F6*F8*F7/12*2*F11,IF(F10="押三",F6*F8*F7/12*3*F11,C11*F11)))/10000,0)</f>
        <v>2</v>
      </c>
      <c r="D10" s="2635" t="s">
        <v>2542</v>
      </c>
      <c r="E10" s="2098" t="s">
        <v>2536</v>
      </c>
      <c r="F10" s="2832" t="s">
        <v>2697</v>
      </c>
      <c r="G10" s="2289"/>
      <c r="H10" s="2623" t="s">
        <v>2549</v>
      </c>
      <c r="I10" s="2624" t="s">
        <v>2534</v>
      </c>
      <c r="J10" s="683">
        <f ca="1">ROUND(IF(M10="押一",M6*M8*M7/12*M11,IF(M10="押二",M6*M8*M7/12*2*M11,IF(M10="押三",M6*M8*M7/12*3*M11,J11*M11)))/10000,0)</f>
        <v>2</v>
      </c>
      <c r="K10" s="2635" t="s">
        <v>2542</v>
      </c>
      <c r="L10" s="2098" t="s">
        <v>2536</v>
      </c>
      <c r="M10" s="2730" t="s">
        <v>2697</v>
      </c>
    </row>
    <row r="11" spans="1:37" ht="18" customHeight="1">
      <c r="A11" s="690"/>
      <c r="B11" s="2625" t="s">
        <v>2700</v>
      </c>
      <c r="C11" s="2416">
        <f>100*10000</f>
        <v>1000000</v>
      </c>
      <c r="D11" s="2871"/>
      <c r="E11" s="2098" t="s">
        <v>2537</v>
      </c>
      <c r="F11" s="696">
        <f ca="1">'数据-取费表'!B39</f>
        <v>1.4999999999999999E-2</v>
      </c>
      <c r="G11" s="2289"/>
      <c r="H11" s="2636"/>
      <c r="I11" s="2625" t="s">
        <v>2700</v>
      </c>
      <c r="J11" s="2416">
        <f>C11</f>
        <v>1000000</v>
      </c>
      <c r="K11" s="1280"/>
      <c r="L11" s="2098" t="s">
        <v>2537</v>
      </c>
      <c r="M11" s="2097">
        <f ca="1">'数据-取费表'!B39</f>
        <v>1.4999999999999999E-2</v>
      </c>
    </row>
    <row r="12" spans="1:37" ht="18" customHeight="1" thickBot="1">
      <c r="A12" s="2671" t="s">
        <v>2547</v>
      </c>
      <c r="B12" s="2672" t="s">
        <v>2535</v>
      </c>
      <c r="C12" s="2673"/>
      <c r="D12" s="2674"/>
      <c r="E12" s="2675"/>
      <c r="F12" s="2676"/>
      <c r="G12" s="2289"/>
      <c r="H12" s="2671" t="s">
        <v>2550</v>
      </c>
      <c r="I12" s="2672" t="s">
        <v>2535</v>
      </c>
      <c r="J12" s="2673"/>
      <c r="K12" s="2690"/>
      <c r="L12" s="2675"/>
      <c r="M12" s="2691"/>
    </row>
    <row r="13" spans="1:37" ht="18" customHeight="1" thickTop="1">
      <c r="A13" s="2667">
        <v>2</v>
      </c>
      <c r="B13" s="2668" t="s">
        <v>919</v>
      </c>
      <c r="C13" s="692">
        <f ca="1">ROUND(C29*F13,0)</f>
        <v>1576</v>
      </c>
      <c r="D13" s="2669" t="s">
        <v>920</v>
      </c>
      <c r="E13" s="2669" t="s">
        <v>921</v>
      </c>
      <c r="F13" s="2670">
        <f ca="1">INDIRECT("'数据-取费表'!y"&amp;$G$1)</f>
        <v>0.7</v>
      </c>
      <c r="G13" s="2289"/>
      <c r="H13" s="2667">
        <v>2</v>
      </c>
      <c r="I13" s="2668" t="s">
        <v>919</v>
      </c>
      <c r="J13" s="2622">
        <f ca="1">ROUND(J14*J15,0)</f>
        <v>0</v>
      </c>
      <c r="K13" s="2677" t="s">
        <v>920</v>
      </c>
      <c r="L13" s="2688"/>
      <c r="M13" s="2689"/>
    </row>
    <row r="14" spans="1:37" ht="18" customHeight="1">
      <c r="A14" s="2439" t="s">
        <v>2375</v>
      </c>
      <c r="B14" s="684" t="s">
        <v>360</v>
      </c>
      <c r="C14" s="702">
        <f ca="1">INDIRECT("'数据-取费表'!m"&amp;$G$1)+INDIRECT("'数据-取费表'!t"&amp;$G$1)</f>
        <v>1430</v>
      </c>
      <c r="D14" s="2216" t="s">
        <v>922</v>
      </c>
      <c r="E14" s="2215"/>
      <c r="F14" s="703"/>
      <c r="G14" s="2289"/>
      <c r="H14" s="2439" t="s">
        <v>2378</v>
      </c>
      <c r="I14" s="684" t="s">
        <v>923</v>
      </c>
      <c r="J14" s="313">
        <f ca="1">C29</f>
        <v>2251</v>
      </c>
      <c r="K14" s="303"/>
      <c r="L14" s="700"/>
      <c r="M14" s="701"/>
    </row>
    <row r="15" spans="1:37" s="706" customFormat="1" ht="18" customHeight="1" thickBot="1">
      <c r="A15" s="2439" t="s">
        <v>2611</v>
      </c>
      <c r="B15" s="684" t="s">
        <v>361</v>
      </c>
      <c r="C15" s="313">
        <f ca="1">ROUND(C14*F15,0)</f>
        <v>43</v>
      </c>
      <c r="D15" s="704" t="s">
        <v>924</v>
      </c>
      <c r="E15" s="704" t="s">
        <v>925</v>
      </c>
      <c r="F15" s="705">
        <f>'数据-取费表'!B33</f>
        <v>0.03</v>
      </c>
      <c r="G15" s="2290"/>
      <c r="H15" s="2679" t="s">
        <v>2385</v>
      </c>
      <c r="I15" s="2680" t="s">
        <v>921</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2612</v>
      </c>
      <c r="B16" s="684" t="s">
        <v>362</v>
      </c>
      <c r="C16" s="313">
        <f ca="1">ROUND(INDIRECT("'数据-取费表'!m"&amp;$G$1)*F16,0)</f>
        <v>0</v>
      </c>
      <c r="D16" s="684" t="s">
        <v>924</v>
      </c>
      <c r="E16" s="684" t="s">
        <v>925</v>
      </c>
      <c r="F16" s="707">
        <f ca="1">IF(INDIRECT("'数据-取费表'!c"&amp;$G$1)="住宅",'数据-取费表'!B34,0)</f>
        <v>0</v>
      </c>
      <c r="G16" s="2289"/>
      <c r="H16" s="2667" t="s">
        <v>2343</v>
      </c>
      <c r="I16" s="2668" t="s">
        <v>926</v>
      </c>
      <c r="J16" s="692">
        <f ca="1">ROUND(J17+J22+J23+J24,0)</f>
        <v>92</v>
      </c>
      <c r="K16" s="2677" t="s">
        <v>927</v>
      </c>
      <c r="L16" s="2678"/>
      <c r="M16" s="2629"/>
    </row>
    <row r="17" spans="1:37" s="706" customFormat="1" ht="18" customHeight="1">
      <c r="A17" s="2439" t="s">
        <v>2613</v>
      </c>
      <c r="B17" s="684" t="s">
        <v>363</v>
      </c>
      <c r="C17" s="313">
        <f ca="1">ROUND(F17*(F43+INDIRECT("'数据-取费表'!S"&amp;$G$1))/10000,0)</f>
        <v>143</v>
      </c>
      <c r="D17" s="684" t="s">
        <v>928</v>
      </c>
      <c r="E17" s="684" t="s">
        <v>929</v>
      </c>
      <c r="F17" s="315">
        <f>'数据-取费表'!B35</f>
        <v>200</v>
      </c>
      <c r="G17" s="2290"/>
      <c r="H17" s="2439" t="s">
        <v>2378</v>
      </c>
      <c r="I17" s="684" t="s">
        <v>364</v>
      </c>
      <c r="J17" s="313">
        <f ca="1">ROUND(IF(项目基本情况!B11="自然人",J5*M17,J18+J19+J20),1)</f>
        <v>52.3</v>
      </c>
      <c r="K17" s="2216" t="s">
        <v>930</v>
      </c>
      <c r="L17" s="2214" t="s">
        <v>931</v>
      </c>
      <c r="M17" s="708">
        <f ca="1">IF(项目基本情况!B11="企业","",IF(INDIRECT("'数据-取费表'!c"&amp;$G$1)="住宅",5%,IF(M6*M7*M8/12/(1+'数据-取费表'!C42)&gt;20000,12%,7%)))</f>
        <v>0.12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9" t="s">
        <v>2614</v>
      </c>
      <c r="B18" s="684" t="s">
        <v>365</v>
      </c>
      <c r="C18" s="313">
        <f ca="1">ROUND(C14*F18,0)</f>
        <v>21</v>
      </c>
      <c r="D18" s="684" t="s">
        <v>924</v>
      </c>
      <c r="E18" s="684" t="s">
        <v>925</v>
      </c>
      <c r="F18" s="707">
        <f>'数据-取费表'!B36</f>
        <v>1.4999999999999999E-2</v>
      </c>
      <c r="G18" s="2290"/>
      <c r="H18" s="2439" t="s">
        <v>2375</v>
      </c>
      <c r="I18" s="684" t="s">
        <v>932</v>
      </c>
      <c r="J18" s="313">
        <f ca="1">ROUND(J5*M18/(1+'数据-取费表'!C42),2)</f>
        <v>31.04</v>
      </c>
      <c r="K18" s="2214" t="s">
        <v>933</v>
      </c>
      <c r="L18" s="684" t="s">
        <v>925</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2545</v>
      </c>
      <c r="B19" s="684" t="s">
        <v>367</v>
      </c>
      <c r="C19" s="313">
        <f ca="1">SUM(C14:C18)</f>
        <v>1637</v>
      </c>
      <c r="D19" s="471" t="s">
        <v>934</v>
      </c>
      <c r="E19" s="2224"/>
      <c r="F19" s="315"/>
      <c r="G19" s="2289"/>
      <c r="H19" s="2439" t="s">
        <v>2611</v>
      </c>
      <c r="I19" s="684" t="s">
        <v>935</v>
      </c>
      <c r="J19" s="313">
        <f ca="1">IF(K19="按租金收入计税",ROUND(J5*M19,2),ROUND(C29*M19*0.7,2))</f>
        <v>18.91</v>
      </c>
      <c r="K19" s="1300" t="s">
        <v>2419</v>
      </c>
      <c r="L19" s="684" t="s">
        <v>925</v>
      </c>
      <c r="M19" s="707">
        <f>IF(K19="按租金收入计税",'数据-取费表'!B51,'数据-取费表'!B50)</f>
        <v>1.2E-2</v>
      </c>
    </row>
    <row r="20" spans="1:37" s="706" customFormat="1" ht="18" customHeight="1">
      <c r="A20" s="2439" t="s">
        <v>2615</v>
      </c>
      <c r="B20" s="684" t="s">
        <v>368</v>
      </c>
      <c r="C20" s="313">
        <f ca="1">ROUND(C19*F20,0)</f>
        <v>16</v>
      </c>
      <c r="D20" s="709" t="s">
        <v>936</v>
      </c>
      <c r="E20" s="684" t="s">
        <v>925</v>
      </c>
      <c r="F20" s="707">
        <f>'数据-取费表'!B37</f>
        <v>0.01</v>
      </c>
      <c r="G20" s="2290"/>
      <c r="H20" s="2439" t="s">
        <v>2612</v>
      </c>
      <c r="I20" s="496" t="s">
        <v>937</v>
      </c>
      <c r="J20" s="314">
        <f ca="1">ROUND(M20*M21/10000,2)</f>
        <v>2.31</v>
      </c>
      <c r="K20" s="710" t="s">
        <v>938</v>
      </c>
      <c r="L20" s="684" t="s">
        <v>939</v>
      </c>
      <c r="M20" s="711">
        <f>'数据-取费表'!B52</f>
        <v>12</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9" t="s">
        <v>2616</v>
      </c>
      <c r="B21" s="684" t="s">
        <v>940</v>
      </c>
      <c r="C21" s="313" t="s">
        <v>71</v>
      </c>
      <c r="D21" s="709" t="s">
        <v>941</v>
      </c>
      <c r="E21" s="684" t="s">
        <v>942</v>
      </c>
      <c r="F21" s="707">
        <f>'数据-取费表'!B38</f>
        <v>0.01</v>
      </c>
      <c r="G21" s="2290"/>
      <c r="H21" s="712"/>
      <c r="I21" s="693"/>
      <c r="J21" s="318"/>
      <c r="K21" s="713"/>
      <c r="L21" s="684" t="s">
        <v>943</v>
      </c>
      <c r="M21" s="685">
        <f ca="1">INDIRECT("'数据-取费表'!r"&amp;$G$1)</f>
        <v>1927.24</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2617</v>
      </c>
      <c r="B22" s="684" t="s">
        <v>944</v>
      </c>
      <c r="C22" s="313"/>
      <c r="D22" s="2702" t="str">
        <f>IF(F23&lt;=1,"单利计息。","复利计息。")&amp;"建造成本、管理费用、销售费用产生的利息。"</f>
        <v>单利计息。建造成本、管理费用、销售费用产生的利息。</v>
      </c>
      <c r="E22" s="2224"/>
      <c r="F22" s="315"/>
      <c r="G22" s="2289"/>
      <c r="H22" s="2439" t="s">
        <v>2385</v>
      </c>
      <c r="I22" s="684" t="s">
        <v>945</v>
      </c>
      <c r="J22" s="313">
        <f ca="1">ROUND(J14*M22,1)</f>
        <v>33.799999999999997</v>
      </c>
      <c r="K22" s="2214" t="s">
        <v>946</v>
      </c>
      <c r="L22" s="684" t="s">
        <v>925</v>
      </c>
      <c r="M22" s="714">
        <f ca="1">INDIRECT("'数据-取费表'!Ak"&amp;$G$1)</f>
        <v>1.4999999999999999E-2</v>
      </c>
    </row>
    <row r="23" spans="1:37" s="706" customFormat="1" ht="18" customHeight="1">
      <c r="A23" s="2439" t="s">
        <v>2375</v>
      </c>
      <c r="B23" s="684" t="s">
        <v>2531</v>
      </c>
      <c r="C23" s="313">
        <f ca="1">IF('数据-取费表'!B22&lt;=1,ROUND(C19*F24*F23/2,0)+ROUND(C20*F24*F23/2,0),ROUND(C19*(POWER((1+F24),F23/2)-1),0)+ROUND(C20*(POWER((1+F24),F23/2)-1),0))</f>
        <v>36</v>
      </c>
      <c r="D23" s="2706" t="str">
        <f>IF(F23&lt;=1,"(建造成本+管理费用)×利率×(建设周期÷2)","(建造成本+管理费用)×((1+利率)^(建设周期÷2)-1)")</f>
        <v>(建造成本+管理费用)×利率×(建设周期÷2)</v>
      </c>
      <c r="E23" s="684" t="s">
        <v>947</v>
      </c>
      <c r="F23" s="711">
        <f>'数据-取费表'!B20</f>
        <v>1</v>
      </c>
      <c r="G23" s="2290"/>
      <c r="H23" s="2439" t="s">
        <v>2616</v>
      </c>
      <c r="I23" s="684" t="s">
        <v>369</v>
      </c>
      <c r="J23" s="313">
        <f ca="1">ROUND(J13*M23,1)</f>
        <v>0</v>
      </c>
      <c r="K23" s="2214" t="s">
        <v>948</v>
      </c>
      <c r="L23" s="684" t="s">
        <v>925</v>
      </c>
      <c r="M23" s="716">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9" t="s">
        <v>2381</v>
      </c>
      <c r="B24" s="684" t="s">
        <v>949</v>
      </c>
      <c r="C24" s="313">
        <f ca="1">ROUND(IF('数据-取费表'!B22&lt;=1,F21*F24*F23/2,F21*(POWER((1+F24),F23/2)-1)),4)</f>
        <v>2.0000000000000001E-4</v>
      </c>
      <c r="D24" s="2706" t="str">
        <f>IF(F23&lt;=1,"销售费用×利率×(建设周期÷2)","销售费用×((1+利率)^(建设周期÷2)-1)")</f>
        <v>销售费用×利率×(建设周期÷2)</v>
      </c>
      <c r="E24" s="684" t="s">
        <v>950</v>
      </c>
      <c r="F24" s="717">
        <f ca="1">'数据-取费表'!B40</f>
        <v>4.3499999999999997E-2</v>
      </c>
      <c r="G24" s="2290"/>
      <c r="H24" s="2679" t="s">
        <v>2617</v>
      </c>
      <c r="I24" s="2680" t="s">
        <v>368</v>
      </c>
      <c r="J24" s="2681">
        <f ca="1">ROUND(J5*M24,1)</f>
        <v>5.8</v>
      </c>
      <c r="K24" s="2682" t="s">
        <v>951</v>
      </c>
      <c r="L24" s="2680" t="s">
        <v>925</v>
      </c>
      <c r="M24" s="2676">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2382</v>
      </c>
      <c r="B25" s="684" t="s">
        <v>373</v>
      </c>
      <c r="C25" s="313"/>
      <c r="D25" s="471" t="s">
        <v>952</v>
      </c>
      <c r="E25" s="2224"/>
      <c r="F25" s="315"/>
      <c r="G25" s="2289"/>
      <c r="H25" s="2667" t="s">
        <v>2358</v>
      </c>
      <c r="I25" s="2684" t="s">
        <v>953</v>
      </c>
      <c r="J25" s="692">
        <f ca="1">J5-J16</f>
        <v>490</v>
      </c>
      <c r="K25" s="2685" t="s">
        <v>954</v>
      </c>
      <c r="L25" s="2686"/>
      <c r="M25" s="2687"/>
    </row>
    <row r="26" spans="1:37" ht="18" customHeight="1">
      <c r="A26" s="2439" t="s">
        <v>2375</v>
      </c>
      <c r="B26" s="684" t="s">
        <v>2532</v>
      </c>
      <c r="C26" s="313">
        <f ca="1">ROUND((C19+C20)*F26,0)</f>
        <v>413</v>
      </c>
      <c r="D26" s="709" t="s">
        <v>955</v>
      </c>
      <c r="E26" s="695" t="s">
        <v>956</v>
      </c>
      <c r="F26" s="694">
        <f ca="1">INDIRECT("'数据-取费表'!q"&amp;$G$1)</f>
        <v>0.25</v>
      </c>
      <c r="G26" s="2289"/>
      <c r="H26" s="681" t="s">
        <v>2361</v>
      </c>
      <c r="I26" s="682" t="s">
        <v>957</v>
      </c>
      <c r="J26" s="683">
        <f ca="1">IF(J5&lt;&gt;0,ROUND(J25*(1-((1+M28)/(1+M26))^M27)/(M26-M28),0),0)</f>
        <v>7306</v>
      </c>
      <c r="K26" s="710" t="s">
        <v>958</v>
      </c>
      <c r="L26" s="684" t="s">
        <v>964</v>
      </c>
      <c r="M26" s="694">
        <f ca="1">INDIRECT("'数据-取费表'!I"&amp;$G$1)</f>
        <v>0.06</v>
      </c>
    </row>
    <row r="27" spans="1:37" ht="18" customHeight="1">
      <c r="A27" s="2439" t="s">
        <v>2381</v>
      </c>
      <c r="B27" s="684" t="s">
        <v>376</v>
      </c>
      <c r="C27" s="313">
        <f ca="1">ROUND(F21*F26,4)</f>
        <v>2.5000000000000001E-3</v>
      </c>
      <c r="D27" s="709" t="s">
        <v>959</v>
      </c>
      <c r="E27" s="704"/>
      <c r="F27" s="705"/>
      <c r="G27" s="2289"/>
      <c r="H27" s="686"/>
      <c r="I27" s="687"/>
      <c r="J27" s="688"/>
      <c r="K27" s="718" t="s">
        <v>960</v>
      </c>
      <c r="L27" s="684" t="s">
        <v>965</v>
      </c>
      <c r="M27" s="719">
        <f ca="1">INDIRECT("'数据-取费表'!ag"&amp;$G$1)</f>
        <v>28.32</v>
      </c>
    </row>
    <row r="28" spans="1:37" s="706" customFormat="1" ht="18" customHeight="1">
      <c r="A28" s="2439" t="s">
        <v>2383</v>
      </c>
      <c r="B28" s="684" t="s">
        <v>377</v>
      </c>
      <c r="C28" s="313">
        <f>ROUND(F28/(1+'数据-取费表'!C42),4)</f>
        <v>5.33E-2</v>
      </c>
      <c r="D28" s="709" t="s">
        <v>966</v>
      </c>
      <c r="E28" s="684" t="s">
        <v>925</v>
      </c>
      <c r="F28" s="707">
        <f>'数据-取费表'!B41</f>
        <v>5.6000000000000001E-2</v>
      </c>
      <c r="G28" s="2290"/>
      <c r="H28" s="690"/>
      <c r="I28" s="691"/>
      <c r="J28" s="692"/>
      <c r="K28" s="713"/>
      <c r="L28" s="684" t="s">
        <v>967</v>
      </c>
      <c r="M28" s="694">
        <f ca="1">INDIRECT("'数据-取费表'!aa"&amp;$G$1)</f>
        <v>0.01</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9" t="s">
        <v>2384</v>
      </c>
      <c r="B29" s="2680" t="s">
        <v>968</v>
      </c>
      <c r="C29" s="2681">
        <f ca="1">ROUND((C19+C20+C23+C26)/(1-F21-C24-C27-C28),0)</f>
        <v>2251</v>
      </c>
      <c r="D29" s="2682"/>
      <c r="E29" s="2680"/>
      <c r="F29" s="2683"/>
      <c r="G29" s="2290"/>
      <c r="H29" s="720" t="s">
        <v>2368</v>
      </c>
      <c r="I29" s="721" t="s">
        <v>961</v>
      </c>
      <c r="J29" s="722">
        <f ca="1">ROUND(J26/(1+F40)^F41,0)</f>
        <v>6590</v>
      </c>
      <c r="K29" s="723" t="s">
        <v>962</v>
      </c>
      <c r="L29" s="724"/>
      <c r="M29" s="725">
        <f ca="1">INDIRECT("'数据-取费表'!k"&amp;$G$1)</f>
        <v>7148.0899999999992</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2343</v>
      </c>
      <c r="B30" s="2668" t="s">
        <v>926</v>
      </c>
      <c r="C30" s="692">
        <f ca="1">ROUND(C31+C36+C37+C38,0)</f>
        <v>94</v>
      </c>
      <c r="D30" s="2677" t="s">
        <v>927</v>
      </c>
      <c r="E30" s="2678"/>
      <c r="F30" s="2629"/>
      <c r="G30" s="2289"/>
      <c r="H30" s="1277"/>
      <c r="I30" s="1278"/>
      <c r="J30" s="1279"/>
      <c r="K30" s="1280"/>
      <c r="L30" s="1281"/>
      <c r="M30" s="1282"/>
    </row>
    <row r="31" spans="1:37" ht="18" customHeight="1">
      <c r="A31" s="2439" t="s">
        <v>2545</v>
      </c>
      <c r="B31" s="684" t="s">
        <v>364</v>
      </c>
      <c r="C31" s="313">
        <f ca="1">ROUND(IF(项目基本情况!B11="自然人",C5*F31,C32+C33+C34),1)</f>
        <v>51.7</v>
      </c>
      <c r="D31" s="2216" t="s">
        <v>930</v>
      </c>
      <c r="E31" s="2214" t="s">
        <v>969</v>
      </c>
      <c r="F31" s="708">
        <f ca="1">IF(项目基本情况!B11="企业","",IF(INDIRECT("'数据-取费表'!c"&amp;$G$1)="住宅",5%,IF(F6*F7*F8/12/(1+'数据-取费表'!C42)&gt;20000,12%,7%)))</f>
        <v>0.12</v>
      </c>
      <c r="G31" s="2289"/>
      <c r="H31" s="1277"/>
      <c r="I31" s="1278"/>
      <c r="J31" s="1279"/>
      <c r="K31" s="1280"/>
      <c r="L31" s="1281"/>
      <c r="M31" s="1282"/>
    </row>
    <row r="32" spans="1:37" ht="18" customHeight="1">
      <c r="A32" s="2439" t="s">
        <v>2610</v>
      </c>
      <c r="B32" s="684" t="s">
        <v>932</v>
      </c>
      <c r="C32" s="313">
        <f ca="1">IF(项目基本情况!B11="自然人","——",ROUND(C5*F32/(1+'数据-取费表'!C42),2))</f>
        <v>30.51</v>
      </c>
      <c r="D32" s="2214" t="s">
        <v>933</v>
      </c>
      <c r="E32" s="684" t="s">
        <v>925</v>
      </c>
      <c r="F32" s="717">
        <f>'数据-取费表'!B41</f>
        <v>5.6000000000000001E-2</v>
      </c>
      <c r="G32" s="2289"/>
      <c r="H32" s="1283"/>
      <c r="I32" s="1284"/>
      <c r="J32" s="1285"/>
      <c r="K32" s="1286"/>
      <c r="L32" s="1287"/>
      <c r="M32" s="1288"/>
    </row>
    <row r="33" spans="1:18" ht="18" customHeight="1">
      <c r="A33" s="2439" t="s">
        <v>2611</v>
      </c>
      <c r="B33" s="684" t="s">
        <v>935</v>
      </c>
      <c r="C33" s="313">
        <f ca="1">IF(项目基本情况!B11="自然人","——",IF(D33="按租金收入计税",ROUND(C5*F33,2),IF(D33="按房产原值计税",ROUND(C29*F33*0.7,2),INDIRECT("'数据-取费表'!Aj"&amp;$G$1))))</f>
        <v>18.91</v>
      </c>
      <c r="D33" s="1300" t="s">
        <v>2419</v>
      </c>
      <c r="E33" s="684" t="s">
        <v>366</v>
      </c>
      <c r="F33" s="707">
        <f>IF(D33="按票据","——",IF(D33="按租金收入计税",'数据-取费表'!B51,'数据-取费表'!B50))</f>
        <v>1.2E-2</v>
      </c>
      <c r="G33" s="2289"/>
      <c r="H33" s="1289"/>
      <c r="I33" s="2885"/>
      <c r="J33" s="2886"/>
      <c r="K33" s="1290"/>
      <c r="L33" s="1289"/>
      <c r="M33" s="1289"/>
    </row>
    <row r="34" spans="1:18" ht="18" customHeight="1">
      <c r="A34" s="2623" t="s">
        <v>2612</v>
      </c>
      <c r="B34" s="496" t="s">
        <v>970</v>
      </c>
      <c r="C34" s="314">
        <f ca="1">IF(项目基本情况!B11="自然人","——",ROUND(F34*F35/10000,2))</f>
        <v>2.31</v>
      </c>
      <c r="D34" s="710" t="s">
        <v>971</v>
      </c>
      <c r="E34" s="684" t="s">
        <v>972</v>
      </c>
      <c r="F34" s="711">
        <f>'数据-取费表'!B52</f>
        <v>12</v>
      </c>
      <c r="G34" s="2289"/>
      <c r="H34" s="1277"/>
      <c r="I34" s="2885"/>
      <c r="J34" s="2886"/>
      <c r="K34" s="1291"/>
      <c r="L34" s="1292"/>
      <c r="M34" s="1292"/>
    </row>
    <row r="35" spans="1:18" ht="18" customHeight="1">
      <c r="A35" s="2697"/>
      <c r="B35" s="2695"/>
      <c r="C35" s="318"/>
      <c r="D35" s="713"/>
      <c r="E35" s="684" t="s">
        <v>943</v>
      </c>
      <c r="F35" s="685">
        <f ca="1">INDIRECT("'数据-取费表'!r"&amp;$G$1)</f>
        <v>1927.24</v>
      </c>
      <c r="G35" s="2289"/>
      <c r="H35" s="1277"/>
      <c r="I35" s="2885"/>
      <c r="J35" s="2886"/>
      <c r="K35" s="1290"/>
      <c r="L35" s="1289"/>
      <c r="M35" s="1289"/>
    </row>
    <row r="36" spans="1:18" ht="18" customHeight="1">
      <c r="A36" s="2696" t="s">
        <v>2385</v>
      </c>
      <c r="B36" s="684" t="s">
        <v>945</v>
      </c>
      <c r="C36" s="313">
        <f ca="1">ROUND(C29*F36,1)</f>
        <v>33.799999999999997</v>
      </c>
      <c r="D36" s="2214" t="s">
        <v>975</v>
      </c>
      <c r="E36" s="684" t="s">
        <v>976</v>
      </c>
      <c r="F36" s="714">
        <f ca="1">INDIRECT("'数据-取费表'!Ak"&amp;$G$1)</f>
        <v>1.4999999999999999E-2</v>
      </c>
      <c r="G36" s="2289"/>
      <c r="H36" s="1289"/>
      <c r="I36" s="2885"/>
      <c r="J36" s="2886"/>
      <c r="K36" s="1293"/>
      <c r="L36" s="1289"/>
      <c r="M36" s="1289"/>
    </row>
    <row r="37" spans="1:18" ht="18" customHeight="1">
      <c r="A37" s="2439" t="s">
        <v>2616</v>
      </c>
      <c r="B37" s="684" t="s">
        <v>369</v>
      </c>
      <c r="C37" s="313">
        <f ca="1">ROUND(C13*F37,1)</f>
        <v>2.4</v>
      </c>
      <c r="D37" s="2214" t="s">
        <v>370</v>
      </c>
      <c r="E37" s="684" t="s">
        <v>371</v>
      </c>
      <c r="F37" s="716">
        <f ca="1">INDIRECT("'数据-取费表'!Al"&amp;$G$1)</f>
        <v>1.5E-3</v>
      </c>
      <c r="G37" s="2289"/>
      <c r="H37" s="1289"/>
      <c r="I37" s="2885"/>
      <c r="J37" s="2886"/>
      <c r="K37" s="1293"/>
      <c r="L37" s="1289"/>
      <c r="M37" s="1289"/>
    </row>
    <row r="38" spans="1:18" ht="18" customHeight="1" thickBot="1">
      <c r="A38" s="2679" t="s">
        <v>2617</v>
      </c>
      <c r="B38" s="2680" t="s">
        <v>368</v>
      </c>
      <c r="C38" s="2681">
        <f ca="1">ROUND(C5*F38,1)</f>
        <v>5.7</v>
      </c>
      <c r="D38" s="2682" t="s">
        <v>372</v>
      </c>
      <c r="E38" s="2680" t="s">
        <v>371</v>
      </c>
      <c r="F38" s="2676">
        <f ca="1">INDIRECT("'数据-取费表'!Am"&amp;$G$1)</f>
        <v>0.01</v>
      </c>
      <c r="G38" s="2289"/>
      <c r="H38" s="1289"/>
      <c r="I38" s="2885"/>
      <c r="J38" s="2886"/>
      <c r="K38" s="1294"/>
      <c r="L38" s="1289"/>
      <c r="M38" s="1289"/>
    </row>
    <row r="39" spans="1:18" ht="24.6" customHeight="1" thickTop="1">
      <c r="A39" s="2667" t="s">
        <v>2358</v>
      </c>
      <c r="B39" s="2684" t="s">
        <v>378</v>
      </c>
      <c r="C39" s="692">
        <f ca="1">C5-C30</f>
        <v>478</v>
      </c>
      <c r="D39" s="2685" t="s">
        <v>379</v>
      </c>
      <c r="E39" s="2686"/>
      <c r="F39" s="2687"/>
      <c r="G39" s="2289"/>
      <c r="H39" s="1289"/>
      <c r="I39" s="2885"/>
      <c r="J39" s="2886"/>
      <c r="K39" s="1294"/>
      <c r="L39" s="1289"/>
      <c r="M39" s="1289"/>
    </row>
    <row r="40" spans="1:18" ht="18" customHeight="1">
      <c r="A40" s="681" t="s">
        <v>2361</v>
      </c>
      <c r="B40" s="682" t="s">
        <v>380</v>
      </c>
      <c r="C40" s="683">
        <f ca="1">ROUND(C39*(1-((1+F42)/(1+F40))^F41)/(F40-F42),0)</f>
        <v>784</v>
      </c>
      <c r="D40" s="710" t="s">
        <v>374</v>
      </c>
      <c r="E40" s="684" t="s">
        <v>375</v>
      </c>
      <c r="F40" s="694">
        <f ca="1">INDIRECT("'数据-取费表'!I"&amp;$G$1)</f>
        <v>0.06</v>
      </c>
      <c r="G40" s="2289"/>
      <c r="H40" s="1295"/>
      <c r="I40" s="2885"/>
      <c r="J40" s="2886"/>
      <c r="K40" s="1294"/>
      <c r="L40" s="1295"/>
      <c r="M40" s="1295"/>
    </row>
    <row r="41" spans="1:18" ht="18" customHeight="1">
      <c r="A41" s="686"/>
      <c r="B41" s="687"/>
      <c r="C41" s="688"/>
      <c r="D41" s="718" t="s">
        <v>381</v>
      </c>
      <c r="E41" s="684" t="s">
        <v>382</v>
      </c>
      <c r="F41" s="719">
        <f ca="1">IF(INDIRECT("'数据-取费表'!af"&amp;$G$1)=0,INDIRECT("'数据-取费表'!ae"&amp;$G$1),INDIRECT("'数据-取费表'!af"&amp;$G$1))</f>
        <v>1.77</v>
      </c>
      <c r="G41" s="2289"/>
      <c r="H41" s="1191"/>
      <c r="I41" s="2885"/>
      <c r="J41" s="2886"/>
      <c r="K41" s="1293"/>
      <c r="L41" s="1191"/>
      <c r="M41" s="1191"/>
    </row>
    <row r="42" spans="1:18" ht="18" customHeight="1">
      <c r="A42" s="690"/>
      <c r="B42" s="691"/>
      <c r="C42" s="692"/>
      <c r="D42" s="713"/>
      <c r="E42" s="684" t="s">
        <v>383</v>
      </c>
      <c r="F42" s="694">
        <f ca="1">INDIRECT("'数据-取费表'!v"&amp;$G$1)</f>
        <v>0.01</v>
      </c>
      <c r="G42" s="2289"/>
      <c r="H42" s="1191"/>
      <c r="I42" s="2885"/>
      <c r="J42" s="2886"/>
      <c r="K42" s="1293"/>
      <c r="L42" s="1191"/>
      <c r="M42" s="1191"/>
    </row>
    <row r="43" spans="1:18" ht="18" customHeight="1" thickBot="1">
      <c r="A43" s="720" t="s">
        <v>2368</v>
      </c>
      <c r="B43" s="721" t="s">
        <v>384</v>
      </c>
      <c r="C43" s="722">
        <f ca="1">ROUND(C40*10000/F43,0)</f>
        <v>1097</v>
      </c>
      <c r="D43" s="723" t="s">
        <v>385</v>
      </c>
      <c r="E43" s="724" t="s">
        <v>386</v>
      </c>
      <c r="F43" s="725">
        <f ca="1">INDIRECT("'数据-取费表'!k"&amp;$G$1)</f>
        <v>7148.0899999999992</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2" t="s">
        <v>2492</v>
      </c>
      <c r="P45" s="1295"/>
      <c r="Q45" s="1295"/>
      <c r="R45" s="1295"/>
    </row>
    <row r="46" spans="1:18" s="1454" customFormat="1" ht="21" thickBot="1">
      <c r="A46" s="2397" t="s">
        <v>2330</v>
      </c>
      <c r="B46" s="2398"/>
      <c r="C46" s="2726">
        <f ca="1">C68-C40</f>
        <v>-877</v>
      </c>
      <c r="D46" s="2727" t="str">
        <f>C2</f>
        <v>万元</v>
      </c>
      <c r="E46" s="1432"/>
      <c r="F46" s="1432"/>
      <c r="I46" s="2579" t="s">
        <v>2427</v>
      </c>
      <c r="J46" s="2580"/>
      <c r="K46" s="2581"/>
      <c r="L46" s="2583" t="str">
        <f ca="1">IF(M47="住宅",0,IF(L48&gt;J51,L60,J60))</f>
        <v>0</v>
      </c>
      <c r="O46" s="2595" t="s">
        <v>2470</v>
      </c>
      <c r="P46" s="2596" t="s">
        <v>2471</v>
      </c>
      <c r="Q46" s="2597" t="s">
        <v>2469</v>
      </c>
      <c r="R46" s="2597" t="s">
        <v>2472</v>
      </c>
    </row>
    <row r="47" spans="1:18" s="1454" customFormat="1" ht="15.75" thickBot="1">
      <c r="A47" s="2399" t="s">
        <v>2332</v>
      </c>
      <c r="B47" s="2435" t="s">
        <v>2333</v>
      </c>
      <c r="C47" s="2731" t="s">
        <v>2334</v>
      </c>
      <c r="D47" s="2435" t="s">
        <v>2335</v>
      </c>
      <c r="E47" s="2538" t="s">
        <v>2336</v>
      </c>
      <c r="F47" s="2539"/>
      <c r="G47" s="1456"/>
      <c r="I47" s="2554" t="s">
        <v>2420</v>
      </c>
      <c r="J47" s="2555" t="s">
        <v>3252</v>
      </c>
      <c r="K47" s="2564" t="s">
        <v>2443</v>
      </c>
      <c r="L47" s="2565">
        <f ca="1">INDIRECT("'数据-取费表'!d"&amp;$G$1)</f>
        <v>40</v>
      </c>
      <c r="M47" s="2585" t="str">
        <f>IF(ISNUMBER(FIND("住宅",C1)),"住宅","非住宅")</f>
        <v>非住宅</v>
      </c>
      <c r="O47" s="2588" t="s">
        <v>2455</v>
      </c>
      <c r="P47" s="2598" t="s">
        <v>2473</v>
      </c>
      <c r="Q47" s="2589">
        <f ca="1">C40+J29</f>
        <v>7374</v>
      </c>
      <c r="R47" s="2589" t="s">
        <v>2474</v>
      </c>
    </row>
    <row r="48" spans="1:18" s="1454" customFormat="1" ht="47.25" thickBot="1">
      <c r="A48" s="2712" t="s">
        <v>2622</v>
      </c>
      <c r="B48" s="682" t="s">
        <v>2337</v>
      </c>
      <c r="C48" s="2722">
        <f ca="1">C49+C53+C55</f>
        <v>0</v>
      </c>
      <c r="D48" s="2716"/>
      <c r="E48" s="2717"/>
      <c r="F48" s="2419"/>
      <c r="G48" s="1456"/>
      <c r="H48" s="1457"/>
      <c r="I48" s="2545" t="s">
        <v>2421</v>
      </c>
      <c r="J48" s="2556" t="s">
        <v>2422</v>
      </c>
      <c r="K48" s="2566" t="s">
        <v>2444</v>
      </c>
      <c r="L48" s="2169">
        <f ca="1">INDIRECT("'数据-取费表'!f"&amp;$G$1)</f>
        <v>30.09</v>
      </c>
      <c r="O48" s="2588" t="s">
        <v>2456</v>
      </c>
      <c r="P48" s="2598" t="s">
        <v>2475</v>
      </c>
      <c r="Q48" s="2589" t="str">
        <f ca="1">J60</f>
        <v>0</v>
      </c>
      <c r="R48" s="2589" t="s">
        <v>2483</v>
      </c>
    </row>
    <row r="49" spans="1:18" s="1454" customFormat="1" ht="15.75" thickBot="1">
      <c r="A49" s="2432" t="s">
        <v>2623</v>
      </c>
      <c r="B49" s="2715" t="s">
        <v>2625</v>
      </c>
      <c r="C49" s="2724">
        <f ca="1">ROUND(F49*F51*F50*(1-F52)/10000,0)</f>
        <v>0</v>
      </c>
      <c r="D49" s="2534" t="s">
        <v>2338</v>
      </c>
      <c r="E49" s="2537" t="s">
        <v>2331</v>
      </c>
      <c r="F49" s="2540"/>
      <c r="G49" s="1458"/>
      <c r="H49" s="1457"/>
      <c r="I49" s="2545" t="s">
        <v>2441</v>
      </c>
      <c r="J49" s="2557"/>
      <c r="K49" s="2567" t="s">
        <v>2446</v>
      </c>
      <c r="L49" s="2568"/>
      <c r="O49" s="2590" t="s">
        <v>2457</v>
      </c>
      <c r="P49" s="2598" t="s">
        <v>2476</v>
      </c>
      <c r="Q49" s="2589">
        <f ca="1">C29</f>
        <v>2251</v>
      </c>
      <c r="R49" s="2589" t="s">
        <v>2474</v>
      </c>
    </row>
    <row r="50" spans="1:18" s="1454" customFormat="1" ht="15.75" thickBot="1">
      <c r="A50" s="2433"/>
      <c r="B50" s="2436"/>
      <c r="C50" s="2732"/>
      <c r="D50" s="2406"/>
      <c r="E50" s="2535" t="s">
        <v>2339</v>
      </c>
      <c r="F50" s="2536">
        <f ca="1">F7</f>
        <v>1</v>
      </c>
      <c r="H50" s="1457"/>
      <c r="I50" s="2545" t="s">
        <v>2423</v>
      </c>
      <c r="J50" s="2558">
        <f>SUMPRODUCT((I63:I65=J47)*(J62:L62=J48)*(J63:L65))</f>
        <v>60</v>
      </c>
      <c r="K50" s="2567" t="s">
        <v>2447</v>
      </c>
      <c r="L50" s="2568"/>
      <c r="M50" s="2562"/>
      <c r="O50" s="2590" t="s">
        <v>2458</v>
      </c>
      <c r="P50" s="2598" t="s">
        <v>2484</v>
      </c>
      <c r="Q50" s="2591" t="e">
        <f ca="1">J58</f>
        <v>#VALUE!</v>
      </c>
      <c r="R50" s="2589"/>
    </row>
    <row r="51" spans="1:18" s="1454" customFormat="1" ht="15.75" thickBot="1">
      <c r="A51" s="2434"/>
      <c r="B51" s="2436"/>
      <c r="C51" s="2437"/>
      <c r="D51" s="2406"/>
      <c r="E51" s="2438" t="s">
        <v>2340</v>
      </c>
      <c r="F51" s="685">
        <f ca="1">F8</f>
        <v>1</v>
      </c>
      <c r="I51" s="2559" t="s">
        <v>2428</v>
      </c>
      <c r="J51" s="2560">
        <f>IF(J49="",J50,J49+J50-YEAR('数据-取费表'!B2))</f>
        <v>60</v>
      </c>
      <c r="K51" s="2569" t="s">
        <v>2448</v>
      </c>
      <c r="L51" s="2582">
        <f ca="1">ROUND(-PV(INDIRECT("'数据-取费表'!h"&amp;$G$1),L48,(C39-C13*C76),0),0)</f>
        <v>5006</v>
      </c>
      <c r="M51" s="2563"/>
      <c r="O51" s="2590" t="s">
        <v>2459</v>
      </c>
      <c r="P51" s="2598" t="s">
        <v>2485</v>
      </c>
      <c r="Q51" s="2591">
        <f>J52</f>
        <v>0.09</v>
      </c>
      <c r="R51" s="2589"/>
    </row>
    <row r="52" spans="1:18" s="1454" customFormat="1" ht="15.75" thickBot="1">
      <c r="A52" s="2434"/>
      <c r="B52" s="2436"/>
      <c r="C52" s="2437"/>
      <c r="D52" s="2406"/>
      <c r="E52" s="2438" t="s">
        <v>2341</v>
      </c>
      <c r="F52" s="2533"/>
      <c r="I52" s="2561" t="s">
        <v>2451</v>
      </c>
      <c r="J52" s="2575">
        <v>0.09</v>
      </c>
      <c r="K52" s="2561" t="s">
        <v>2436</v>
      </c>
      <c r="L52" s="2575"/>
      <c r="M52" s="2398"/>
      <c r="O52" s="2590" t="s">
        <v>2460</v>
      </c>
      <c r="P52" s="2598" t="s">
        <v>2477</v>
      </c>
      <c r="Q52" s="2589">
        <f ca="1">J53</f>
        <v>30.09</v>
      </c>
      <c r="R52" s="2589" t="s">
        <v>2478</v>
      </c>
    </row>
    <row r="53" spans="1:18" s="1454" customFormat="1" ht="43.5" thickBot="1">
      <c r="A53" s="2830" t="s">
        <v>2624</v>
      </c>
      <c r="B53" s="433" t="s">
        <v>2534</v>
      </c>
      <c r="C53" s="698">
        <f ca="1">ROUND(IF(F53="押一",F49*F51*F50/12*F11,IF(F53="押二",F49*F51*F50/12*2*F11,IF(F53="押三",F49*F51*F50/12*3*F11,C54*F11)))/10000,0)</f>
        <v>0</v>
      </c>
      <c r="D53" s="2635" t="s">
        <v>2542</v>
      </c>
      <c r="E53" s="2098" t="s">
        <v>2536</v>
      </c>
      <c r="F53" s="2832"/>
      <c r="I53" s="2571" t="s">
        <v>2453</v>
      </c>
      <c r="J53" s="2572">
        <f ca="1">IF(M47="住宅",J51,MIN(J51,L48))</f>
        <v>30.09</v>
      </c>
      <c r="K53" s="35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9"/>
      <c r="O53" s="2588" t="s">
        <v>2461</v>
      </c>
      <c r="P53" s="2598" t="s">
        <v>2479</v>
      </c>
      <c r="Q53" s="2589">
        <f ca="1">Q47+Q48</f>
        <v>7374</v>
      </c>
      <c r="R53" s="2589" t="s">
        <v>2462</v>
      </c>
    </row>
    <row r="54" spans="1:18" s="1454" customFormat="1" ht="16.5" thickBot="1">
      <c r="A54" s="2831"/>
      <c r="B54" s="2625" t="s">
        <v>2700</v>
      </c>
      <c r="C54" s="2416"/>
      <c r="D54" s="2635"/>
      <c r="E54" s="2779"/>
      <c r="F54" s="2541"/>
      <c r="I54" s="2413"/>
      <c r="J54" s="2570"/>
      <c r="K54" s="2570"/>
      <c r="L54" s="2570"/>
      <c r="M54" s="1458"/>
      <c r="O54" s="2592" t="s">
        <v>2486</v>
      </c>
      <c r="P54" s="1295"/>
      <c r="Q54" s="1295"/>
      <c r="R54" s="1295"/>
    </row>
    <row r="55" spans="1:18" s="1454" customFormat="1" ht="15.75" thickBot="1">
      <c r="A55" s="2671" t="s">
        <v>2547</v>
      </c>
      <c r="B55" s="2672" t="s">
        <v>2535</v>
      </c>
      <c r="C55" s="2673"/>
      <c r="D55" s="2635"/>
      <c r="E55" s="2711"/>
      <c r="F55" s="2541"/>
      <c r="I55" s="3321" t="s">
        <v>2429</v>
      </c>
      <c r="J55" s="3320" t="e">
        <f ca="1">ROUND(IF(J47="钢混",J57/J50,1-(1-2%)*(J50-J57)/J50),3)</f>
        <v>#VALUE!</v>
      </c>
      <c r="K55" s="2552" t="s">
        <v>2430</v>
      </c>
      <c r="L55" s="2574"/>
      <c r="O55" s="2595" t="s">
        <v>2470</v>
      </c>
      <c r="P55" s="2596" t="s">
        <v>2471</v>
      </c>
      <c r="Q55" s="2597" t="s">
        <v>2469</v>
      </c>
      <c r="R55" s="2597" t="s">
        <v>2472</v>
      </c>
    </row>
    <row r="56" spans="1:18" s="1454" customFormat="1" ht="44.25" thickTop="1" thickBot="1">
      <c r="A56" s="2410">
        <v>2</v>
      </c>
      <c r="B56" s="2411" t="s">
        <v>2342</v>
      </c>
      <c r="C56" s="608">
        <f ca="1">C13</f>
        <v>1576</v>
      </c>
      <c r="D56" s="2699"/>
      <c r="E56" s="2412"/>
      <c r="F56" s="2541"/>
      <c r="I56" s="2544" t="s">
        <v>2431</v>
      </c>
      <c r="J56" s="2573" t="s">
        <v>3242</v>
      </c>
      <c r="K56" s="2545" t="s">
        <v>2435</v>
      </c>
      <c r="L56" s="2169" t="str">
        <f ca="1">IF(L48&lt;J51,"——",L48-J51)</f>
        <v>——</v>
      </c>
      <c r="O56" s="2588" t="s">
        <v>2455</v>
      </c>
      <c r="P56" s="2598" t="s">
        <v>2473</v>
      </c>
      <c r="Q56" s="2589">
        <f ca="1">C40+J29</f>
        <v>7374</v>
      </c>
      <c r="R56" s="2589" t="s">
        <v>2474</v>
      </c>
    </row>
    <row r="57" spans="1:18" s="1454" customFormat="1" ht="29.25" thickBot="1">
      <c r="A57" s="2542"/>
      <c r="B57" s="2403" t="s">
        <v>2372</v>
      </c>
      <c r="C57" s="614">
        <f ca="1">C29</f>
        <v>2251</v>
      </c>
      <c r="D57" s="2414"/>
      <c r="E57" s="2415"/>
      <c r="F57" s="2543"/>
      <c r="I57" s="2546" t="s">
        <v>2452</v>
      </c>
      <c r="J57" s="2550" t="str">
        <f ca="1">IF(OR(M47="住宅",J51&lt;L48,J56="是"),"——",J51-L48)</f>
        <v>——</v>
      </c>
      <c r="K57" s="2545" t="s">
        <v>2905</v>
      </c>
      <c r="L57" s="2169" t="str">
        <f ca="1">IF(L48&lt;J51,"——",IF(L55="比较法",L49,IF(L55="基准地价",L50,L51)))</f>
        <v>——</v>
      </c>
      <c r="O57" s="2588" t="s">
        <v>2456</v>
      </c>
      <c r="P57" s="2598" t="s">
        <v>2480</v>
      </c>
      <c r="Q57" s="2589">
        <f ca="1">L60</f>
        <v>0</v>
      </c>
      <c r="R57" s="2589" t="s">
        <v>2495</v>
      </c>
    </row>
    <row r="58" spans="1:18" s="1454" customFormat="1" ht="29.25" thickBot="1">
      <c r="A58" s="697" t="s">
        <v>2343</v>
      </c>
      <c r="B58" s="2411" t="s">
        <v>2373</v>
      </c>
      <c r="C58" s="698">
        <f ca="1">ROUND(C59+C64+C65+C66,0)</f>
        <v>57</v>
      </c>
      <c r="D58" s="2417" t="s">
        <v>2374</v>
      </c>
      <c r="E58" s="2418"/>
      <c r="F58" s="2419"/>
      <c r="I58" s="2546" t="s">
        <v>2432</v>
      </c>
      <c r="J58" s="3322" t="e">
        <f ca="1">IF(J55&lt;0.4,0.4,J55)</f>
        <v>#VALUE!</v>
      </c>
      <c r="K58" s="2569" t="s">
        <v>2906</v>
      </c>
      <c r="L58" s="2169">
        <f ca="1">IF(ISERROR(POWER(1+L52,L47-L48)*(POWER(1+L52,L48)-1)/(POWER(1+L52,L47)-1)),0,POWER(1+L52,L47-L48)*(POWER(1+L52,L48)-1)/(POWER(1+L52,L47)-1))</f>
        <v>0</v>
      </c>
      <c r="O58" s="2590" t="s">
        <v>2457</v>
      </c>
      <c r="P58" s="2598" t="s">
        <v>2487</v>
      </c>
      <c r="Q58" s="2589">
        <f>IF(L55="比较法",L49,IF(L55="基准地价",L50,0))</f>
        <v>0</v>
      </c>
      <c r="R58" s="2589" t="s">
        <v>2474</v>
      </c>
    </row>
    <row r="59" spans="1:18" s="1454" customFormat="1" ht="29.25" thickBot="1">
      <c r="A59" s="2439" t="s">
        <v>2378</v>
      </c>
      <c r="B59" s="2403" t="s">
        <v>364</v>
      </c>
      <c r="C59" s="313">
        <f ca="1">ROUND(IF(项目基本情况!B11="自然人",C48*F59,C60+C61+C62),1)</f>
        <v>21.2</v>
      </c>
      <c r="D59" s="2420" t="s">
        <v>2344</v>
      </c>
      <c r="E59" s="2421" t="s">
        <v>2345</v>
      </c>
      <c r="F59" s="708">
        <f ca="1">IF(项目基本情况!B11="企业","",IF(INDIRECT("'数据-取费表'!c"&amp;$G$1)="住宅",5%,IF(F49*F50*F51/12/(1+'数据-取费表'!C42)&gt;20000,12%,7%)))</f>
        <v>7.0000000000000007E-2</v>
      </c>
      <c r="I59" s="2546" t="s">
        <v>2433</v>
      </c>
      <c r="J59" s="2550" t="str">
        <f ca="1">IF(OR(M47="住宅",J51&lt;L48,J56="是"),"——",ROUND(C29*J58,0))</f>
        <v>——</v>
      </c>
      <c r="K59" s="2569" t="s">
        <v>2907</v>
      </c>
      <c r="L59" s="2169">
        <f ca="1">IF(ISERROR(POWER(1+L52,L47-J51)*(POWER(1+L52,J51)-1)/(POWER(1+L52,L47)-1)),0,POWER(1+L52,L47-J51)*(POWER(1+L52,J51)-1)/(POWER(1+L52,L47)-1))</f>
        <v>0</v>
      </c>
      <c r="O59" s="2590" t="s">
        <v>2458</v>
      </c>
      <c r="P59" s="2598" t="s">
        <v>2488</v>
      </c>
      <c r="Q59" s="2591">
        <f>L52</f>
        <v>0</v>
      </c>
      <c r="R59" s="2589"/>
    </row>
    <row r="60" spans="1:18" s="1454" customFormat="1" ht="20.25" thickBot="1">
      <c r="A60" s="2439" t="s">
        <v>2375</v>
      </c>
      <c r="B60" s="2403" t="s">
        <v>2346</v>
      </c>
      <c r="C60" s="313">
        <f ca="1">IF(项目基本情况!B11="自然人","——",ROUND(C48*F60/(1+'数据-取费表'!C42),2))</f>
        <v>0</v>
      </c>
      <c r="D60" s="2421" t="s">
        <v>2347</v>
      </c>
      <c r="E60" s="2403" t="s">
        <v>2348</v>
      </c>
      <c r="F60" s="717">
        <f t="shared" ref="F60:F66" si="0">F32</f>
        <v>5.6000000000000001E-2</v>
      </c>
      <c r="I60" s="2547" t="s">
        <v>2434</v>
      </c>
      <c r="J60" s="2551" t="str">
        <f ca="1">IF(OR(M47="住宅",J51&lt;L48,J56="是"),"0",ROUND(J59/(1+J52)^J53,0))</f>
        <v>0</v>
      </c>
      <c r="K60" s="2553" t="s">
        <v>2437</v>
      </c>
      <c r="L60" s="2551">
        <f ca="1">IF(OR(M47="住宅",L48&lt;J51),0,ROUND(L57*(L58/L59-1),0))</f>
        <v>0</v>
      </c>
      <c r="O60" s="2590" t="s">
        <v>2459</v>
      </c>
      <c r="P60" s="2598" t="s">
        <v>2489</v>
      </c>
      <c r="Q60" s="2589">
        <f ca="1">L58</f>
        <v>0</v>
      </c>
      <c r="R60" s="2589" t="s">
        <v>2464</v>
      </c>
    </row>
    <row r="61" spans="1:18" s="1454" customFormat="1" ht="20.25" thickBot="1">
      <c r="A61" s="2439" t="s">
        <v>2376</v>
      </c>
      <c r="B61" s="2403" t="s">
        <v>2349</v>
      </c>
      <c r="C61" s="313">
        <f ca="1">IF(项目基本情况!B11="自然人","——",IF(D61="按租金收入计税",ROUND(C48*F61,2),IF(D61="按房产原值计税",ROUND(C57*F61*0.7,2),INDIRECT("'数据-取费表'!Aj"&amp;$G$1))))</f>
        <v>18.91</v>
      </c>
      <c r="D61" s="1300" t="s">
        <v>2419</v>
      </c>
      <c r="E61" s="2403" t="s">
        <v>2348</v>
      </c>
      <c r="F61" s="707">
        <f t="shared" si="0"/>
        <v>1.2E-2</v>
      </c>
      <c r="I61" s="2413"/>
      <c r="J61" s="2413"/>
      <c r="K61" s="2413"/>
      <c r="L61" s="2413"/>
      <c r="O61" s="2590" t="s">
        <v>2460</v>
      </c>
      <c r="P61" s="2598" t="s">
        <v>2490</v>
      </c>
      <c r="Q61" s="2589">
        <f ca="1">L59</f>
        <v>0</v>
      </c>
      <c r="R61" s="2589" t="s">
        <v>2465</v>
      </c>
    </row>
    <row r="62" spans="1:18" s="1454" customFormat="1" ht="15.75" thickBot="1">
      <c r="A62" s="2439" t="s">
        <v>2377</v>
      </c>
      <c r="B62" s="2402" t="s">
        <v>2350</v>
      </c>
      <c r="C62" s="314">
        <f ca="1">IF(项目基本情况!B11="自然人","——",ROUND(F62*F63/10000,2))</f>
        <v>2.31</v>
      </c>
      <c r="D62" s="2422" t="s">
        <v>2351</v>
      </c>
      <c r="E62" s="2403" t="s">
        <v>2352</v>
      </c>
      <c r="F62" s="711">
        <f t="shared" si="0"/>
        <v>12</v>
      </c>
      <c r="I62" s="2548" t="s">
        <v>2424</v>
      </c>
      <c r="J62" s="2549" t="s">
        <v>2425</v>
      </c>
      <c r="K62" s="2549" t="s">
        <v>2426</v>
      </c>
      <c r="L62" s="2549" t="s">
        <v>2422</v>
      </c>
      <c r="M62" s="3323" t="s">
        <v>3044</v>
      </c>
      <c r="O62" s="2588" t="s">
        <v>2461</v>
      </c>
      <c r="P62" s="2598" t="s">
        <v>2479</v>
      </c>
      <c r="Q62" s="2589">
        <f ca="1">Q56+Q57</f>
        <v>7374</v>
      </c>
      <c r="R62" s="2589" t="s">
        <v>2462</v>
      </c>
    </row>
    <row r="63" spans="1:18" s="1454" customFormat="1" ht="16.5" thickBot="1">
      <c r="A63" s="712"/>
      <c r="B63" s="2409"/>
      <c r="C63" s="318"/>
      <c r="D63" s="2423"/>
      <c r="E63" s="2403" t="s">
        <v>2353</v>
      </c>
      <c r="F63" s="685">
        <f t="shared" ca="1" si="0"/>
        <v>1927.24</v>
      </c>
      <c r="I63" s="2548" t="s">
        <v>2438</v>
      </c>
      <c r="J63" s="3326">
        <v>70</v>
      </c>
      <c r="K63" s="3326">
        <v>50</v>
      </c>
      <c r="L63" s="3326">
        <v>80</v>
      </c>
      <c r="M63" s="3324">
        <v>0.02</v>
      </c>
      <c r="O63" s="2592" t="s">
        <v>2493</v>
      </c>
      <c r="P63" s="1295"/>
      <c r="Q63" s="1295"/>
      <c r="R63" s="1295"/>
    </row>
    <row r="64" spans="1:18" s="1454" customFormat="1" ht="15.75" thickBot="1">
      <c r="A64" s="2439" t="s">
        <v>2385</v>
      </c>
      <c r="B64" s="2403" t="s">
        <v>2354</v>
      </c>
      <c r="C64" s="313">
        <f ca="1">ROUND(C57*F64,1)</f>
        <v>33.799999999999997</v>
      </c>
      <c r="D64" s="2421" t="s">
        <v>2355</v>
      </c>
      <c r="E64" s="2403" t="s">
        <v>2348</v>
      </c>
      <c r="F64" s="714">
        <f t="shared" ca="1" si="0"/>
        <v>1.4999999999999999E-2</v>
      </c>
      <c r="I64" s="2548" t="s">
        <v>2439</v>
      </c>
      <c r="J64" s="3326">
        <v>50</v>
      </c>
      <c r="K64" s="3326">
        <v>35</v>
      </c>
      <c r="L64" s="3326">
        <v>60</v>
      </c>
      <c r="M64" s="3325">
        <v>0</v>
      </c>
      <c r="O64" s="2595" t="s">
        <v>2470</v>
      </c>
      <c r="P64" s="2596" t="s">
        <v>2471</v>
      </c>
      <c r="Q64" s="2597" t="s">
        <v>2469</v>
      </c>
      <c r="R64" s="2597" t="s">
        <v>2472</v>
      </c>
    </row>
    <row r="65" spans="1:18" s="1454" customFormat="1" ht="15.75" thickBot="1">
      <c r="A65" s="2439" t="s">
        <v>2379</v>
      </c>
      <c r="B65" s="2403" t="s">
        <v>369</v>
      </c>
      <c r="C65" s="313">
        <f ca="1">ROUND(C56*F65,1)</f>
        <v>2.4</v>
      </c>
      <c r="D65" s="2421" t="s">
        <v>2356</v>
      </c>
      <c r="E65" s="2403" t="s">
        <v>2348</v>
      </c>
      <c r="F65" s="716">
        <f t="shared" ca="1" si="0"/>
        <v>1.5E-3</v>
      </c>
      <c r="I65" s="2548" t="s">
        <v>2440</v>
      </c>
      <c r="J65" s="3326">
        <v>40</v>
      </c>
      <c r="K65" s="3326">
        <v>30</v>
      </c>
      <c r="L65" s="3326">
        <v>50</v>
      </c>
      <c r="M65" s="3324">
        <v>0.02</v>
      </c>
      <c r="O65" s="2588" t="s">
        <v>2455</v>
      </c>
      <c r="P65" s="2598" t="s">
        <v>2473</v>
      </c>
      <c r="Q65" s="2589">
        <f ca="1">C40+J29</f>
        <v>7374</v>
      </c>
      <c r="R65" s="2589" t="s">
        <v>2474</v>
      </c>
    </row>
    <row r="66" spans="1:18" s="1454" customFormat="1" ht="20.25" thickBot="1">
      <c r="A66" s="2439" t="s">
        <v>2380</v>
      </c>
      <c r="B66" s="2403" t="s">
        <v>368</v>
      </c>
      <c r="C66" s="313">
        <f ca="1">ROUND(C48*F66,1)</f>
        <v>0</v>
      </c>
      <c r="D66" s="2421" t="s">
        <v>2357</v>
      </c>
      <c r="E66" s="2403" t="s">
        <v>2348</v>
      </c>
      <c r="F66" s="694">
        <f t="shared" ca="1" si="0"/>
        <v>0.01</v>
      </c>
      <c r="O66" s="2588" t="s">
        <v>2456</v>
      </c>
      <c r="P66" s="2598" t="s">
        <v>2480</v>
      </c>
      <c r="Q66" s="2589">
        <f ca="1">L60</f>
        <v>0</v>
      </c>
      <c r="R66" s="2589" t="s">
        <v>2463</v>
      </c>
    </row>
    <row r="67" spans="1:18" s="1454" customFormat="1" ht="24.75" thickBot="1">
      <c r="A67" s="2410" t="s">
        <v>2358</v>
      </c>
      <c r="B67" s="2424" t="s">
        <v>2359</v>
      </c>
      <c r="C67" s="698">
        <f ca="1">C48-C58</f>
        <v>-57</v>
      </c>
      <c r="D67" s="2420" t="s">
        <v>2360</v>
      </c>
      <c r="E67" s="2425"/>
      <c r="F67" s="2426"/>
      <c r="O67" s="2590" t="s">
        <v>2457</v>
      </c>
      <c r="P67" s="2598" t="s">
        <v>2487</v>
      </c>
      <c r="Q67" s="2593">
        <f ca="1">L51</f>
        <v>5006</v>
      </c>
      <c r="R67" s="2594" t="s">
        <v>2497</v>
      </c>
    </row>
    <row r="68" spans="1:18" s="1454" customFormat="1" ht="20.25" thickBot="1">
      <c r="A68" s="2400" t="s">
        <v>2361</v>
      </c>
      <c r="B68" s="2401" t="s">
        <v>2362</v>
      </c>
      <c r="C68" s="683">
        <f ca="1">ROUND(C67*(1-((1+F70)/(1+F68))^F69)/(F68-F70),0)</f>
        <v>-93</v>
      </c>
      <c r="D68" s="2422" t="s">
        <v>2363</v>
      </c>
      <c r="E68" s="2403" t="s">
        <v>2364</v>
      </c>
      <c r="F68" s="694">
        <f ca="1">F40</f>
        <v>0.06</v>
      </c>
      <c r="O68" s="2590" t="s">
        <v>2458</v>
      </c>
      <c r="P68" s="2599" t="s">
        <v>2491</v>
      </c>
      <c r="Q68" s="2589">
        <f ca="1">ROUND(Q69-Q70*Q71,0)</f>
        <v>344</v>
      </c>
      <c r="R68" s="2589" t="s">
        <v>2496</v>
      </c>
    </row>
    <row r="69" spans="1:18" s="1454" customFormat="1" ht="15.75" thickBot="1">
      <c r="A69" s="2404"/>
      <c r="B69" s="2405"/>
      <c r="C69" s="688"/>
      <c r="D69" s="2427" t="s">
        <v>2365</v>
      </c>
      <c r="E69" s="2403" t="s">
        <v>2366</v>
      </c>
      <c r="F69" s="719">
        <f ca="1">F41</f>
        <v>1.77</v>
      </c>
      <c r="O69" s="2590" t="s">
        <v>2466</v>
      </c>
      <c r="P69" s="2599" t="s">
        <v>2481</v>
      </c>
      <c r="Q69" s="2589">
        <f ca="1">C39</f>
        <v>478</v>
      </c>
      <c r="R69" s="2589" t="s">
        <v>2474</v>
      </c>
    </row>
    <row r="70" spans="1:18" s="1454" customFormat="1" ht="15.75" thickBot="1">
      <c r="A70" s="2407"/>
      <c r="B70" s="2408"/>
      <c r="C70" s="692"/>
      <c r="D70" s="2423"/>
      <c r="E70" s="2403" t="s">
        <v>2367</v>
      </c>
      <c r="F70" s="2533"/>
      <c r="O70" s="2590" t="s">
        <v>2467</v>
      </c>
      <c r="P70" s="2599" t="s">
        <v>2482</v>
      </c>
      <c r="Q70" s="2589">
        <f ca="1">C13</f>
        <v>1576</v>
      </c>
      <c r="R70" s="2589" t="s">
        <v>2474</v>
      </c>
    </row>
    <row r="71" spans="1:18" s="1454" customFormat="1" ht="15.75" thickBot="1">
      <c r="A71" s="2428" t="s">
        <v>2368</v>
      </c>
      <c r="B71" s="2429" t="s">
        <v>2369</v>
      </c>
      <c r="C71" s="722">
        <f ca="1">ROUND(C68*10000/F71,0)</f>
        <v>-130</v>
      </c>
      <c r="D71" s="2430" t="s">
        <v>2370</v>
      </c>
      <c r="E71" s="2431" t="s">
        <v>2371</v>
      </c>
      <c r="F71" s="725">
        <f ca="1">F43</f>
        <v>7148.0899999999992</v>
      </c>
      <c r="I71" s="2398"/>
      <c r="K71" s="2398"/>
      <c r="O71" s="2590" t="s">
        <v>2468</v>
      </c>
      <c r="P71" s="2599" t="s">
        <v>2494</v>
      </c>
      <c r="Q71" s="2591">
        <f ca="1">C76</f>
        <v>8.5000000000000006E-2</v>
      </c>
      <c r="R71" s="2589"/>
    </row>
    <row r="72" spans="1:18" s="1454" customFormat="1" ht="15.75" thickBot="1">
      <c r="B72" s="1459"/>
      <c r="C72" s="1459"/>
      <c r="I72" s="2398"/>
      <c r="O72" s="2590" t="s">
        <v>2459</v>
      </c>
      <c r="P72" s="2598" t="s">
        <v>2488</v>
      </c>
      <c r="Q72" s="2591">
        <f>L52</f>
        <v>0</v>
      </c>
      <c r="R72" s="2589"/>
    </row>
    <row r="73" spans="1:18" ht="20.25" thickBot="1">
      <c r="A73" s="1454"/>
      <c r="B73" s="1459"/>
      <c r="C73" s="1459"/>
      <c r="D73" s="1454"/>
      <c r="E73" s="1454"/>
      <c r="F73" s="1454"/>
      <c r="I73" s="2584"/>
      <c r="O73" s="2590" t="s">
        <v>2460</v>
      </c>
      <c r="P73" s="2598" t="s">
        <v>2489</v>
      </c>
      <c r="Q73" s="2589">
        <f ca="1">L58</f>
        <v>0</v>
      </c>
      <c r="R73" s="2589" t="s">
        <v>2464</v>
      </c>
    </row>
    <row r="74" spans="1:18" ht="20.25" thickBot="1">
      <c r="A74" s="1454"/>
      <c r="B74" s="727" t="s">
        <v>387</v>
      </c>
      <c r="C74" s="728"/>
      <c r="D74" s="1454"/>
      <c r="E74" s="1454"/>
      <c r="F74" s="1454"/>
      <c r="O74" s="2590" t="s">
        <v>2498</v>
      </c>
      <c r="P74" s="2598" t="s">
        <v>2490</v>
      </c>
      <c r="Q74" s="2589">
        <f ca="1">L59</f>
        <v>0</v>
      </c>
      <c r="R74" s="2589" t="s">
        <v>2465</v>
      </c>
    </row>
    <row r="75" spans="1:18" ht="15.75" thickBot="1">
      <c r="A75" s="1454"/>
      <c r="B75" s="729" t="s">
        <v>973</v>
      </c>
      <c r="C75" s="730">
        <f ca="1">ROUND(C13*C76,0)</f>
        <v>134</v>
      </c>
      <c r="D75" s="1454"/>
      <c r="E75" s="1454"/>
      <c r="F75" s="1454"/>
      <c r="K75" s="1455"/>
      <c r="L75" s="1454"/>
      <c r="O75" s="2588" t="s">
        <v>2461</v>
      </c>
      <c r="P75" s="2598" t="s">
        <v>2479</v>
      </c>
      <c r="Q75" s="2589">
        <f ca="1">Q65+Q66</f>
        <v>7374</v>
      </c>
      <c r="R75" s="2589" t="s">
        <v>2462</v>
      </c>
    </row>
    <row r="76" spans="1:18">
      <c r="B76" s="731" t="s">
        <v>974</v>
      </c>
      <c r="C76" s="732">
        <f ca="1">INDIRECT("'数据-取费表'!j"&amp;$G$1)</f>
        <v>8.5000000000000006E-2</v>
      </c>
      <c r="I76" s="1454"/>
      <c r="J76" s="1454"/>
      <c r="K76" s="1455"/>
      <c r="L76" s="1454"/>
    </row>
    <row r="77" spans="1:18">
      <c r="B77" s="733" t="s">
        <v>977</v>
      </c>
      <c r="C77" s="734"/>
      <c r="I77" s="1454"/>
      <c r="J77" s="1454"/>
      <c r="K77" s="1455"/>
      <c r="L77" s="1454"/>
    </row>
    <row r="78" spans="1:18">
      <c r="B78" s="646" t="s">
        <v>2701</v>
      </c>
      <c r="C78" s="735"/>
    </row>
    <row r="79" spans="1:18">
      <c r="B79" s="2877" t="s">
        <v>2705</v>
      </c>
      <c r="C79" s="650">
        <f ca="1">1-C80</f>
        <v>0.72</v>
      </c>
    </row>
    <row r="80" spans="1:18">
      <c r="B80" s="2877" t="s">
        <v>2704</v>
      </c>
      <c r="C80" s="650">
        <f ca="1">ROUND(C75/C39,3)</f>
        <v>0.28000000000000003</v>
      </c>
    </row>
    <row r="81" spans="2:3">
      <c r="B81" s="646" t="s">
        <v>388</v>
      </c>
      <c r="C81" s="647"/>
    </row>
    <row r="82" spans="2:3">
      <c r="B82" s="2876" t="s">
        <v>2703</v>
      </c>
      <c r="C82" s="651">
        <f ca="1">1-C83</f>
        <v>-1.0099999999999998</v>
      </c>
    </row>
    <row r="83" spans="2:3">
      <c r="B83" s="2876" t="s">
        <v>2702</v>
      </c>
      <c r="C83" s="650">
        <f ca="1">ROUND(C13/C40,3)</f>
        <v>2.0099999999999998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908</v>
      </c>
      <c r="B1" s="670"/>
      <c r="C1" s="2393"/>
      <c r="D1" s="1273"/>
      <c r="E1" s="2586" t="s">
        <v>540</v>
      </c>
      <c r="F1" s="2587">
        <f ca="1">J53</f>
        <v>0</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346</v>
      </c>
      <c r="B2" s="1406" t="e">
        <f ca="1">ROUND(D2/10000,0)</f>
        <v>#DIV/0!</v>
      </c>
      <c r="C2" s="1299" t="s">
        <v>1102</v>
      </c>
      <c r="D2" s="2725" t="e">
        <f ca="1">C40+J29+L46</f>
        <v>#DIV/0!</v>
      </c>
      <c r="E2" s="2576" t="s">
        <v>2626</v>
      </c>
      <c r="F2" s="1276"/>
      <c r="G2" s="2288"/>
      <c r="H2" s="1274"/>
      <c r="I2" s="1274"/>
      <c r="J2" s="1274"/>
      <c r="K2" s="1298"/>
      <c r="L2" s="1274"/>
      <c r="M2" s="1274"/>
    </row>
    <row r="3" spans="1:37" ht="18" customHeight="1" thickBot="1">
      <c r="A3" s="675" t="s">
        <v>347</v>
      </c>
      <c r="B3" s="1407">
        <f ca="1">IF(ISERROR(D2/F43),0,ROUND(D2/F43,0))</f>
        <v>0</v>
      </c>
      <c r="C3" s="1299" t="s">
        <v>1103</v>
      </c>
      <c r="D3" s="1275"/>
      <c r="E3" s="2576"/>
      <c r="F3" s="1276"/>
      <c r="G3" s="2288"/>
      <c r="H3" s="676" t="s">
        <v>909</v>
      </c>
      <c r="I3" s="1274"/>
      <c r="J3" s="1274"/>
      <c r="K3" s="1298"/>
      <c r="L3" s="1274"/>
      <c r="M3" s="1274"/>
    </row>
    <row r="4" spans="1:37" ht="18" customHeight="1">
      <c r="A4" s="677" t="s">
        <v>910</v>
      </c>
      <c r="B4" s="678" t="s">
        <v>911</v>
      </c>
      <c r="C4" s="678" t="s">
        <v>912</v>
      </c>
      <c r="D4" s="678" t="s">
        <v>913</v>
      </c>
      <c r="E4" s="679" t="s">
        <v>914</v>
      </c>
      <c r="F4" s="680"/>
      <c r="G4" s="2289"/>
      <c r="H4" s="677" t="s">
        <v>910</v>
      </c>
      <c r="I4" s="678" t="s">
        <v>911</v>
      </c>
      <c r="J4" s="678" t="s">
        <v>912</v>
      </c>
      <c r="K4" s="678" t="s">
        <v>913</v>
      </c>
      <c r="L4" s="679" t="s">
        <v>914</v>
      </c>
      <c r="M4" s="680"/>
    </row>
    <row r="5" spans="1:37" ht="18" customHeight="1">
      <c r="A5" s="681">
        <v>1</v>
      </c>
      <c r="B5" s="682" t="s">
        <v>2337</v>
      </c>
      <c r="C5" s="2627">
        <f ca="1">C6+C10+C12</f>
        <v>0</v>
      </c>
      <c r="D5" s="2637" t="s">
        <v>2540</v>
      </c>
      <c r="E5" s="2628"/>
      <c r="F5" s="2629"/>
      <c r="G5" s="2289"/>
      <c r="H5" s="681">
        <v>1</v>
      </c>
      <c r="I5" s="682" t="s">
        <v>2337</v>
      </c>
      <c r="J5" s="2627">
        <f ca="1">J6+J10+J12</f>
        <v>0</v>
      </c>
      <c r="K5" s="2630" t="s">
        <v>2540</v>
      </c>
      <c r="L5" s="2628"/>
      <c r="M5" s="2629"/>
    </row>
    <row r="6" spans="1:37" ht="18" customHeight="1">
      <c r="A6" s="2623" t="s">
        <v>2378</v>
      </c>
      <c r="B6" s="3530" t="s">
        <v>2539</v>
      </c>
      <c r="C6" s="2632">
        <f ca="1">ROUND(F6*F8*F7*(1-F9),0)</f>
        <v>0</v>
      </c>
      <c r="D6" s="2626" t="s">
        <v>2541</v>
      </c>
      <c r="E6" s="684" t="s">
        <v>915</v>
      </c>
      <c r="F6" s="685">
        <f ca="1">INDIRECT("'数据-取费表'!u"&amp;$G$1)</f>
        <v>0</v>
      </c>
      <c r="G6" s="2289"/>
      <c r="H6" s="2623" t="s">
        <v>2378</v>
      </c>
      <c r="I6" s="3530" t="s">
        <v>2539</v>
      </c>
      <c r="J6" s="683">
        <f ca="1">ROUND(M6*M8*M7*(1-M9),0)</f>
        <v>0</v>
      </c>
      <c r="K6" s="2626" t="s">
        <v>2541</v>
      </c>
      <c r="L6" s="684" t="s">
        <v>915</v>
      </c>
      <c r="M6" s="685">
        <f ca="1">INDIRECT("'数据-取费表'!z"&amp;$G$1)</f>
        <v>0</v>
      </c>
    </row>
    <row r="7" spans="1:37" ht="18" customHeight="1">
      <c r="A7" s="2631"/>
      <c r="B7" s="3531"/>
      <c r="C7" s="2633"/>
      <c r="D7" s="2062"/>
      <c r="E7" s="2634" t="s">
        <v>916</v>
      </c>
      <c r="F7" s="685">
        <f ca="1">IF(INDIRECT("'数据-取费表'!ah"&amp;$G$1)="",INDIRECT("'数据-取费表'!k"&amp;$G$1),INDIRECT("'数据-取费表'!ah"&amp;$G$1))</f>
        <v>0</v>
      </c>
      <c r="G7" s="2289"/>
      <c r="H7" s="686"/>
      <c r="I7" s="3531"/>
      <c r="J7" s="688"/>
      <c r="K7" s="689"/>
      <c r="L7" s="684" t="s">
        <v>916</v>
      </c>
      <c r="M7" s="685">
        <f ca="1">F7</f>
        <v>0</v>
      </c>
    </row>
    <row r="8" spans="1:37" ht="18" customHeight="1">
      <c r="A8" s="686"/>
      <c r="B8" s="3531"/>
      <c r="C8" s="688"/>
      <c r="D8" s="689"/>
      <c r="E8" s="684" t="s">
        <v>917</v>
      </c>
      <c r="F8" s="685">
        <f ca="1">INDIRECT("'数据-取费表'!ai"&amp;$G$1)</f>
        <v>0</v>
      </c>
      <c r="G8" s="2289"/>
      <c r="H8" s="686"/>
      <c r="I8" s="3531"/>
      <c r="J8" s="688"/>
      <c r="K8" s="689"/>
      <c r="L8" s="684" t="s">
        <v>917</v>
      </c>
      <c r="M8" s="685">
        <f ca="1">INDIRECT("'数据-取费表'!ai"&amp;$G$1)</f>
        <v>0</v>
      </c>
    </row>
    <row r="9" spans="1:37" ht="18" customHeight="1">
      <c r="A9" s="686"/>
      <c r="B9" s="3532"/>
      <c r="C9" s="688"/>
      <c r="D9" s="689"/>
      <c r="E9" s="684" t="s">
        <v>918</v>
      </c>
      <c r="F9" s="694">
        <f ca="1">INDIRECT("'数据-取费表'!w"&amp;$G$1)</f>
        <v>0</v>
      </c>
      <c r="G9" s="2289"/>
      <c r="H9" s="686"/>
      <c r="I9" s="3532"/>
      <c r="J9" s="688"/>
      <c r="K9" s="689"/>
      <c r="L9" s="695" t="s">
        <v>918</v>
      </c>
      <c r="M9" s="696">
        <f ca="1">INDIRECT("'数据-取费表'!ab"&amp;$G$1)</f>
        <v>0</v>
      </c>
    </row>
    <row r="10" spans="1:37" ht="18" customHeight="1">
      <c r="A10" s="2623" t="s">
        <v>2385</v>
      </c>
      <c r="B10" s="2624" t="s">
        <v>2534</v>
      </c>
      <c r="C10" s="698">
        <f ca="1">ROUND(IF(F10="押一",F6*F8*F7/12*F11,IF(F10="押二",F6*F8*F7/12*2*F11,IF(F10="押三",F6*F8*F7/12*3*F11,C11*F11))),0)</f>
        <v>0</v>
      </c>
      <c r="D10" s="2635" t="s">
        <v>2542</v>
      </c>
      <c r="E10" s="2098" t="s">
        <v>2536</v>
      </c>
      <c r="F10" s="2832"/>
      <c r="G10" s="2289"/>
      <c r="H10" s="2623" t="s">
        <v>2385</v>
      </c>
      <c r="I10" s="2624" t="s">
        <v>2534</v>
      </c>
      <c r="J10" s="683">
        <f ca="1">ROUND(IF(M10="押一",M6*M8*M7/12*M11,IF(M10="押二",M6*M8*M7/12*2*M11,IF(M10="押三",M6*M8*M7/12*3*M11,J11*M11))),0)</f>
        <v>0</v>
      </c>
      <c r="K10" s="2635" t="s">
        <v>2542</v>
      </c>
      <c r="L10" s="2098" t="s">
        <v>2536</v>
      </c>
      <c r="M10" s="2832" t="s">
        <v>2697</v>
      </c>
    </row>
    <row r="11" spans="1:37" ht="18" customHeight="1">
      <c r="A11" s="690"/>
      <c r="B11" s="2625" t="s">
        <v>2544</v>
      </c>
      <c r="C11" s="2416"/>
      <c r="D11" s="689"/>
      <c r="E11" s="2098" t="s">
        <v>2537</v>
      </c>
      <c r="F11" s="696">
        <f ca="1">'数据-取费表'!B39</f>
        <v>1.4999999999999999E-2</v>
      </c>
      <c r="G11" s="2289"/>
      <c r="H11" s="2636"/>
      <c r="I11" s="2625" t="s">
        <v>2698</v>
      </c>
      <c r="J11" s="2416"/>
      <c r="K11" s="1280"/>
      <c r="L11" s="2098" t="s">
        <v>2537</v>
      </c>
      <c r="M11" s="2097">
        <f ca="1">'数据-取费表'!B39</f>
        <v>1.4999999999999999E-2</v>
      </c>
    </row>
    <row r="12" spans="1:37" ht="18" customHeight="1" thickBot="1">
      <c r="A12" s="2671" t="s">
        <v>2547</v>
      </c>
      <c r="B12" s="2672" t="s">
        <v>2535</v>
      </c>
      <c r="C12" s="2673"/>
      <c r="D12" s="2674"/>
      <c r="E12" s="2675"/>
      <c r="F12" s="2676"/>
      <c r="G12" s="2289"/>
      <c r="H12" s="2671" t="s">
        <v>2547</v>
      </c>
      <c r="I12" s="2672" t="s">
        <v>2535</v>
      </c>
      <c r="J12" s="2673"/>
      <c r="K12" s="2690"/>
      <c r="L12" s="2675"/>
      <c r="M12" s="2691"/>
    </row>
    <row r="13" spans="1:37" ht="18" customHeight="1" thickTop="1">
      <c r="A13" s="2667">
        <v>2</v>
      </c>
      <c r="B13" s="2668" t="s">
        <v>919</v>
      </c>
      <c r="C13" s="692">
        <f ca="1">ROUND(C29*F13,0)</f>
        <v>0</v>
      </c>
      <c r="D13" s="2669" t="s">
        <v>920</v>
      </c>
      <c r="E13" s="2669" t="s">
        <v>921</v>
      </c>
      <c r="F13" s="2670">
        <f ca="1">INDIRECT("'数据-取费表'!y"&amp;$G$1)</f>
        <v>0</v>
      </c>
      <c r="G13" s="2289"/>
      <c r="H13" s="2667">
        <v>2</v>
      </c>
      <c r="I13" s="2668" t="s">
        <v>919</v>
      </c>
      <c r="J13" s="2622">
        <f ca="1">ROUND(J14*J15,0)</f>
        <v>0</v>
      </c>
      <c r="K13" s="2677" t="s">
        <v>920</v>
      </c>
      <c r="L13" s="2688"/>
      <c r="M13" s="2689"/>
    </row>
    <row r="14" spans="1:37" ht="18" customHeight="1">
      <c r="A14" s="2439" t="s">
        <v>2375</v>
      </c>
      <c r="B14" s="684" t="s">
        <v>360</v>
      </c>
      <c r="C14" s="702">
        <f ca="1">ROUND(INDIRECT("'数据-取费表'!l"&amp;$G$1)*F43+'数据-取费表'!L14*INDIRECT("'数据-取费表'!S"&amp;$G$1),0)</f>
        <v>0</v>
      </c>
      <c r="D14" s="2720" t="s">
        <v>922</v>
      </c>
      <c r="E14" s="2719"/>
      <c r="F14" s="703"/>
      <c r="G14" s="2289"/>
      <c r="H14" s="2439" t="s">
        <v>2378</v>
      </c>
      <c r="I14" s="684" t="s">
        <v>923</v>
      </c>
      <c r="J14" s="313">
        <f ca="1">C29</f>
        <v>0</v>
      </c>
      <c r="K14" s="303"/>
      <c r="L14" s="700"/>
      <c r="M14" s="701"/>
    </row>
    <row r="15" spans="1:37" s="706" customFormat="1" ht="18" customHeight="1" thickBot="1">
      <c r="A15" s="2439" t="s">
        <v>2611</v>
      </c>
      <c r="B15" s="684" t="s">
        <v>361</v>
      </c>
      <c r="C15" s="313">
        <f ca="1">ROUND(C14*F15,0)</f>
        <v>0</v>
      </c>
      <c r="D15" s="704" t="s">
        <v>924</v>
      </c>
      <c r="E15" s="704" t="s">
        <v>366</v>
      </c>
      <c r="F15" s="705">
        <f>'数据-取费表'!B33</f>
        <v>0.03</v>
      </c>
      <c r="G15" s="2290"/>
      <c r="H15" s="2679" t="s">
        <v>2385</v>
      </c>
      <c r="I15" s="2680" t="s">
        <v>921</v>
      </c>
      <c r="J15" s="2691">
        <f ca="1">INDIRECT("'数据-取费表'!ad"&amp;$G$1)</f>
        <v>0</v>
      </c>
      <c r="K15" s="2692"/>
      <c r="L15" s="2693"/>
      <c r="M15" s="2694"/>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9" t="s">
        <v>2612</v>
      </c>
      <c r="B16" s="684" t="s">
        <v>362</v>
      </c>
      <c r="C16" s="313">
        <f ca="1">ROUND(INDIRECT("'数据-取费表'!l"&amp;$G$1)*F43*F16,0)</f>
        <v>0</v>
      </c>
      <c r="D16" s="684" t="s">
        <v>924</v>
      </c>
      <c r="E16" s="684" t="s">
        <v>366</v>
      </c>
      <c r="F16" s="707">
        <f ca="1">IF(INDIRECT("'数据-取费表'!c"&amp;$G$1)="住宅",'数据-取费表'!B34,0)</f>
        <v>0</v>
      </c>
      <c r="G16" s="2289"/>
      <c r="H16" s="2667" t="s">
        <v>2343</v>
      </c>
      <c r="I16" s="2668" t="s">
        <v>926</v>
      </c>
      <c r="J16" s="692">
        <f ca="1">ROUND(J17+J22+J23+J24,0)</f>
        <v>0</v>
      </c>
      <c r="K16" s="2677" t="s">
        <v>927</v>
      </c>
      <c r="L16" s="2678"/>
      <c r="M16" s="2629"/>
    </row>
    <row r="17" spans="1:37" s="706" customFormat="1" ht="18" customHeight="1">
      <c r="A17" s="2439" t="s">
        <v>2613</v>
      </c>
      <c r="B17" s="684" t="s">
        <v>363</v>
      </c>
      <c r="C17" s="313">
        <f ca="1">ROUND(F17*(F43+INDIRECT("'数据-取费表'!S"&amp;$G$1)),0)</f>
        <v>0</v>
      </c>
      <c r="D17" s="684" t="s">
        <v>928</v>
      </c>
      <c r="E17" s="684" t="s">
        <v>929</v>
      </c>
      <c r="F17" s="315">
        <f>'数据-取费表'!B35</f>
        <v>200</v>
      </c>
      <c r="G17" s="2290"/>
      <c r="H17" s="2439" t="s">
        <v>2378</v>
      </c>
      <c r="I17" s="684" t="s">
        <v>364</v>
      </c>
      <c r="J17" s="313">
        <f ca="1">ROUND(IF(项目基本情况!B11="自然人",J5*M17,J18+J19+J20),0)</f>
        <v>0</v>
      </c>
      <c r="K17" s="2720" t="s">
        <v>930</v>
      </c>
      <c r="L17" s="2721" t="s">
        <v>931</v>
      </c>
      <c r="M17" s="708">
        <f ca="1">IF(项目基本情况!B11="企业","",IF(INDIRECT("'数据-取费表'!c"&amp;$G$1)="住宅",5%,IF(M6*M7*M8/12/(1+'数据-取费表'!C42)&gt;20000,12%,7%)))</f>
        <v>7.0000000000000007E-2</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9" t="s">
        <v>2614</v>
      </c>
      <c r="B18" s="684" t="s">
        <v>365</v>
      </c>
      <c r="C18" s="313">
        <f ca="1">ROUND(C14*F18,0)</f>
        <v>0</v>
      </c>
      <c r="D18" s="684" t="s">
        <v>924</v>
      </c>
      <c r="E18" s="684" t="s">
        <v>366</v>
      </c>
      <c r="F18" s="707">
        <f>'数据-取费表'!B36</f>
        <v>1.4999999999999999E-2</v>
      </c>
      <c r="G18" s="2290"/>
      <c r="H18" s="2439" t="s">
        <v>2375</v>
      </c>
      <c r="I18" s="684" t="s">
        <v>932</v>
      </c>
      <c r="J18" s="313">
        <f ca="1">ROUND(J5*M18/(1+'数据-取费表'!C42),0)</f>
        <v>0</v>
      </c>
      <c r="K18" s="2721" t="s">
        <v>933</v>
      </c>
      <c r="L18" s="684" t="s">
        <v>366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9" t="s">
        <v>2378</v>
      </c>
      <c r="B19" s="684" t="s">
        <v>367</v>
      </c>
      <c r="C19" s="313">
        <f ca="1">SUM(C14:C18)</f>
        <v>0</v>
      </c>
      <c r="D19" s="471" t="s">
        <v>934</v>
      </c>
      <c r="E19" s="2723"/>
      <c r="F19" s="315"/>
      <c r="G19" s="2289"/>
      <c r="H19" s="2439" t="s">
        <v>2611</v>
      </c>
      <c r="I19" s="684" t="s">
        <v>935</v>
      </c>
      <c r="J19" s="313">
        <f ca="1">IF(K19="按租金收入计税",ROUND(J5*M19,0),ROUND(C29*M19*0.7,0))</f>
        <v>0</v>
      </c>
      <c r="K19" s="1300" t="s">
        <v>2419</v>
      </c>
      <c r="L19" s="684" t="s">
        <v>366</v>
      </c>
      <c r="M19" s="707">
        <f>IF(K19="按租金收入计税",'数据-取费表'!B51,'数据-取费表'!B50)</f>
        <v>1.2E-2</v>
      </c>
    </row>
    <row r="20" spans="1:37" s="706" customFormat="1" ht="18" customHeight="1">
      <c r="A20" s="2439" t="s">
        <v>2615</v>
      </c>
      <c r="B20" s="684" t="s">
        <v>368</v>
      </c>
      <c r="C20" s="313">
        <f ca="1">ROUND(C19*F20,0)</f>
        <v>0</v>
      </c>
      <c r="D20" s="709" t="s">
        <v>936</v>
      </c>
      <c r="E20" s="684" t="s">
        <v>366</v>
      </c>
      <c r="F20" s="707">
        <f>'数据-取费表'!B37</f>
        <v>0.01</v>
      </c>
      <c r="G20" s="2290"/>
      <c r="H20" s="2439" t="s">
        <v>2612</v>
      </c>
      <c r="I20" s="496" t="s">
        <v>937</v>
      </c>
      <c r="J20" s="314">
        <f ca="1">ROUND(M20*M21,0)</f>
        <v>0</v>
      </c>
      <c r="K20" s="710" t="s">
        <v>938</v>
      </c>
      <c r="L20" s="684" t="s">
        <v>939</v>
      </c>
      <c r="M20" s="711">
        <f>'数据-取费表'!B52</f>
        <v>12</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9" t="s">
        <v>2616</v>
      </c>
      <c r="B21" s="684" t="s">
        <v>940</v>
      </c>
      <c r="C21" s="313" t="s">
        <v>23</v>
      </c>
      <c r="D21" s="709" t="s">
        <v>941</v>
      </c>
      <c r="E21" s="684" t="s">
        <v>942</v>
      </c>
      <c r="F21" s="707">
        <f>'数据-取费表'!B38</f>
        <v>0.01</v>
      </c>
      <c r="G21" s="2290"/>
      <c r="H21" s="712"/>
      <c r="I21" s="693"/>
      <c r="J21" s="318"/>
      <c r="K21" s="713"/>
      <c r="L21" s="684" t="s">
        <v>943</v>
      </c>
      <c r="M21" s="685">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9" t="s">
        <v>2617</v>
      </c>
      <c r="B22" s="684" t="s">
        <v>944</v>
      </c>
      <c r="C22" s="313"/>
      <c r="D22" s="2702" t="str">
        <f>IF(F23&lt;=1,"单利计息。","复利计息。")&amp;"建造成本、管理费用、销售费用产生的利息。"</f>
        <v>单利计息。建造成本、管理费用、销售费用产生的利息。</v>
      </c>
      <c r="E22" s="2723"/>
      <c r="F22" s="315"/>
      <c r="G22" s="2289"/>
      <c r="H22" s="2439" t="s">
        <v>2385</v>
      </c>
      <c r="I22" s="684" t="s">
        <v>945</v>
      </c>
      <c r="J22" s="313">
        <f ca="1">ROUND(J14*M22,0)</f>
        <v>0</v>
      </c>
      <c r="K22" s="2721" t="s">
        <v>946</v>
      </c>
      <c r="L22" s="684" t="s">
        <v>366</v>
      </c>
      <c r="M22" s="714">
        <f ca="1">INDIRECT("'数据-取费表'!Ak"&amp;$G$1)</f>
        <v>0</v>
      </c>
    </row>
    <row r="23" spans="1:37" s="706" customFormat="1" ht="18" customHeight="1">
      <c r="A23" s="2439" t="s">
        <v>2375</v>
      </c>
      <c r="B23" s="684" t="s">
        <v>2531</v>
      </c>
      <c r="C23" s="313">
        <f ca="1">IF('数据-取费表'!B22&lt;=1,ROUND(C19*F24*F23/2,0)+ROUND(C20*F24*F23/2,0),ROUND(C19*(POWER((1+F24),F23/2)-1),0)+ROUND(C20*(POWER((1+F24),F23/2)-1),0))</f>
        <v>0</v>
      </c>
      <c r="D23" s="2706" t="str">
        <f>IF(F23&lt;=1,"(建造成本+管理费用)×利率×(建设周期÷2)","(建造成本+管理费用)×((1+利率)^(建设周期÷2)-1)")</f>
        <v>(建造成本+管理费用)×利率×(建设周期÷2)</v>
      </c>
      <c r="E23" s="684" t="s">
        <v>947</v>
      </c>
      <c r="F23" s="711">
        <f>'数据-取费表'!B20</f>
        <v>1</v>
      </c>
      <c r="G23" s="2290"/>
      <c r="H23" s="2439" t="s">
        <v>2616</v>
      </c>
      <c r="I23" s="684" t="s">
        <v>369</v>
      </c>
      <c r="J23" s="313">
        <f ca="1">ROUND(J13*M23,0)</f>
        <v>0</v>
      </c>
      <c r="K23" s="2721" t="s">
        <v>370</v>
      </c>
      <c r="L23" s="684" t="s">
        <v>366</v>
      </c>
      <c r="M23" s="716">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9" t="s">
        <v>2381</v>
      </c>
      <c r="B24" s="684" t="s">
        <v>949</v>
      </c>
      <c r="C24" s="313">
        <f ca="1">ROUND(IF('数据-取费表'!B22&lt;=1,F21*F24*F23/2,F21*(POWER((1+F24),F23/2)-1)),4)</f>
        <v>2.0000000000000001E-4</v>
      </c>
      <c r="D24" s="2706" t="str">
        <f>IF(F23&lt;=1,"销售费用×利率×(建设周期÷2)","销售费用×((1+利率)^(建设周期÷2)-1)")</f>
        <v>销售费用×利率×(建设周期÷2)</v>
      </c>
      <c r="E24" s="684" t="s">
        <v>950</v>
      </c>
      <c r="F24" s="717">
        <f ca="1">'数据-取费表'!B40</f>
        <v>4.3499999999999997E-2</v>
      </c>
      <c r="G24" s="2290"/>
      <c r="H24" s="2679" t="s">
        <v>2617</v>
      </c>
      <c r="I24" s="2680" t="s">
        <v>368</v>
      </c>
      <c r="J24" s="2681">
        <f ca="1">ROUND(J5*M24,0)</f>
        <v>0</v>
      </c>
      <c r="K24" s="2682" t="s">
        <v>372</v>
      </c>
      <c r="L24" s="2680" t="s">
        <v>366</v>
      </c>
      <c r="M24" s="2676">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9" t="s">
        <v>2382</v>
      </c>
      <c r="B25" s="684" t="s">
        <v>373</v>
      </c>
      <c r="C25" s="313"/>
      <c r="D25" s="471" t="s">
        <v>952</v>
      </c>
      <c r="E25" s="2723"/>
      <c r="F25" s="315"/>
      <c r="G25" s="2289"/>
      <c r="H25" s="2667" t="s">
        <v>2358</v>
      </c>
      <c r="I25" s="2684" t="s">
        <v>378</v>
      </c>
      <c r="J25" s="692">
        <f ca="1">J5-J16</f>
        <v>0</v>
      </c>
      <c r="K25" s="2685" t="s">
        <v>379</v>
      </c>
      <c r="L25" s="2686"/>
      <c r="M25" s="2687"/>
    </row>
    <row r="26" spans="1:37" ht="18" customHeight="1">
      <c r="A26" s="2439" t="s">
        <v>2375</v>
      </c>
      <c r="B26" s="684" t="s">
        <v>2532</v>
      </c>
      <c r="C26" s="313">
        <f ca="1">ROUND((C19+C20)*F26,0)</f>
        <v>0</v>
      </c>
      <c r="D26" s="709" t="s">
        <v>955</v>
      </c>
      <c r="E26" s="695" t="s">
        <v>956</v>
      </c>
      <c r="F26" s="694">
        <f ca="1">INDIRECT("'数据-取费表'!q"&amp;$G$1)</f>
        <v>0</v>
      </c>
      <c r="G26" s="2289"/>
      <c r="H26" s="681" t="s">
        <v>2361</v>
      </c>
      <c r="I26" s="682" t="s">
        <v>957</v>
      </c>
      <c r="J26" s="683">
        <f ca="1">IF(J5&lt;&gt;0,ROUND(J25*(1-((1+M28)/(1+M26))^M27)/(M26-M28),0),0)</f>
        <v>0</v>
      </c>
      <c r="K26" s="710" t="s">
        <v>374</v>
      </c>
      <c r="L26" s="684" t="s">
        <v>375</v>
      </c>
      <c r="M26" s="694">
        <f ca="1">INDIRECT("'数据-取费表'!I"&amp;$G$1)</f>
        <v>0</v>
      </c>
    </row>
    <row r="27" spans="1:37" ht="18" customHeight="1">
      <c r="A27" s="2439" t="s">
        <v>2381</v>
      </c>
      <c r="B27" s="684" t="s">
        <v>376</v>
      </c>
      <c r="C27" s="313">
        <f ca="1">ROUND(F21*F26,4)</f>
        <v>0</v>
      </c>
      <c r="D27" s="709" t="s">
        <v>959</v>
      </c>
      <c r="E27" s="704"/>
      <c r="F27" s="705"/>
      <c r="G27" s="2289"/>
      <c r="H27" s="686"/>
      <c r="I27" s="687"/>
      <c r="J27" s="688"/>
      <c r="K27" s="718" t="s">
        <v>960</v>
      </c>
      <c r="L27" s="684" t="s">
        <v>382</v>
      </c>
      <c r="M27" s="719">
        <f ca="1">INDIRECT("'数据-取费表'!ag"&amp;$G$1)</f>
        <v>0</v>
      </c>
    </row>
    <row r="28" spans="1:37" s="706" customFormat="1" ht="18" customHeight="1">
      <c r="A28" s="2439" t="s">
        <v>2383</v>
      </c>
      <c r="B28" s="684" t="s">
        <v>377</v>
      </c>
      <c r="C28" s="313">
        <f>ROUND(F28/(1+'数据-取费表'!C42),4)</f>
        <v>5.33E-2</v>
      </c>
      <c r="D28" s="709" t="s">
        <v>966</v>
      </c>
      <c r="E28" s="684" t="s">
        <v>366</v>
      </c>
      <c r="F28" s="707">
        <f>'数据-取费表'!B41</f>
        <v>5.6000000000000001E-2</v>
      </c>
      <c r="G28" s="2290"/>
      <c r="H28" s="690"/>
      <c r="I28" s="691"/>
      <c r="J28" s="692"/>
      <c r="K28" s="713"/>
      <c r="L28" s="684" t="s">
        <v>383</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9" t="s">
        <v>2384</v>
      </c>
      <c r="B29" s="2680" t="s">
        <v>968</v>
      </c>
      <c r="C29" s="2681">
        <f ca="1">ROUND((C19+C20+C23+C26)/(1-F21-C24-C27-C28),0)</f>
        <v>0</v>
      </c>
      <c r="D29" s="2682"/>
      <c r="E29" s="2680"/>
      <c r="F29" s="2683"/>
      <c r="G29" s="2290"/>
      <c r="H29" s="720" t="s">
        <v>2368</v>
      </c>
      <c r="I29" s="721" t="s">
        <v>961</v>
      </c>
      <c r="J29" s="722">
        <f ca="1">ROUND(J26/(1+F40)^F41,0)</f>
        <v>0</v>
      </c>
      <c r="K29" s="723" t="s">
        <v>962</v>
      </c>
      <c r="L29" s="724"/>
      <c r="M29" s="725">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7" t="s">
        <v>2343</v>
      </c>
      <c r="B30" s="2668" t="s">
        <v>926</v>
      </c>
      <c r="C30" s="692">
        <f ca="1">ROUND(C31+C36+C37+C38,0)</f>
        <v>0</v>
      </c>
      <c r="D30" s="2677" t="s">
        <v>927</v>
      </c>
      <c r="E30" s="2678"/>
      <c r="F30" s="2629"/>
      <c r="G30" s="2289"/>
      <c r="H30" s="1277"/>
      <c r="I30" s="1278"/>
      <c r="J30" s="1279"/>
      <c r="K30" s="1280"/>
      <c r="L30" s="1281"/>
      <c r="M30" s="1282"/>
    </row>
    <row r="31" spans="1:37" ht="18" customHeight="1">
      <c r="A31" s="2439" t="s">
        <v>2378</v>
      </c>
      <c r="B31" s="684" t="s">
        <v>364</v>
      </c>
      <c r="C31" s="313">
        <f ca="1">ROUND(IF(项目基本情况!B11="自然人",C5*F31,C32+C33+C34),0)</f>
        <v>0</v>
      </c>
      <c r="D31" s="2720" t="s">
        <v>930</v>
      </c>
      <c r="E31" s="2721" t="s">
        <v>969</v>
      </c>
      <c r="F31" s="708">
        <f ca="1">IF(项目基本情况!B11="企业","",IF(INDIRECT("'数据-取费表'!c"&amp;$G$1)="住宅",5%,IF(F6*F7*F8/12/(1+'数据-取费表'!C42)&gt;20000,12%,7%)))</f>
        <v>7.0000000000000007E-2</v>
      </c>
      <c r="G31" s="2289"/>
      <c r="H31" s="1277"/>
      <c r="I31" s="1278"/>
      <c r="J31" s="1279"/>
      <c r="K31" s="1280"/>
      <c r="L31" s="1281"/>
      <c r="M31" s="1282"/>
    </row>
    <row r="32" spans="1:37" ht="18" customHeight="1">
      <c r="A32" s="2439" t="s">
        <v>2375</v>
      </c>
      <c r="B32" s="684" t="s">
        <v>932</v>
      </c>
      <c r="C32" s="313">
        <f ca="1">IF(项目基本情况!B11="自然人","——",ROUND(C5*F32/(1+'数据-取费表'!C42),0))</f>
        <v>0</v>
      </c>
      <c r="D32" s="2721" t="s">
        <v>933</v>
      </c>
      <c r="E32" s="684" t="s">
        <v>366</v>
      </c>
      <c r="F32" s="717">
        <f>'数据-取费表'!B41</f>
        <v>5.6000000000000001E-2</v>
      </c>
      <c r="G32" s="2289"/>
      <c r="H32" s="1283"/>
      <c r="I32" s="1284"/>
      <c r="J32" s="1285"/>
      <c r="K32" s="1286"/>
      <c r="L32" s="1287"/>
      <c r="M32" s="1288"/>
    </row>
    <row r="33" spans="1:18" ht="18" customHeight="1">
      <c r="A33" s="2439" t="s">
        <v>2611</v>
      </c>
      <c r="B33" s="684" t="s">
        <v>935</v>
      </c>
      <c r="C33" s="313">
        <f ca="1">IF(项目基本情况!B11="自然人","——",IF(D33="按租金收入计税",ROUND(C5*F33,0),IF(D33="按房产原值计税",ROUND(C29*F33*0.7,0),INDIRECT("'数据-取费表'!Aj"&amp;$G$1))))</f>
        <v>0</v>
      </c>
      <c r="D33" s="1300" t="s">
        <v>2419</v>
      </c>
      <c r="E33" s="684" t="s">
        <v>366</v>
      </c>
      <c r="F33" s="707">
        <f>IF(D33="按票据","——",IF(D33="按租金收入计税",'数据-取费表'!B51,'数据-取费表'!B50))</f>
        <v>1.2E-2</v>
      </c>
      <c r="G33" s="2289"/>
      <c r="H33" s="1289"/>
      <c r="I33" s="2885"/>
      <c r="J33" s="2886"/>
      <c r="K33" s="1290"/>
      <c r="L33" s="1289"/>
      <c r="M33" s="1289"/>
    </row>
    <row r="34" spans="1:18" ht="18" customHeight="1">
      <c r="A34" s="2623" t="s">
        <v>2612</v>
      </c>
      <c r="B34" s="496" t="s">
        <v>937</v>
      </c>
      <c r="C34" s="314">
        <f ca="1">IF(项目基本情况!B11="自然人","——",ROUND(F34*F35,))</f>
        <v>0</v>
      </c>
      <c r="D34" s="710" t="s">
        <v>938</v>
      </c>
      <c r="E34" s="684" t="s">
        <v>939</v>
      </c>
      <c r="F34" s="711">
        <f>'数据-取费表'!B52</f>
        <v>12</v>
      </c>
      <c r="G34" s="2289"/>
      <c r="H34" s="1277"/>
      <c r="I34" s="2885"/>
      <c r="J34" s="2886"/>
      <c r="K34" s="1291"/>
      <c r="L34" s="1292"/>
      <c r="M34" s="1292"/>
    </row>
    <row r="35" spans="1:18" ht="18" customHeight="1">
      <c r="A35" s="2697"/>
      <c r="B35" s="2695"/>
      <c r="C35" s="318"/>
      <c r="D35" s="713"/>
      <c r="E35" s="684" t="s">
        <v>943</v>
      </c>
      <c r="F35" s="685">
        <f ca="1">INDIRECT("'数据-取费表'!r"&amp;$G$1)</f>
        <v>0</v>
      </c>
      <c r="G35" s="2289"/>
      <c r="H35" s="1277"/>
      <c r="I35" s="2885"/>
      <c r="J35" s="2886"/>
      <c r="K35" s="1290"/>
      <c r="L35" s="1289"/>
      <c r="M35" s="1289"/>
    </row>
    <row r="36" spans="1:18" ht="18" customHeight="1">
      <c r="A36" s="2696" t="s">
        <v>2385</v>
      </c>
      <c r="B36" s="684" t="s">
        <v>945</v>
      </c>
      <c r="C36" s="313">
        <f ca="1">ROUND(C29*F36,0)</f>
        <v>0</v>
      </c>
      <c r="D36" s="2721" t="s">
        <v>975</v>
      </c>
      <c r="E36" s="684" t="s">
        <v>366</v>
      </c>
      <c r="F36" s="714">
        <f ca="1">INDIRECT("'数据-取费表'!Ak"&amp;$G$1)</f>
        <v>0</v>
      </c>
      <c r="G36" s="2289"/>
      <c r="H36" s="1289"/>
      <c r="I36" s="2885"/>
      <c r="J36" s="2886"/>
      <c r="K36" s="1293"/>
      <c r="L36" s="1289"/>
      <c r="M36" s="1289"/>
    </row>
    <row r="37" spans="1:18" ht="18" customHeight="1">
      <c r="A37" s="2439" t="s">
        <v>2616</v>
      </c>
      <c r="B37" s="684" t="s">
        <v>369</v>
      </c>
      <c r="C37" s="313">
        <f ca="1">ROUND(C13*F37,0)</f>
        <v>0</v>
      </c>
      <c r="D37" s="2721" t="s">
        <v>370</v>
      </c>
      <c r="E37" s="684" t="s">
        <v>366</v>
      </c>
      <c r="F37" s="716">
        <f ca="1">INDIRECT("'数据-取费表'!Al"&amp;$G$1)</f>
        <v>0</v>
      </c>
      <c r="G37" s="2289"/>
      <c r="H37" s="1289"/>
      <c r="I37" s="2885"/>
      <c r="J37" s="2886"/>
      <c r="K37" s="1293"/>
      <c r="L37" s="1289"/>
      <c r="M37" s="1289"/>
    </row>
    <row r="38" spans="1:18" ht="18" customHeight="1" thickBot="1">
      <c r="A38" s="2679" t="s">
        <v>2617</v>
      </c>
      <c r="B38" s="2680" t="s">
        <v>368</v>
      </c>
      <c r="C38" s="2681">
        <f ca="1">ROUND(C5*F38,1)</f>
        <v>0</v>
      </c>
      <c r="D38" s="2682" t="s">
        <v>372</v>
      </c>
      <c r="E38" s="2680" t="s">
        <v>366</v>
      </c>
      <c r="F38" s="2676">
        <f ca="1">INDIRECT("'数据-取费表'!Am"&amp;$G$1)</f>
        <v>0</v>
      </c>
      <c r="G38" s="2289"/>
      <c r="H38" s="1289"/>
      <c r="I38" s="2885"/>
      <c r="J38" s="2886"/>
      <c r="K38" s="1294"/>
      <c r="L38" s="1289"/>
      <c r="M38" s="1289"/>
    </row>
    <row r="39" spans="1:18" ht="24.6" customHeight="1" thickTop="1">
      <c r="A39" s="2667" t="s">
        <v>2358</v>
      </c>
      <c r="B39" s="2684" t="s">
        <v>378</v>
      </c>
      <c r="C39" s="692">
        <f ca="1">C5-C30</f>
        <v>0</v>
      </c>
      <c r="D39" s="2685" t="s">
        <v>379</v>
      </c>
      <c r="E39" s="2686"/>
      <c r="F39" s="2687"/>
      <c r="G39" s="2289"/>
      <c r="H39" s="1289"/>
      <c r="I39" s="2885"/>
      <c r="J39" s="2886"/>
      <c r="K39" s="1294"/>
      <c r="L39" s="1289"/>
      <c r="M39" s="1289"/>
    </row>
    <row r="40" spans="1:18" ht="18" customHeight="1">
      <c r="A40" s="681" t="s">
        <v>2361</v>
      </c>
      <c r="B40" s="682" t="s">
        <v>380</v>
      </c>
      <c r="C40" s="683" t="e">
        <f ca="1">ROUND(C39*(1-((1+F42)/(1+F40))^F41)/(F40-F42),0)</f>
        <v>#DIV/0!</v>
      </c>
      <c r="D40" s="710" t="s">
        <v>374</v>
      </c>
      <c r="E40" s="684" t="s">
        <v>375</v>
      </c>
      <c r="F40" s="694">
        <f ca="1">INDIRECT("'数据-取费表'!I"&amp;$G$1)</f>
        <v>0</v>
      </c>
      <c r="G40" s="2289"/>
      <c r="H40" s="1295"/>
      <c r="I40" s="2885"/>
      <c r="J40" s="2886"/>
      <c r="K40" s="1294"/>
      <c r="L40" s="1295"/>
      <c r="M40" s="1295"/>
    </row>
    <row r="41" spans="1:18" ht="18" customHeight="1">
      <c r="A41" s="686"/>
      <c r="B41" s="687"/>
      <c r="C41" s="688"/>
      <c r="D41" s="718" t="s">
        <v>381</v>
      </c>
      <c r="E41" s="684" t="s">
        <v>382</v>
      </c>
      <c r="F41" s="719">
        <f ca="1">IF(INDIRECT("'数据-取费表'!af"&amp;$G$1)=0,INDIRECT("'数据-取费表'!ae"&amp;$G$1),INDIRECT("'数据-取费表'!af"&amp;$G$1))</f>
        <v>0</v>
      </c>
      <c r="G41" s="2289"/>
      <c r="H41" s="1191"/>
      <c r="I41" s="2885"/>
      <c r="J41" s="2886"/>
      <c r="K41" s="1293"/>
      <c r="L41" s="1191"/>
      <c r="M41" s="1191"/>
    </row>
    <row r="42" spans="1:18" ht="18" customHeight="1">
      <c r="A42" s="690"/>
      <c r="B42" s="691"/>
      <c r="C42" s="692"/>
      <c r="D42" s="713"/>
      <c r="E42" s="684" t="s">
        <v>383</v>
      </c>
      <c r="F42" s="694">
        <f ca="1">INDIRECT("'数据-取费表'!v"&amp;$G$1)</f>
        <v>0</v>
      </c>
      <c r="G42" s="2289"/>
      <c r="H42" s="1191"/>
      <c r="I42" s="2885"/>
      <c r="J42" s="2886"/>
      <c r="K42" s="1293"/>
      <c r="L42" s="1191"/>
      <c r="M42" s="1191"/>
    </row>
    <row r="43" spans="1:18" ht="18" customHeight="1" thickBot="1">
      <c r="A43" s="720" t="s">
        <v>2368</v>
      </c>
      <c r="B43" s="721" t="s">
        <v>384</v>
      </c>
      <c r="C43" s="722" t="e">
        <f ca="1">ROUND(C40/F43,0)</f>
        <v>#DIV/0!</v>
      </c>
      <c r="D43" s="723" t="s">
        <v>385</v>
      </c>
      <c r="E43" s="724" t="s">
        <v>386</v>
      </c>
      <c r="F43" s="725">
        <f ca="1">INDIRECT("'数据-取费表'!k"&amp;$G$1)</f>
        <v>0</v>
      </c>
      <c r="G43" s="2289"/>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8" t="e">
        <f ca="1">C68-C40</f>
        <v>#DIV/0!</v>
      </c>
      <c r="D45" s="2729" t="s">
        <v>2627</v>
      </c>
      <c r="E45" s="1432"/>
      <c r="F45" s="1432"/>
      <c r="O45" s="2592" t="s">
        <v>2492</v>
      </c>
      <c r="P45" s="1295"/>
      <c r="Q45" s="1295"/>
      <c r="R45" s="1295"/>
    </row>
    <row r="46" spans="1:18" s="1454" customFormat="1" ht="21" thickBot="1">
      <c r="A46" s="2397" t="s">
        <v>2330</v>
      </c>
      <c r="B46" s="2398"/>
      <c r="C46" s="2726" t="e">
        <f ca="1">ROUND(C45/10000,0)</f>
        <v>#DIV/0!</v>
      </c>
      <c r="D46" s="2727" t="str">
        <f>C2</f>
        <v>万元</v>
      </c>
      <c r="I46" s="2579" t="s">
        <v>2427</v>
      </c>
      <c r="J46" s="2580"/>
      <c r="K46" s="2581"/>
      <c r="L46" s="2583" t="e">
        <f ca="1">IF(M47="住宅",0,IF(L48&gt;J51,L60,J60))</f>
        <v>#DIV/0!</v>
      </c>
      <c r="O46" s="2595" t="s">
        <v>2470</v>
      </c>
      <c r="P46" s="2596" t="s">
        <v>2471</v>
      </c>
      <c r="Q46" s="2597" t="s">
        <v>2469</v>
      </c>
      <c r="R46" s="2597" t="s">
        <v>2472</v>
      </c>
    </row>
    <row r="47" spans="1:18" s="1454" customFormat="1" ht="15.75" thickBot="1">
      <c r="A47" s="2399" t="s">
        <v>910</v>
      </c>
      <c r="B47" s="2435" t="s">
        <v>911</v>
      </c>
      <c r="C47" s="2435" t="s">
        <v>912</v>
      </c>
      <c r="D47" s="2435" t="s">
        <v>913</v>
      </c>
      <c r="E47" s="2538" t="s">
        <v>914</v>
      </c>
      <c r="F47" s="2539"/>
      <c r="G47" s="1456"/>
      <c r="I47" s="2554" t="s">
        <v>2420</v>
      </c>
      <c r="J47" s="2555"/>
      <c r="K47" s="2564" t="s">
        <v>2443</v>
      </c>
      <c r="L47" s="2565">
        <f ca="1">INDIRECT("'数据-取费表'!d"&amp;$G$1)</f>
        <v>0</v>
      </c>
      <c r="M47" s="2585" t="str">
        <f>IF(ISNUMBER(FIND("住宅",C1)),"住宅","非住宅")</f>
        <v>非住宅</v>
      </c>
      <c r="O47" s="2588" t="s">
        <v>2455</v>
      </c>
      <c r="P47" s="2598" t="s">
        <v>2473</v>
      </c>
      <c r="Q47" s="2589" t="e">
        <f ca="1">C40+J29</f>
        <v>#DIV/0!</v>
      </c>
      <c r="R47" s="2589" t="s">
        <v>2474</v>
      </c>
    </row>
    <row r="48" spans="1:18" s="1454" customFormat="1" ht="47.25" thickBot="1">
      <c r="A48" s="2712" t="s">
        <v>2622</v>
      </c>
      <c r="B48" s="682" t="s">
        <v>2337</v>
      </c>
      <c r="C48" s="2722">
        <f ca="1">C49+C53+C55</f>
        <v>0</v>
      </c>
      <c r="D48" s="2716"/>
      <c r="E48" s="2717"/>
      <c r="F48" s="2419"/>
      <c r="G48" s="1456"/>
      <c r="H48" s="1457"/>
      <c r="I48" s="2545" t="s">
        <v>2421</v>
      </c>
      <c r="J48" s="2556"/>
      <c r="K48" s="2566" t="s">
        <v>684</v>
      </c>
      <c r="L48" s="2169">
        <f ca="1">INDIRECT("'数据-取费表'!f"&amp;$G$1)</f>
        <v>0</v>
      </c>
      <c r="O48" s="2588" t="s">
        <v>2456</v>
      </c>
      <c r="P48" s="2598" t="s">
        <v>2475</v>
      </c>
      <c r="Q48" s="2589" t="e">
        <f ca="1">J60</f>
        <v>#DIV/0!</v>
      </c>
      <c r="R48" s="2589" t="s">
        <v>2483</v>
      </c>
    </row>
    <row r="49" spans="1:18" s="1454" customFormat="1" ht="15.75" thickBot="1">
      <c r="A49" s="2432" t="s">
        <v>2623</v>
      </c>
      <c r="B49" s="2715" t="s">
        <v>2625</v>
      </c>
      <c r="C49" s="2724">
        <f ca="1">ROUND(F49*F51*F50*(1-F52),0)</f>
        <v>0</v>
      </c>
      <c r="D49" s="2534" t="s">
        <v>2338</v>
      </c>
      <c r="E49" s="2537" t="s">
        <v>2331</v>
      </c>
      <c r="F49" s="2540"/>
      <c r="G49" s="1458"/>
      <c r="H49" s="1457"/>
      <c r="I49" s="2545" t="s">
        <v>2441</v>
      </c>
      <c r="J49" s="2557"/>
      <c r="K49" s="2567" t="s">
        <v>2446</v>
      </c>
      <c r="L49" s="2568"/>
      <c r="O49" s="2590" t="s">
        <v>2457</v>
      </c>
      <c r="P49" s="2598" t="s">
        <v>2476</v>
      </c>
      <c r="Q49" s="2589">
        <f ca="1">C29</f>
        <v>0</v>
      </c>
      <c r="R49" s="2589" t="s">
        <v>2474</v>
      </c>
    </row>
    <row r="50" spans="1:18" s="1454" customFormat="1" ht="15.75" thickBot="1">
      <c r="A50" s="2433"/>
      <c r="B50" s="2436"/>
      <c r="C50" s="2437"/>
      <c r="D50" s="2406"/>
      <c r="E50" s="2535" t="s">
        <v>916</v>
      </c>
      <c r="F50" s="2536">
        <f ca="1">F7</f>
        <v>0</v>
      </c>
      <c r="H50" s="1457"/>
      <c r="I50" s="2545" t="s">
        <v>2423</v>
      </c>
      <c r="J50" s="2558">
        <f>SUMPRODUCT((I63:I65=J47)*(J62:L62=J48)*(J63:L65))</f>
        <v>0</v>
      </c>
      <c r="K50" s="2567" t="s">
        <v>2447</v>
      </c>
      <c r="L50" s="2568"/>
      <c r="M50" s="2562"/>
      <c r="O50" s="2590" t="s">
        <v>2458</v>
      </c>
      <c r="P50" s="2598" t="s">
        <v>2484</v>
      </c>
      <c r="Q50" s="2591" t="e">
        <f ca="1">J58</f>
        <v>#DIV/0!</v>
      </c>
      <c r="R50" s="2589"/>
    </row>
    <row r="51" spans="1:18" s="1454" customFormat="1" ht="15.75" thickBot="1">
      <c r="A51" s="2434"/>
      <c r="B51" s="2436"/>
      <c r="C51" s="2437"/>
      <c r="D51" s="2406"/>
      <c r="E51" s="2438" t="s">
        <v>917</v>
      </c>
      <c r="F51" s="685">
        <f ca="1">F8</f>
        <v>0</v>
      </c>
      <c r="I51" s="2559" t="s">
        <v>2428</v>
      </c>
      <c r="J51" s="2560">
        <f>IF(J49="",J50,J49+J50-YEAR('数据-取费表'!B2))</f>
        <v>0</v>
      </c>
      <c r="K51" s="2569" t="s">
        <v>2448</v>
      </c>
      <c r="L51" s="2582">
        <f ca="1">ROUND(-PV(INDIRECT("'数据-取费表'!h"&amp;$G$1),L48,(C39-C13*C76),0),0)</f>
        <v>0</v>
      </c>
      <c r="M51" s="2563"/>
      <c r="O51" s="2590" t="s">
        <v>2459</v>
      </c>
      <c r="P51" s="2598" t="s">
        <v>2485</v>
      </c>
      <c r="Q51" s="2591">
        <f>J52</f>
        <v>0</v>
      </c>
      <c r="R51" s="2589"/>
    </row>
    <row r="52" spans="1:18" s="1454" customFormat="1" ht="15.75" thickBot="1">
      <c r="A52" s="2434"/>
      <c r="B52" s="2436"/>
      <c r="C52" s="2437"/>
      <c r="D52" s="2406"/>
      <c r="E52" s="2438" t="s">
        <v>918</v>
      </c>
      <c r="F52" s="2533"/>
      <c r="I52" s="2561" t="s">
        <v>2451</v>
      </c>
      <c r="J52" s="2575"/>
      <c r="K52" s="2561" t="s">
        <v>2436</v>
      </c>
      <c r="L52" s="2575"/>
      <c r="M52" s="2398"/>
      <c r="O52" s="2590" t="s">
        <v>2460</v>
      </c>
      <c r="P52" s="2598" t="s">
        <v>2477</v>
      </c>
      <c r="Q52" s="2589">
        <f ca="1">J53</f>
        <v>0</v>
      </c>
      <c r="R52" s="2589" t="s">
        <v>2478</v>
      </c>
    </row>
    <row r="53" spans="1:18" s="1454" customFormat="1" ht="43.5" thickBot="1">
      <c r="A53" s="2713" t="s">
        <v>2624</v>
      </c>
      <c r="B53" s="2714" t="s">
        <v>2534</v>
      </c>
      <c r="C53" s="698">
        <f ca="1">ROUND(IF(F53="押一",F49*F51*F50/12*F11,IF(F53="押二",F49*F51*F50/12*2*F11,IF(F53="押三",F49*F51*F50/12*3*F11,C54*F11))),0)</f>
        <v>0</v>
      </c>
      <c r="D53" s="2635" t="s">
        <v>2542</v>
      </c>
      <c r="E53" s="2098" t="s">
        <v>2536</v>
      </c>
      <c r="F53" s="2832"/>
      <c r="I53" s="2571" t="s">
        <v>2453</v>
      </c>
      <c r="J53" s="2572">
        <f ca="1">IF(M47="住宅",J51,MIN(J51,L48))</f>
        <v>0</v>
      </c>
      <c r="K53" s="35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9"/>
      <c r="O53" s="2588" t="s">
        <v>2461</v>
      </c>
      <c r="P53" s="2598" t="s">
        <v>2479</v>
      </c>
      <c r="Q53" s="2589" t="e">
        <f ca="1">Q47+Q48</f>
        <v>#DIV/0!</v>
      </c>
      <c r="R53" s="2589" t="s">
        <v>2462</v>
      </c>
    </row>
    <row r="54" spans="1:18" s="1454" customFormat="1" ht="16.5" thickBot="1">
      <c r="A54" s="2432"/>
      <c r="B54" s="2829" t="s">
        <v>2698</v>
      </c>
      <c r="C54" s="2416"/>
      <c r="D54" s="2635"/>
      <c r="E54" s="2779"/>
      <c r="F54" s="2541"/>
      <c r="I54" s="2413"/>
      <c r="J54" s="2570"/>
      <c r="K54" s="2570"/>
      <c r="L54" s="2570"/>
      <c r="M54" s="1458"/>
      <c r="O54" s="2592" t="s">
        <v>2486</v>
      </c>
      <c r="P54" s="1295"/>
      <c r="Q54" s="1295"/>
      <c r="R54" s="1295"/>
    </row>
    <row r="55" spans="1:18" s="1454" customFormat="1" ht="15.75" thickBot="1">
      <c r="A55" s="2671" t="s">
        <v>2547</v>
      </c>
      <c r="B55" s="2672" t="s">
        <v>2535</v>
      </c>
      <c r="C55" s="2673"/>
      <c r="D55" s="2635"/>
      <c r="E55" s="2718"/>
      <c r="F55" s="2541"/>
      <c r="I55" s="3321" t="s">
        <v>2429</v>
      </c>
      <c r="J55" s="3320" t="e">
        <f ca="1">ROUND(IF(J47="钢混",J57/J50,1-(1-2%)*(J50-J57)/J50),3)</f>
        <v>#DIV/0!</v>
      </c>
      <c r="K55" s="2552" t="s">
        <v>2430</v>
      </c>
      <c r="L55" s="2574"/>
      <c r="O55" s="2595" t="s">
        <v>2470</v>
      </c>
      <c r="P55" s="2596" t="s">
        <v>2471</v>
      </c>
      <c r="Q55" s="2597" t="s">
        <v>2469</v>
      </c>
      <c r="R55" s="2597" t="s">
        <v>2472</v>
      </c>
    </row>
    <row r="56" spans="1:18" s="1454" customFormat="1" ht="44.25" thickTop="1" thickBot="1">
      <c r="A56" s="2410">
        <v>2</v>
      </c>
      <c r="B56" s="2411" t="s">
        <v>919</v>
      </c>
      <c r="C56" s="608">
        <f ca="1">C13</f>
        <v>0</v>
      </c>
      <c r="D56" s="2699"/>
      <c r="E56" s="2412"/>
      <c r="F56" s="2541"/>
      <c r="I56" s="2544" t="s">
        <v>2431</v>
      </c>
      <c r="J56" s="2573"/>
      <c r="K56" s="2545" t="s">
        <v>2435</v>
      </c>
      <c r="L56" s="2169">
        <f ca="1">IF(L48&lt;J51,"——",L48-J51)</f>
        <v>0</v>
      </c>
      <c r="O56" s="2588" t="s">
        <v>2455</v>
      </c>
      <c r="P56" s="2598" t="s">
        <v>2473</v>
      </c>
      <c r="Q56" s="2589" t="e">
        <f ca="1">C40+J29</f>
        <v>#DIV/0!</v>
      </c>
      <c r="R56" s="2589" t="s">
        <v>2474</v>
      </c>
    </row>
    <row r="57" spans="1:18" s="1454" customFormat="1" ht="29.25" thickBot="1">
      <c r="A57" s="2542"/>
      <c r="B57" s="2403" t="s">
        <v>968</v>
      </c>
      <c r="C57" s="614">
        <f ca="1">C29</f>
        <v>0</v>
      </c>
      <c r="D57" s="2414"/>
      <c r="E57" s="2415"/>
      <c r="F57" s="2543"/>
      <c r="I57" s="2546" t="s">
        <v>2452</v>
      </c>
      <c r="J57" s="2550">
        <f ca="1">IF(OR(M47="住宅",J51&lt;L48,J56="是"),"——",J51-L48)</f>
        <v>0</v>
      </c>
      <c r="K57" s="2545" t="s">
        <v>2445</v>
      </c>
      <c r="L57" s="2169">
        <f ca="1">IF(L48&lt;J51,"——",IF(L55="比较法",L49,IF(L55="基准地价",L50,L51)))</f>
        <v>0</v>
      </c>
      <c r="O57" s="2588" t="s">
        <v>2456</v>
      </c>
      <c r="P57" s="2598" t="s">
        <v>2480</v>
      </c>
      <c r="Q57" s="2589" t="e">
        <f ca="1">L60</f>
        <v>#DIV/0!</v>
      </c>
      <c r="R57" s="2589" t="s">
        <v>2495</v>
      </c>
    </row>
    <row r="58" spans="1:18" s="1454" customFormat="1" ht="29.25" thickBot="1">
      <c r="A58" s="697" t="s">
        <v>2343</v>
      </c>
      <c r="B58" s="2411" t="s">
        <v>926</v>
      </c>
      <c r="C58" s="698">
        <f ca="1">ROUND(C59+C64+C65+C66,0)</f>
        <v>0</v>
      </c>
      <c r="D58" s="2417" t="s">
        <v>927</v>
      </c>
      <c r="E58" s="2418"/>
      <c r="F58" s="2419"/>
      <c r="I58" s="2546" t="s">
        <v>2432</v>
      </c>
      <c r="J58" s="3322" t="e">
        <f ca="1">IF(J55&lt;0.4,0.4,J55)</f>
        <v>#DIV/0!</v>
      </c>
      <c r="K58" s="2569" t="s">
        <v>2454</v>
      </c>
      <c r="L58" s="2169">
        <f ca="1">IF(ISERROR(POWER(1+L52,L47-L48)*(POWER(1+L52,L48)-1)/(POWER(1+L52,L47)-1)),0,POWER(1+L52,L47-L48)*(POWER(1+L52,L48)-1)/(POWER(1+L52,L47)-1))</f>
        <v>0</v>
      </c>
      <c r="O58" s="2590" t="s">
        <v>2457</v>
      </c>
      <c r="P58" s="2598" t="s">
        <v>2487</v>
      </c>
      <c r="Q58" s="2589">
        <f>IF(L55="比较法",L49,IF(L55="基准地价",L50,0))</f>
        <v>0</v>
      </c>
      <c r="R58" s="2589" t="s">
        <v>2474</v>
      </c>
    </row>
    <row r="59" spans="1:18" s="1454" customFormat="1" ht="29.25" thickBot="1">
      <c r="A59" s="2439" t="s">
        <v>2378</v>
      </c>
      <c r="B59" s="2403" t="s">
        <v>364</v>
      </c>
      <c r="C59" s="313">
        <f ca="1">ROUND(IF(项目基本情况!B11="自然人",C48*F59,C60+C61+C62),0)</f>
        <v>0</v>
      </c>
      <c r="D59" s="2420" t="s">
        <v>930</v>
      </c>
      <c r="E59" s="2421" t="s">
        <v>931</v>
      </c>
      <c r="F59" s="708">
        <f ca="1">IF(项目基本情况!B11="企业","",IF(INDIRECT("'数据-取费表'!c"&amp;$G$1)="住宅",5%,IF(F49*F50*F51/12/(1+'数据-取费表'!C42)&gt;20000,12%,7%)))</f>
        <v>7.0000000000000007E-2</v>
      </c>
      <c r="I59" s="2546" t="s">
        <v>2433</v>
      </c>
      <c r="J59" s="2550" t="e">
        <f ca="1">IF(OR(M47="住宅",J51&lt;L48,J56="是"),"——",ROUND(C29*J58,0))</f>
        <v>#DIV/0!</v>
      </c>
      <c r="K59" s="2569" t="s">
        <v>2442</v>
      </c>
      <c r="L59" s="2169">
        <f ca="1">IF(ISERROR(POWER(1+L52,L47-J51)*(POWER(1+L52,J51)-1)/(POWER(1+L52,L47)-1)),0,POWER(1+L52,L47-J51)*(POWER(1+L52,J51)-1)/(POWER(1+L52,L47)-1))</f>
        <v>0</v>
      </c>
      <c r="O59" s="2590" t="s">
        <v>2458</v>
      </c>
      <c r="P59" s="2598" t="s">
        <v>2488</v>
      </c>
      <c r="Q59" s="2591">
        <f>L52</f>
        <v>0</v>
      </c>
      <c r="R59" s="2589"/>
    </row>
    <row r="60" spans="1:18" s="1454" customFormat="1" ht="20.25" thickBot="1">
      <c r="A60" s="2439" t="s">
        <v>2375</v>
      </c>
      <c r="B60" s="2403" t="s">
        <v>932</v>
      </c>
      <c r="C60" s="313">
        <f ca="1">IF(项目基本情况!B11="自然人","——",ROUND(C48*F60/(1+'数据-取费表'!C42),0))</f>
        <v>0</v>
      </c>
      <c r="D60" s="2421" t="s">
        <v>933</v>
      </c>
      <c r="E60" s="2403" t="s">
        <v>366</v>
      </c>
      <c r="F60" s="717">
        <f t="shared" ref="F60:F66" si="0">F32</f>
        <v>5.6000000000000001E-2</v>
      </c>
      <c r="I60" s="2547" t="s">
        <v>2434</v>
      </c>
      <c r="J60" s="2551" t="e">
        <f ca="1">IF(OR(M47="住宅",J51&lt;L48,J56="是"),"0",ROUND(J59/(1+J52)^J53,0))</f>
        <v>#DIV/0!</v>
      </c>
      <c r="K60" s="2553" t="s">
        <v>2437</v>
      </c>
      <c r="L60" s="2551" t="e">
        <f ca="1">IF(OR(M47="住宅",L48&lt;J51),0,ROUND(L57*(L58/L59-1),0))</f>
        <v>#DIV/0!</v>
      </c>
      <c r="O60" s="2590" t="s">
        <v>2459</v>
      </c>
      <c r="P60" s="2598" t="s">
        <v>2489</v>
      </c>
      <c r="Q60" s="2589">
        <f ca="1">L58</f>
        <v>0</v>
      </c>
      <c r="R60" s="2589" t="s">
        <v>2464</v>
      </c>
    </row>
    <row r="61" spans="1:18" s="1454" customFormat="1" ht="20.25" thickBot="1">
      <c r="A61" s="2439" t="s">
        <v>2376</v>
      </c>
      <c r="B61" s="2403" t="s">
        <v>935</v>
      </c>
      <c r="C61" s="313">
        <f ca="1">IF(项目基本情况!B11="自然人","——",IF(D61="按租金收入计税",ROUND(C48*F61,0),IF(D61="按房产原值计税",ROUND(C57*F61*0.7,0),INDIRECT("'数据-取费表'!Aj"&amp;$G$1))))</f>
        <v>0</v>
      </c>
      <c r="D61" s="1300" t="s">
        <v>2419</v>
      </c>
      <c r="E61" s="2403" t="s">
        <v>366</v>
      </c>
      <c r="F61" s="707">
        <f t="shared" si="0"/>
        <v>1.2E-2</v>
      </c>
      <c r="I61" s="2413"/>
      <c r="J61" s="2413"/>
      <c r="K61" s="2413"/>
      <c r="L61" s="2413"/>
      <c r="O61" s="2590" t="s">
        <v>2460</v>
      </c>
      <c r="P61" s="2598" t="s">
        <v>2490</v>
      </c>
      <c r="Q61" s="2589">
        <f ca="1">L59</f>
        <v>0</v>
      </c>
      <c r="R61" s="2589" t="s">
        <v>2465</v>
      </c>
    </row>
    <row r="62" spans="1:18" s="1454" customFormat="1" ht="15.75" thickBot="1">
      <c r="A62" s="2439" t="s">
        <v>2377</v>
      </c>
      <c r="B62" s="2402" t="s">
        <v>937</v>
      </c>
      <c r="C62" s="314">
        <f ca="1">IF(项目基本情况!B11="自然人","——",ROUND(F62*F63,0))</f>
        <v>0</v>
      </c>
      <c r="D62" s="2422" t="s">
        <v>938</v>
      </c>
      <c r="E62" s="2403" t="s">
        <v>939</v>
      </c>
      <c r="F62" s="711">
        <f t="shared" si="0"/>
        <v>12</v>
      </c>
      <c r="I62" s="2548" t="s">
        <v>2424</v>
      </c>
      <c r="J62" s="2549" t="s">
        <v>2425</v>
      </c>
      <c r="K62" s="2549" t="s">
        <v>2426</v>
      </c>
      <c r="L62" s="2549" t="s">
        <v>2422</v>
      </c>
      <c r="M62" s="3323" t="s">
        <v>3044</v>
      </c>
      <c r="O62" s="2588" t="s">
        <v>2461</v>
      </c>
      <c r="P62" s="2598" t="s">
        <v>2479</v>
      </c>
      <c r="Q62" s="2589" t="e">
        <f ca="1">Q56+Q57</f>
        <v>#DIV/0!</v>
      </c>
      <c r="R62" s="2589" t="s">
        <v>2462</v>
      </c>
    </row>
    <row r="63" spans="1:18" s="1454" customFormat="1" ht="16.5" thickBot="1">
      <c r="A63" s="712"/>
      <c r="B63" s="2409"/>
      <c r="C63" s="318"/>
      <c r="D63" s="2423"/>
      <c r="E63" s="2403" t="s">
        <v>943</v>
      </c>
      <c r="F63" s="685">
        <f t="shared" ca="1" si="0"/>
        <v>0</v>
      </c>
      <c r="I63" s="2548" t="s">
        <v>2438</v>
      </c>
      <c r="J63" s="3326">
        <v>70</v>
      </c>
      <c r="K63" s="3326">
        <v>50</v>
      </c>
      <c r="L63" s="3326">
        <v>80</v>
      </c>
      <c r="M63" s="3324">
        <v>0.02</v>
      </c>
      <c r="O63" s="2592" t="s">
        <v>2493</v>
      </c>
      <c r="P63" s="1295"/>
      <c r="Q63" s="1295"/>
      <c r="R63" s="1295"/>
    </row>
    <row r="64" spans="1:18" s="1454" customFormat="1" ht="15.75" thickBot="1">
      <c r="A64" s="2439" t="s">
        <v>2385</v>
      </c>
      <c r="B64" s="2403" t="s">
        <v>945</v>
      </c>
      <c r="C64" s="313">
        <f ca="1">ROUND(C57*F64,0)</f>
        <v>0</v>
      </c>
      <c r="D64" s="2421" t="s">
        <v>975</v>
      </c>
      <c r="E64" s="2403" t="s">
        <v>366</v>
      </c>
      <c r="F64" s="714">
        <f t="shared" ca="1" si="0"/>
        <v>0</v>
      </c>
      <c r="I64" s="2548" t="s">
        <v>107</v>
      </c>
      <c r="J64" s="3326">
        <v>50</v>
      </c>
      <c r="K64" s="3326">
        <v>35</v>
      </c>
      <c r="L64" s="3326">
        <v>60</v>
      </c>
      <c r="M64" s="3325">
        <v>0</v>
      </c>
      <c r="O64" s="2595" t="s">
        <v>2470</v>
      </c>
      <c r="P64" s="2596" t="s">
        <v>2471</v>
      </c>
      <c r="Q64" s="2597" t="s">
        <v>2469</v>
      </c>
      <c r="R64" s="2597" t="s">
        <v>2472</v>
      </c>
    </row>
    <row r="65" spans="1:18" s="1454" customFormat="1" ht="15.75" thickBot="1">
      <c r="A65" s="2439" t="s">
        <v>2379</v>
      </c>
      <c r="B65" s="2403" t="s">
        <v>369</v>
      </c>
      <c r="C65" s="313">
        <f ca="1">ROUND(C56*F65,0)</f>
        <v>0</v>
      </c>
      <c r="D65" s="2421" t="s">
        <v>370</v>
      </c>
      <c r="E65" s="2403" t="s">
        <v>366</v>
      </c>
      <c r="F65" s="716">
        <f t="shared" ca="1" si="0"/>
        <v>0</v>
      </c>
      <c r="I65" s="2548" t="s">
        <v>2440</v>
      </c>
      <c r="J65" s="3326">
        <v>40</v>
      </c>
      <c r="K65" s="3326">
        <v>30</v>
      </c>
      <c r="L65" s="3326">
        <v>50</v>
      </c>
      <c r="M65" s="3324">
        <v>0.02</v>
      </c>
      <c r="O65" s="2588" t="s">
        <v>2455</v>
      </c>
      <c r="P65" s="2598" t="s">
        <v>2473</v>
      </c>
      <c r="Q65" s="2589" t="e">
        <f ca="1">C40+J29</f>
        <v>#DIV/0!</v>
      </c>
      <c r="R65" s="2589" t="s">
        <v>2474</v>
      </c>
    </row>
    <row r="66" spans="1:18" s="1454" customFormat="1" ht="20.25" thickBot="1">
      <c r="A66" s="2439" t="s">
        <v>2380</v>
      </c>
      <c r="B66" s="2403" t="s">
        <v>368</v>
      </c>
      <c r="C66" s="313">
        <f ca="1">ROUND(C48*F66,0)</f>
        <v>0</v>
      </c>
      <c r="D66" s="2421" t="s">
        <v>372</v>
      </c>
      <c r="E66" s="2403" t="s">
        <v>366</v>
      </c>
      <c r="F66" s="694">
        <f t="shared" ca="1" si="0"/>
        <v>0</v>
      </c>
      <c r="O66" s="2588" t="s">
        <v>2456</v>
      </c>
      <c r="P66" s="2598" t="s">
        <v>2480</v>
      </c>
      <c r="Q66" s="2589" t="e">
        <f ca="1">L60</f>
        <v>#DIV/0!</v>
      </c>
      <c r="R66" s="2589" t="s">
        <v>2463</v>
      </c>
    </row>
    <row r="67" spans="1:18" s="1454" customFormat="1" ht="24.75" thickBot="1">
      <c r="A67" s="2410" t="s">
        <v>2358</v>
      </c>
      <c r="B67" s="2424" t="s">
        <v>378</v>
      </c>
      <c r="C67" s="698">
        <f ca="1">C48-C58</f>
        <v>0</v>
      </c>
      <c r="D67" s="2420" t="s">
        <v>379</v>
      </c>
      <c r="E67" s="2425"/>
      <c r="F67" s="2426"/>
      <c r="O67" s="2590" t="s">
        <v>2457</v>
      </c>
      <c r="P67" s="2598" t="s">
        <v>2487</v>
      </c>
      <c r="Q67" s="2593">
        <f ca="1">L51</f>
        <v>0</v>
      </c>
      <c r="R67" s="2594" t="s">
        <v>2497</v>
      </c>
    </row>
    <row r="68" spans="1:18" s="1454" customFormat="1" ht="20.25" thickBot="1">
      <c r="A68" s="2400" t="s">
        <v>2361</v>
      </c>
      <c r="B68" s="2401" t="s">
        <v>380</v>
      </c>
      <c r="C68" s="683" t="e">
        <f ca="1">ROUND(C67*(1-((1+F70)/(1+F68))^F69)/(F68-F70),0)</f>
        <v>#DIV/0!</v>
      </c>
      <c r="D68" s="2422" t="s">
        <v>374</v>
      </c>
      <c r="E68" s="2403" t="s">
        <v>375</v>
      </c>
      <c r="F68" s="694">
        <f ca="1">F40</f>
        <v>0</v>
      </c>
      <c r="O68" s="2590" t="s">
        <v>2458</v>
      </c>
      <c r="P68" s="2599" t="s">
        <v>2491</v>
      </c>
      <c r="Q68" s="2589">
        <f ca="1">ROUND(Q69-Q70*Q71,0)</f>
        <v>0</v>
      </c>
      <c r="R68" s="2589" t="s">
        <v>2496</v>
      </c>
    </row>
    <row r="69" spans="1:18" s="1454" customFormat="1" ht="15.75" thickBot="1">
      <c r="A69" s="2404"/>
      <c r="B69" s="2405"/>
      <c r="C69" s="688"/>
      <c r="D69" s="2427" t="s">
        <v>960</v>
      </c>
      <c r="E69" s="2403" t="s">
        <v>382</v>
      </c>
      <c r="F69" s="719">
        <f ca="1">F41</f>
        <v>0</v>
      </c>
      <c r="O69" s="2590" t="s">
        <v>2466</v>
      </c>
      <c r="P69" s="2599" t="s">
        <v>2481</v>
      </c>
      <c r="Q69" s="2589">
        <f ca="1">C39</f>
        <v>0</v>
      </c>
      <c r="R69" s="2589" t="s">
        <v>2474</v>
      </c>
    </row>
    <row r="70" spans="1:18" s="1454" customFormat="1" ht="15.75" thickBot="1">
      <c r="A70" s="2407"/>
      <c r="B70" s="2408"/>
      <c r="C70" s="692"/>
      <c r="D70" s="2423"/>
      <c r="E70" s="2403" t="s">
        <v>383</v>
      </c>
      <c r="F70" s="2533">
        <f ca="1">F42</f>
        <v>0</v>
      </c>
      <c r="O70" s="2590" t="s">
        <v>2467</v>
      </c>
      <c r="P70" s="2599" t="s">
        <v>2482</v>
      </c>
      <c r="Q70" s="2589">
        <f ca="1">C13</f>
        <v>0</v>
      </c>
      <c r="R70" s="2589" t="s">
        <v>2474</v>
      </c>
    </row>
    <row r="71" spans="1:18" s="1454" customFormat="1" ht="15.75" thickBot="1">
      <c r="A71" s="2428" t="s">
        <v>2368</v>
      </c>
      <c r="B71" s="2429" t="s">
        <v>384</v>
      </c>
      <c r="C71" s="722" t="e">
        <f ca="1">ROUND(C68/F71,0)</f>
        <v>#DIV/0!</v>
      </c>
      <c r="D71" s="2430" t="s">
        <v>385</v>
      </c>
      <c r="E71" s="2431" t="s">
        <v>386</v>
      </c>
      <c r="F71" s="725">
        <f ca="1">F43</f>
        <v>0</v>
      </c>
      <c r="I71" s="2398"/>
      <c r="K71" s="2398"/>
      <c r="O71" s="2590" t="s">
        <v>2468</v>
      </c>
      <c r="P71" s="2599" t="s">
        <v>2494</v>
      </c>
      <c r="Q71" s="2591">
        <f ca="1">C76</f>
        <v>0</v>
      </c>
      <c r="R71" s="2589"/>
    </row>
    <row r="72" spans="1:18" s="1454" customFormat="1" ht="15.75" thickBot="1">
      <c r="B72" s="1459"/>
      <c r="C72" s="1459"/>
      <c r="I72" s="2398"/>
      <c r="O72" s="2590" t="s">
        <v>2459</v>
      </c>
      <c r="P72" s="2598" t="s">
        <v>2488</v>
      </c>
      <c r="Q72" s="2591">
        <f>L52</f>
        <v>0</v>
      </c>
      <c r="R72" s="2589"/>
    </row>
    <row r="73" spans="1:18" ht="20.25" thickBot="1">
      <c r="A73" s="1454"/>
      <c r="B73" s="1459"/>
      <c r="C73" s="1459"/>
      <c r="D73" s="1454"/>
      <c r="E73" s="1454"/>
      <c r="F73" s="1454"/>
      <c r="I73" s="2584"/>
      <c r="O73" s="2590" t="s">
        <v>2460</v>
      </c>
      <c r="P73" s="2598" t="s">
        <v>2489</v>
      </c>
      <c r="Q73" s="2589">
        <f ca="1">L58</f>
        <v>0</v>
      </c>
      <c r="R73" s="2589" t="s">
        <v>2464</v>
      </c>
    </row>
    <row r="74" spans="1:18" ht="20.25" thickBot="1">
      <c r="A74" s="1454"/>
      <c r="B74" s="727" t="s">
        <v>387</v>
      </c>
      <c r="C74" s="728"/>
      <c r="D74" s="1454"/>
      <c r="E74" s="1454"/>
      <c r="F74" s="1454"/>
      <c r="O74" s="2590" t="s">
        <v>2498</v>
      </c>
      <c r="P74" s="2598" t="s">
        <v>2490</v>
      </c>
      <c r="Q74" s="2589">
        <f ca="1">L59</f>
        <v>0</v>
      </c>
      <c r="R74" s="2589" t="s">
        <v>2465</v>
      </c>
    </row>
    <row r="75" spans="1:18" ht="15.75" thickBot="1">
      <c r="A75" s="1454"/>
      <c r="B75" s="729" t="s">
        <v>973</v>
      </c>
      <c r="C75" s="730">
        <f ca="1">ROUND(C13*C76,0)</f>
        <v>0</v>
      </c>
      <c r="D75" s="1454"/>
      <c r="E75" s="1454"/>
      <c r="F75" s="1454"/>
      <c r="K75" s="1455"/>
      <c r="L75" s="1454"/>
      <c r="O75" s="2588" t="s">
        <v>2461</v>
      </c>
      <c r="P75" s="2598" t="s">
        <v>2479</v>
      </c>
      <c r="Q75" s="2589" t="e">
        <f ca="1">Q65+Q66</f>
        <v>#DIV/0!</v>
      </c>
      <c r="R75" s="2589" t="s">
        <v>2462</v>
      </c>
    </row>
    <row r="76" spans="1:18">
      <c r="B76" s="731" t="s">
        <v>974</v>
      </c>
      <c r="C76" s="732">
        <f ca="1">INDIRECT("'数据-取费表'!j"&amp;$G$1)</f>
        <v>0</v>
      </c>
      <c r="I76" s="1454"/>
      <c r="J76" s="1454"/>
      <c r="K76" s="1455"/>
      <c r="L76" s="1454"/>
    </row>
    <row r="77" spans="1:18">
      <c r="B77" s="733" t="s">
        <v>977</v>
      </c>
      <c r="C77" s="734"/>
      <c r="I77" s="1454"/>
      <c r="J77" s="1454"/>
      <c r="K77" s="1455"/>
      <c r="L77" s="1454"/>
    </row>
    <row r="78" spans="1:18">
      <c r="B78" s="646" t="s">
        <v>963</v>
      </c>
      <c r="C78" s="735"/>
    </row>
    <row r="79" spans="1:18">
      <c r="B79" s="2877" t="s">
        <v>2705</v>
      </c>
      <c r="C79" s="650" t="e">
        <f ca="1">1-C80</f>
        <v>#DIV/0!</v>
      </c>
    </row>
    <row r="80" spans="1:18">
      <c r="B80" s="2877" t="s">
        <v>2706</v>
      </c>
      <c r="C80" s="650" t="e">
        <f ca="1">ROUND(C75/C39,3)</f>
        <v>#DIV/0!</v>
      </c>
    </row>
    <row r="81" spans="2:3">
      <c r="B81" s="646" t="s">
        <v>388</v>
      </c>
      <c r="C81" s="647"/>
    </row>
    <row r="82" spans="2:3">
      <c r="B82" s="2876" t="s">
        <v>2703</v>
      </c>
      <c r="C82" s="651" t="e">
        <f ca="1">1-C83</f>
        <v>#DIV/0!</v>
      </c>
    </row>
    <row r="83" spans="2:3">
      <c r="B83" s="2876" t="s">
        <v>2702</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4" t="s">
        <v>2676</v>
      </c>
      <c r="B1" s="2785"/>
      <c r="C1" s="2785"/>
      <c r="D1" s="2785"/>
      <c r="E1" s="2786"/>
    </row>
    <row r="2" spans="1:5" ht="14.25">
      <c r="A2" s="2787" t="s">
        <v>2677</v>
      </c>
      <c r="B2" s="2781">
        <f ca="1">SUMIF(B6:B13,"&lt;&gt;#ref!",B6:B13)</f>
        <v>7374</v>
      </c>
      <c r="C2" s="2782" t="s">
        <v>2674</v>
      </c>
      <c r="D2" s="2783" t="s">
        <v>2679</v>
      </c>
      <c r="E2" s="2791">
        <f>SUM(E6:E13)</f>
        <v>7148.0899999999992</v>
      </c>
    </row>
    <row r="3" spans="1:5" ht="14.25">
      <c r="A3" s="2787" t="s">
        <v>2678</v>
      </c>
      <c r="B3" s="2781">
        <f ca="1">ROUND(B2*10000/E2,0)</f>
        <v>10316</v>
      </c>
      <c r="C3" s="2782" t="s">
        <v>2675</v>
      </c>
      <c r="D3" s="2788"/>
      <c r="E3" s="2792"/>
    </row>
    <row r="4" spans="1:5" ht="14.25">
      <c r="A4" s="2795"/>
      <c r="B4" s="2788"/>
      <c r="C4" s="2788"/>
      <c r="D4" s="2788"/>
      <c r="E4" s="2792"/>
    </row>
    <row r="5" spans="1:5">
      <c r="A5" s="2799" t="s">
        <v>2681</v>
      </c>
      <c r="B5" s="3533" t="s">
        <v>2683</v>
      </c>
      <c r="C5" s="3533"/>
      <c r="D5" s="2798"/>
      <c r="E5" s="2800" t="s">
        <v>2682</v>
      </c>
    </row>
    <row r="6" spans="1:5">
      <c r="A6" s="2796" t="str">
        <f>'数据-取费表'!AN6</f>
        <v>收益法</v>
      </c>
      <c r="B6" s="2790">
        <f ca="1">'数据-取费表'!AO6</f>
        <v>7374</v>
      </c>
      <c r="C6" s="2782" t="s">
        <v>2674</v>
      </c>
      <c r="D6" s="2788"/>
      <c r="E6" s="2791">
        <f>IF(A6=0,0,'数据-取费表'!K6+'数据-取费表'!S6)</f>
        <v>7148.0899999999992</v>
      </c>
    </row>
    <row r="7" spans="1:5">
      <c r="A7" s="2796">
        <f>'数据-取费表'!AN7</f>
        <v>0</v>
      </c>
      <c r="B7" s="2790" t="e">
        <f ca="1">'数据-取费表'!AO7</f>
        <v>#REF!</v>
      </c>
      <c r="C7" s="2782" t="s">
        <v>2674</v>
      </c>
      <c r="D7" s="2788"/>
      <c r="E7" s="2791">
        <f>IF(A7=0,0,'数据-取费表'!K7+'数据-取费表'!S7)</f>
        <v>0</v>
      </c>
    </row>
    <row r="8" spans="1:5">
      <c r="A8" s="2796">
        <f>'数据-取费表'!AN8</f>
        <v>0</v>
      </c>
      <c r="B8" s="2790" t="e">
        <f ca="1">'数据-取费表'!AO8</f>
        <v>#REF!</v>
      </c>
      <c r="C8" s="2782" t="s">
        <v>2674</v>
      </c>
      <c r="D8" s="2788"/>
      <c r="E8" s="2791">
        <f>IF(A8=0,0,'数据-取费表'!K8+'数据-取费表'!S8)</f>
        <v>0</v>
      </c>
    </row>
    <row r="9" spans="1:5">
      <c r="A9" s="2796">
        <f>'数据-取费表'!AN9</f>
        <v>0</v>
      </c>
      <c r="B9" s="2790" t="e">
        <f ca="1">'数据-取费表'!AO9</f>
        <v>#REF!</v>
      </c>
      <c r="C9" s="2782" t="s">
        <v>2674</v>
      </c>
      <c r="D9" s="2788"/>
      <c r="E9" s="2791">
        <f>IF(A9=0,0,'数据-取费表'!K9+'数据-取费表'!S9)</f>
        <v>0</v>
      </c>
    </row>
    <row r="10" spans="1:5">
      <c r="A10" s="2796">
        <f>'数据-取费表'!AN10</f>
        <v>0</v>
      </c>
      <c r="B10" s="2790" t="e">
        <f ca="1">'数据-取费表'!AO10</f>
        <v>#REF!</v>
      </c>
      <c r="C10" s="2782" t="s">
        <v>2674</v>
      </c>
      <c r="D10" s="2788"/>
      <c r="E10" s="2791">
        <f>IF(A10=0,0,'数据-取费表'!K10+'数据-取费表'!S10)</f>
        <v>0</v>
      </c>
    </row>
    <row r="11" spans="1:5">
      <c r="A11" s="2796">
        <f>'数据-取费表'!AN11</f>
        <v>0</v>
      </c>
      <c r="B11" s="2790" t="e">
        <f ca="1">'数据-取费表'!AO11</f>
        <v>#REF!</v>
      </c>
      <c r="C11" s="2782" t="s">
        <v>2674</v>
      </c>
      <c r="D11" s="2788"/>
      <c r="E11" s="2791">
        <f>IF(A11=0,0,'数据-取费表'!K11+'数据-取费表'!S11)</f>
        <v>0</v>
      </c>
    </row>
    <row r="12" spans="1:5">
      <c r="A12" s="2796">
        <f>'数据-取费表'!AN12</f>
        <v>0</v>
      </c>
      <c r="B12" s="2790" t="e">
        <f ca="1">'数据-取费表'!AO12</f>
        <v>#REF!</v>
      </c>
      <c r="C12" s="2782" t="s">
        <v>2674</v>
      </c>
      <c r="D12" s="2788"/>
      <c r="E12" s="2791">
        <f>IF(A12=0,0,'数据-取费表'!K12+'数据-取费表'!S12)</f>
        <v>0</v>
      </c>
    </row>
    <row r="13" spans="1:5" ht="14.25" thickBot="1">
      <c r="A13" s="2797">
        <f>'数据-取费表'!AN13</f>
        <v>0</v>
      </c>
      <c r="B13" s="2793" t="e">
        <f ca="1">'数据-取费表'!AO13</f>
        <v>#REF!</v>
      </c>
      <c r="C13" s="2801" t="s">
        <v>2674</v>
      </c>
      <c r="D13" s="2789"/>
      <c r="E13" s="2794">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34" t="s">
        <v>2551</v>
      </c>
      <c r="B1" s="3535"/>
      <c r="C1" s="3536"/>
      <c r="D1" s="3537">
        <f>SUM(I10,I15,I20,I21,I23)</f>
        <v>0</v>
      </c>
      <c r="E1" s="3537"/>
      <c r="F1" s="3537"/>
      <c r="G1" s="3537"/>
      <c r="H1" s="3537"/>
      <c r="I1" s="3538"/>
    </row>
    <row r="2" spans="1:9">
      <c r="A2" s="3539" t="s">
        <v>2552</v>
      </c>
      <c r="B2" s="3540" t="s">
        <v>2553</v>
      </c>
      <c r="C2" s="3540"/>
      <c r="D2" s="2639" t="s">
        <v>2554</v>
      </c>
      <c r="E2" s="2639" t="s">
        <v>2555</v>
      </c>
      <c r="F2" s="2639" t="s">
        <v>2556</v>
      </c>
      <c r="G2" s="2639" t="s">
        <v>2557</v>
      </c>
      <c r="H2" s="2639" t="s">
        <v>2558</v>
      </c>
      <c r="I2" s="2640" t="s">
        <v>2559</v>
      </c>
    </row>
    <row r="3" spans="1:9">
      <c r="A3" s="3539"/>
      <c r="B3" s="3540" t="s">
        <v>2560</v>
      </c>
      <c r="C3" s="3540"/>
      <c r="D3" s="2641"/>
      <c r="E3" s="2639"/>
      <c r="F3" s="2642"/>
      <c r="G3" s="2642"/>
      <c r="H3" s="2643"/>
      <c r="I3" s="2644">
        <f>ROUND(D3*E3*F3*G3*H3/10000,0)</f>
        <v>0</v>
      </c>
    </row>
    <row r="4" spans="1:9">
      <c r="A4" s="3539"/>
      <c r="B4" s="3540" t="s">
        <v>2561</v>
      </c>
      <c r="C4" s="3540"/>
      <c r="D4" s="2641"/>
      <c r="E4" s="2639"/>
      <c r="F4" s="2642"/>
      <c r="G4" s="2642"/>
      <c r="H4" s="2643"/>
      <c r="I4" s="2644">
        <f t="shared" ref="I4:I9" si="0">ROUND(D4*E4*F4*G4*H4/10000,0)</f>
        <v>0</v>
      </c>
    </row>
    <row r="5" spans="1:9">
      <c r="A5" s="3539"/>
      <c r="B5" s="3540" t="s">
        <v>2562</v>
      </c>
      <c r="C5" s="3540"/>
      <c r="D5" s="2641"/>
      <c r="E5" s="2639"/>
      <c r="F5" s="2642"/>
      <c r="G5" s="2642"/>
      <c r="H5" s="2643"/>
      <c r="I5" s="2644">
        <f t="shared" si="0"/>
        <v>0</v>
      </c>
    </row>
    <row r="6" spans="1:9">
      <c r="A6" s="3539"/>
      <c r="B6" s="3540" t="s">
        <v>2563</v>
      </c>
      <c r="C6" s="3540"/>
      <c r="D6" s="2641"/>
      <c r="E6" s="2639"/>
      <c r="F6" s="2642"/>
      <c r="G6" s="2642"/>
      <c r="H6" s="2643"/>
      <c r="I6" s="2644">
        <f t="shared" si="0"/>
        <v>0</v>
      </c>
    </row>
    <row r="7" spans="1:9">
      <c r="A7" s="3539"/>
      <c r="B7" s="3540" t="s">
        <v>2564</v>
      </c>
      <c r="C7" s="3540"/>
      <c r="D7" s="2641"/>
      <c r="E7" s="2639"/>
      <c r="F7" s="2642"/>
      <c r="G7" s="2642"/>
      <c r="H7" s="2643"/>
      <c r="I7" s="2644">
        <f t="shared" si="0"/>
        <v>0</v>
      </c>
    </row>
    <row r="8" spans="1:9">
      <c r="A8" s="3539"/>
      <c r="B8" s="3540" t="s">
        <v>2565</v>
      </c>
      <c r="C8" s="3540"/>
      <c r="D8" s="2641"/>
      <c r="E8" s="2639"/>
      <c r="F8" s="2642"/>
      <c r="G8" s="2642"/>
      <c r="H8" s="2643"/>
      <c r="I8" s="2644">
        <f t="shared" si="0"/>
        <v>0</v>
      </c>
    </row>
    <row r="9" spans="1:9">
      <c r="A9" s="3539"/>
      <c r="B9" s="3540" t="s">
        <v>2566</v>
      </c>
      <c r="C9" s="3540"/>
      <c r="D9" s="2641"/>
      <c r="E9" s="2639"/>
      <c r="F9" s="2642"/>
      <c r="G9" s="2642"/>
      <c r="H9" s="2643"/>
      <c r="I9" s="2644">
        <f t="shared" si="0"/>
        <v>0</v>
      </c>
    </row>
    <row r="10" spans="1:9">
      <c r="A10" s="3539"/>
      <c r="B10" s="3541" t="s">
        <v>2567</v>
      </c>
      <c r="C10" s="3541"/>
      <c r="D10" s="2645"/>
      <c r="E10" s="2645" t="e">
        <f>ROUND(D1*10000/D10/H9,0)</f>
        <v>#DIV/0!</v>
      </c>
      <c r="F10" s="2646"/>
      <c r="G10" s="2646"/>
      <c r="H10" s="2647"/>
      <c r="I10" s="2648">
        <f>SUM(I3:I9)</f>
        <v>0</v>
      </c>
    </row>
    <row r="11" spans="1:9" ht="14.25">
      <c r="A11" s="3539" t="s">
        <v>2568</v>
      </c>
      <c r="B11" s="3540" t="s">
        <v>2569</v>
      </c>
      <c r="C11" s="3540"/>
      <c r="D11" s="2641" t="s">
        <v>2570</v>
      </c>
      <c r="E11" s="2641" t="s">
        <v>2571</v>
      </c>
      <c r="F11" s="2642" t="s">
        <v>2572</v>
      </c>
      <c r="G11" s="2642" t="s">
        <v>2558</v>
      </c>
      <c r="H11" s="2649" t="s">
        <v>2573</v>
      </c>
      <c r="I11" s="2640" t="s">
        <v>2559</v>
      </c>
    </row>
    <row r="12" spans="1:9">
      <c r="A12" s="3539"/>
      <c r="B12" s="3540" t="s">
        <v>2574</v>
      </c>
      <c r="C12" s="3540"/>
      <c r="D12" s="2641"/>
      <c r="E12" s="2641"/>
      <c r="F12" s="2642"/>
      <c r="G12" s="2643"/>
      <c r="H12" s="2650"/>
      <c r="I12" s="2640">
        <f>ROUND(D12*E12*F12*G12/10000,0)</f>
        <v>0</v>
      </c>
    </row>
    <row r="13" spans="1:9">
      <c r="A13" s="3539"/>
      <c r="B13" s="3540" t="s">
        <v>2575</v>
      </c>
      <c r="C13" s="3540"/>
      <c r="D13" s="2641"/>
      <c r="E13" s="2641"/>
      <c r="F13" s="2642"/>
      <c r="G13" s="2643"/>
      <c r="H13" s="2650"/>
      <c r="I13" s="2640">
        <f>ROUND(D13*E13*F13*G13/10000,0)</f>
        <v>0</v>
      </c>
    </row>
    <row r="14" spans="1:9">
      <c r="A14" s="3539"/>
      <c r="B14" s="3540" t="s">
        <v>2576</v>
      </c>
      <c r="C14" s="3540"/>
      <c r="D14" s="2641"/>
      <c r="E14" s="2641"/>
      <c r="F14" s="2642"/>
      <c r="G14" s="2643"/>
      <c r="H14" s="2650"/>
      <c r="I14" s="2640">
        <f>ROUND(D14*E14*F14*G14/10000,0)</f>
        <v>0</v>
      </c>
    </row>
    <row r="15" spans="1:9">
      <c r="A15" s="3539"/>
      <c r="B15" s="3541" t="s">
        <v>2567</v>
      </c>
      <c r="C15" s="3541"/>
      <c r="D15" s="2645"/>
      <c r="E15" s="2645">
        <f>SUM(E12:E14)</f>
        <v>0</v>
      </c>
      <c r="F15" s="2646"/>
      <c r="G15" s="2643"/>
      <c r="H15" s="2650"/>
      <c r="I15" s="2651">
        <f>SUM(I12:I14)</f>
        <v>0</v>
      </c>
    </row>
    <row r="16" spans="1:9" ht="24">
      <c r="A16" s="3539" t="s">
        <v>2577</v>
      </c>
      <c r="B16" s="3540" t="s">
        <v>2578</v>
      </c>
      <c r="C16" s="3540"/>
      <c r="D16" s="2641" t="s">
        <v>2554</v>
      </c>
      <c r="E16" s="2652" t="s">
        <v>2579</v>
      </c>
      <c r="F16" s="2642" t="s">
        <v>2580</v>
      </c>
      <c r="G16" s="2643" t="s">
        <v>2558</v>
      </c>
      <c r="H16" s="2649" t="s">
        <v>2573</v>
      </c>
      <c r="I16" s="2640" t="s">
        <v>2559</v>
      </c>
    </row>
    <row r="17" spans="1:9" ht="14.25">
      <c r="A17" s="3539"/>
      <c r="B17" s="3540" t="s">
        <v>2581</v>
      </c>
      <c r="C17" s="3540"/>
      <c r="D17" s="2641"/>
      <c r="E17" s="2641"/>
      <c r="F17" s="2642"/>
      <c r="G17" s="2643"/>
      <c r="H17" s="2653"/>
      <c r="I17" s="2654">
        <f>ROUND(D17*E17*F17*G17/10000,0)</f>
        <v>0</v>
      </c>
    </row>
    <row r="18" spans="1:9" ht="14.25">
      <c r="A18" s="3539"/>
      <c r="B18" s="3540" t="s">
        <v>2582</v>
      </c>
      <c r="C18" s="3540"/>
      <c r="D18" s="2641"/>
      <c r="E18" s="2641"/>
      <c r="F18" s="2642"/>
      <c r="G18" s="2643"/>
      <c r="H18" s="2653"/>
      <c r="I18" s="2654">
        <f>ROUND(D18*E18*F18*G18/10000,0)</f>
        <v>0</v>
      </c>
    </row>
    <row r="19" spans="1:9" ht="14.25">
      <c r="A19" s="3539"/>
      <c r="B19" s="3540" t="s">
        <v>2583</v>
      </c>
      <c r="C19" s="3540"/>
      <c r="D19" s="2641"/>
      <c r="E19" s="2641"/>
      <c r="F19" s="2642"/>
      <c r="G19" s="2643"/>
      <c r="H19" s="2653"/>
      <c r="I19" s="2654">
        <f>ROUND(D19*E19*F19*G19/10000,0)</f>
        <v>0</v>
      </c>
    </row>
    <row r="20" spans="1:9">
      <c r="A20" s="3539"/>
      <c r="B20" s="3541" t="s">
        <v>2567</v>
      </c>
      <c r="C20" s="3541"/>
      <c r="D20" s="2645">
        <f>SUM(D17:D19)</f>
        <v>0</v>
      </c>
      <c r="E20" s="2645"/>
      <c r="F20" s="2646"/>
      <c r="G20" s="2643"/>
      <c r="H20" s="2650"/>
      <c r="I20" s="2651">
        <f>SUM(I17:I19)</f>
        <v>0</v>
      </c>
    </row>
    <row r="21" spans="1:9">
      <c r="A21" s="3539" t="s">
        <v>2584</v>
      </c>
      <c r="B21" s="3543"/>
      <c r="C21" s="3543"/>
      <c r="D21" s="3543"/>
      <c r="E21" s="3543"/>
      <c r="F21" s="3543"/>
      <c r="G21" s="3543"/>
      <c r="H21" s="3301">
        <v>0.1</v>
      </c>
      <c r="I21" s="2648">
        <f>ROUND(I10*H21,0)</f>
        <v>0</v>
      </c>
    </row>
    <row r="22" spans="1:9" ht="14.25">
      <c r="A22" s="3544" t="s">
        <v>2585</v>
      </c>
      <c r="B22" s="3545"/>
      <c r="C22" s="3546"/>
      <c r="D22" s="2655" t="s">
        <v>2586</v>
      </c>
      <c r="E22" s="2655" t="s">
        <v>2587</v>
      </c>
      <c r="F22" s="2656" t="s">
        <v>2588</v>
      </c>
      <c r="G22" s="2656" t="s">
        <v>2589</v>
      </c>
      <c r="H22" s="2649" t="s">
        <v>2590</v>
      </c>
      <c r="I22" s="2640" t="s">
        <v>2591</v>
      </c>
    </row>
    <row r="23" spans="1:9" ht="14.25" thickBot="1">
      <c r="A23" s="3547"/>
      <c r="B23" s="3548"/>
      <c r="C23" s="3549"/>
      <c r="D23" s="2657"/>
      <c r="E23" s="2657"/>
      <c r="F23" s="2657"/>
      <c r="G23" s="2658"/>
      <c r="H23" s="2659"/>
      <c r="I23" s="2660">
        <f>ROUND(E23*D23*F23*(1-G23)/10000,0)</f>
        <v>0</v>
      </c>
    </row>
    <row r="26" spans="1:9">
      <c r="A26" s="2661" t="s">
        <v>2592</v>
      </c>
      <c r="B26" s="2661"/>
      <c r="C26" s="2661"/>
      <c r="D26" s="2661"/>
      <c r="E26" s="3550">
        <f>C27-C30-C31-C32</f>
        <v>0</v>
      </c>
      <c r="F26" s="3550"/>
      <c r="G26" s="3550"/>
      <c r="H26" s="3256" t="s">
        <v>2964</v>
      </c>
    </row>
    <row r="27" spans="1:9">
      <c r="A27" s="2662">
        <v>1</v>
      </c>
      <c r="B27" s="2663" t="s">
        <v>2593</v>
      </c>
      <c r="C27" s="2663">
        <f>C28+C29</f>
        <v>0</v>
      </c>
      <c r="D27" s="2663"/>
      <c r="E27" s="3551"/>
      <c r="F27" s="3551"/>
      <c r="G27" s="3551"/>
    </row>
    <row r="28" spans="1:9">
      <c r="A28" s="2664" t="s">
        <v>2594</v>
      </c>
      <c r="B28" s="2663" t="s">
        <v>2595</v>
      </c>
      <c r="C28" s="2663"/>
      <c r="D28" s="2663"/>
      <c r="E28" s="3551"/>
      <c r="F28" s="3551"/>
      <c r="G28" s="3551"/>
    </row>
    <row r="29" spans="1:9">
      <c r="A29" s="2664" t="s">
        <v>2596</v>
      </c>
      <c r="B29" s="2663" t="s">
        <v>2597</v>
      </c>
      <c r="C29" s="2663"/>
      <c r="D29" s="2663"/>
      <c r="E29" s="2663" t="s">
        <v>2598</v>
      </c>
      <c r="F29" s="2663"/>
      <c r="G29" s="2663"/>
    </row>
    <row r="30" spans="1:9">
      <c r="A30" s="2662">
        <v>2</v>
      </c>
      <c r="B30" s="2663" t="s">
        <v>2599</v>
      </c>
      <c r="C30" s="2663">
        <f>C27*D30</f>
        <v>0</v>
      </c>
      <c r="D30" s="2665">
        <v>0.2</v>
      </c>
      <c r="E30" s="2663" t="s">
        <v>2600</v>
      </c>
      <c r="F30" s="2663"/>
      <c r="G30" s="2663"/>
    </row>
    <row r="31" spans="1:9">
      <c r="A31" s="2662">
        <v>3</v>
      </c>
      <c r="B31" s="2663" t="s">
        <v>2601</v>
      </c>
      <c r="C31" s="2663">
        <f>C25*D31</f>
        <v>0</v>
      </c>
      <c r="D31" s="2665">
        <v>0.15</v>
      </c>
      <c r="E31" s="2663" t="s">
        <v>2602</v>
      </c>
      <c r="F31" s="2663"/>
      <c r="G31" s="2663"/>
    </row>
    <row r="32" spans="1:9">
      <c r="A32" s="2662">
        <v>4</v>
      </c>
      <c r="B32" s="2663" t="s">
        <v>2603</v>
      </c>
      <c r="C32" s="2663">
        <f>C27*D32</f>
        <v>0</v>
      </c>
      <c r="D32" s="2665">
        <v>0.05</v>
      </c>
      <c r="E32" s="3542"/>
      <c r="F32" s="3542"/>
      <c r="G32" s="3542"/>
    </row>
    <row r="33" spans="1:7" hidden="1">
      <c r="A33" s="3552" t="s">
        <v>2604</v>
      </c>
      <c r="B33" s="3553"/>
      <c r="C33" s="3553"/>
      <c r="D33" s="3554"/>
      <c r="E33" s="3550"/>
      <c r="F33" s="3550"/>
      <c r="G33" s="3550"/>
    </row>
    <row r="34" spans="1:7" hidden="1">
      <c r="A34" s="2666">
        <v>1</v>
      </c>
      <c r="B34" s="2663" t="s">
        <v>2605</v>
      </c>
      <c r="C34" s="2663"/>
      <c r="D34" s="2663"/>
      <c r="E34" s="3551"/>
      <c r="F34" s="3551"/>
      <c r="G34" s="3551"/>
    </row>
    <row r="35" spans="1:7" hidden="1">
      <c r="A35" s="2666">
        <v>2</v>
      </c>
      <c r="B35" s="2663" t="s">
        <v>2606</v>
      </c>
      <c r="C35" s="2663"/>
      <c r="D35" s="2663"/>
      <c r="E35" s="3551"/>
      <c r="F35" s="3551"/>
      <c r="G35" s="3551"/>
    </row>
    <row r="36" spans="1:7" hidden="1">
      <c r="A36" s="2666">
        <v>3</v>
      </c>
      <c r="B36" s="2663" t="s">
        <v>2607</v>
      </c>
      <c r="C36" s="2663"/>
      <c r="D36" s="2663"/>
      <c r="E36" s="3551"/>
      <c r="F36" s="3551"/>
      <c r="G36" s="3551"/>
    </row>
    <row r="37" spans="1:7" hidden="1">
      <c r="A37" s="2666">
        <v>4</v>
      </c>
      <c r="B37" s="2663" t="s">
        <v>2608</v>
      </c>
      <c r="C37" s="2663"/>
      <c r="D37" s="2663"/>
      <c r="E37" s="3551"/>
      <c r="F37" s="3551"/>
      <c r="G37" s="3551"/>
    </row>
    <row r="38" spans="1:7" hidden="1">
      <c r="A38" s="3552" t="s">
        <v>2609</v>
      </c>
      <c r="B38" s="3553"/>
      <c r="C38" s="3553"/>
      <c r="D38" s="3554"/>
      <c r="E38" s="3550"/>
      <c r="F38" s="3550"/>
      <c r="G38" s="35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978</v>
      </c>
      <c r="B1" s="3106" t="s">
        <v>979</v>
      </c>
      <c r="C1" s="3107" t="s">
        <v>980</v>
      </c>
      <c r="D1" s="3108"/>
      <c r="E1" s="3109"/>
      <c r="F1" s="3110" t="s">
        <v>2699</v>
      </c>
      <c r="G1" s="3112" t="s">
        <v>981</v>
      </c>
      <c r="H1" s="3113"/>
      <c r="I1" s="3113"/>
      <c r="J1" s="3113"/>
      <c r="K1" s="3114"/>
      <c r="L1" s="3115"/>
      <c r="M1" s="3107"/>
      <c r="N1" s="3107"/>
      <c r="O1" s="3107"/>
      <c r="P1" s="3116"/>
      <c r="Q1" s="3117"/>
      <c r="R1" s="3117"/>
      <c r="S1" s="3117"/>
      <c r="T1" s="3117"/>
      <c r="U1" s="3117"/>
      <c r="V1" s="3117"/>
      <c r="W1" s="3117"/>
      <c r="X1" s="3117"/>
      <c r="Y1" s="3117"/>
      <c r="Z1" s="3117"/>
      <c r="AA1" s="3117"/>
      <c r="AB1" s="3117"/>
      <c r="AC1" s="3118"/>
    </row>
    <row r="2" spans="1:29" s="89" customFormat="1" ht="28.5" customHeight="1" thickTop="1">
      <c r="A2" s="3101" t="s">
        <v>982</v>
      </c>
      <c r="B2" s="2848" t="e">
        <f ca="1">IF(C2="——",ROUND(C49*D3/10000,0),ROUND(C49*D3/10000,0)-D2)</f>
        <v>#DIV/0!</v>
      </c>
      <c r="C2" s="3102"/>
      <c r="D2" s="2725" t="e">
        <f ca="1">SUMIF(INDIRECT("'"&amp;F2&amp;"'"&amp;"!A:A"),"承租人权益价值",INDIRECT("'"&amp;F2&amp;"'"&amp;"!c:c"))</f>
        <v>#REF!</v>
      </c>
      <c r="E2" s="3103" t="s">
        <v>867</v>
      </c>
      <c r="F2" s="3104"/>
      <c r="G2" s="2291"/>
      <c r="H2" s="2291"/>
      <c r="I2" s="2291"/>
      <c r="J2" s="2291"/>
      <c r="K2" s="2293"/>
      <c r="L2" s="2294"/>
      <c r="M2" s="2295"/>
      <c r="N2" s="2295"/>
      <c r="O2" s="2295"/>
      <c r="P2" s="1336"/>
      <c r="Q2" s="1335"/>
      <c r="R2" s="1335"/>
      <c r="S2" s="1335"/>
      <c r="T2" s="1335"/>
      <c r="U2" s="1335"/>
      <c r="V2" s="1335"/>
      <c r="W2" s="1335"/>
      <c r="X2" s="1335"/>
      <c r="Y2" s="1335"/>
      <c r="Z2" s="1335"/>
      <c r="AA2" s="1335"/>
      <c r="AB2" s="1335"/>
      <c r="AC2" s="1337"/>
    </row>
    <row r="3" spans="1:29" s="89" customFormat="1" ht="28.5" customHeight="1" thickBot="1">
      <c r="A3" s="87" t="s">
        <v>983</v>
      </c>
      <c r="B3" s="742" t="e">
        <f ca="1">IF(C2="——",C49,ROUND(B2*10000/D3,0))</f>
        <v>#DIV/0!</v>
      </c>
      <c r="C3" s="142" t="s">
        <v>984</v>
      </c>
      <c r="D3" s="742">
        <f>IF(D1="",'数据-汇总表'!E3,SUMIF('数据-汇总表'!$C19:$C33,D1,'数据-汇总表'!$E19:$E33))</f>
        <v>7148.0899999999992</v>
      </c>
      <c r="E3" s="2291"/>
      <c r="F3" s="2292"/>
      <c r="G3" s="2291"/>
      <c r="H3" s="2291"/>
      <c r="I3" s="2291"/>
      <c r="J3" s="2291"/>
      <c r="K3" s="2293"/>
      <c r="L3" s="2294"/>
      <c r="M3" s="2295"/>
      <c r="N3" s="2295"/>
      <c r="O3" s="2295"/>
      <c r="P3" s="1336"/>
      <c r="Q3" s="1335"/>
      <c r="R3" s="1335"/>
      <c r="S3" s="1335"/>
      <c r="T3" s="1335"/>
      <c r="U3" s="1335"/>
      <c r="V3" s="1335"/>
      <c r="W3" s="1335"/>
      <c r="X3" s="1335"/>
      <c r="Y3" s="1335"/>
      <c r="Z3" s="1335"/>
      <c r="AA3" s="1335"/>
      <c r="AB3" s="1335"/>
      <c r="AC3" s="1338"/>
    </row>
    <row r="4" spans="1:29">
      <c r="A4" s="143" t="s">
        <v>985</v>
      </c>
      <c r="B4" s="144"/>
      <c r="C4" s="3573" t="s">
        <v>986</v>
      </c>
      <c r="D4" s="3574"/>
      <c r="E4" s="3575" t="s">
        <v>987</v>
      </c>
      <c r="F4" s="3576"/>
      <c r="G4" s="3573" t="s">
        <v>988</v>
      </c>
      <c r="H4" s="3574"/>
      <c r="I4" s="3573" t="s">
        <v>989</v>
      </c>
      <c r="J4" s="3574"/>
      <c r="K4" s="145" t="s">
        <v>990</v>
      </c>
      <c r="L4" s="2296"/>
      <c r="M4" s="2297"/>
      <c r="N4" s="2297"/>
      <c r="O4" s="2297"/>
      <c r="P4" s="3577" t="s">
        <v>985</v>
      </c>
      <c r="Q4" s="3578"/>
      <c r="R4" s="3560" t="s">
        <v>987</v>
      </c>
      <c r="S4" s="3561"/>
      <c r="T4" s="3560" t="s">
        <v>988</v>
      </c>
      <c r="U4" s="3561"/>
      <c r="V4" s="3585" t="s">
        <v>989</v>
      </c>
      <c r="W4" s="3585"/>
      <c r="X4" s="1339"/>
      <c r="Y4" s="3560" t="s">
        <v>985</v>
      </c>
      <c r="Z4" s="3561"/>
      <c r="AA4" s="3555" t="s">
        <v>987</v>
      </c>
      <c r="AB4" s="3555" t="s">
        <v>988</v>
      </c>
      <c r="AC4" s="3555" t="s">
        <v>989</v>
      </c>
    </row>
    <row r="5" spans="1:29">
      <c r="A5" s="146"/>
      <c r="B5" s="147"/>
      <c r="C5" s="3566" t="s">
        <v>991</v>
      </c>
      <c r="D5" s="3567"/>
      <c r="E5" s="3564" t="s">
        <v>992</v>
      </c>
      <c r="F5" s="3565"/>
      <c r="G5" s="3566" t="s">
        <v>993</v>
      </c>
      <c r="H5" s="3567"/>
      <c r="I5" s="3566" t="s">
        <v>994</v>
      </c>
      <c r="J5" s="3567"/>
      <c r="K5" s="152"/>
      <c r="L5" s="2296"/>
      <c r="M5" s="2297"/>
      <c r="N5" s="2297"/>
      <c r="O5" s="2297"/>
      <c r="P5" s="3579"/>
      <c r="Q5" s="3580"/>
      <c r="R5" s="3562"/>
      <c r="S5" s="3563"/>
      <c r="T5" s="3562"/>
      <c r="U5" s="3563"/>
      <c r="V5" s="3585"/>
      <c r="W5" s="3585"/>
      <c r="X5" s="1339"/>
      <c r="Y5" s="3562"/>
      <c r="Z5" s="3563"/>
      <c r="AA5" s="3556"/>
      <c r="AB5" s="3556"/>
      <c r="AC5" s="3556"/>
    </row>
    <row r="6" spans="1:29" ht="14.25" thickBot="1">
      <c r="A6" s="148"/>
      <c r="B6" s="149"/>
      <c r="C6" s="3568" t="s">
        <v>995</v>
      </c>
      <c r="D6" s="3569"/>
      <c r="E6" s="3570" t="s">
        <v>995</v>
      </c>
      <c r="F6" s="3571"/>
      <c r="G6" s="3568" t="s">
        <v>995</v>
      </c>
      <c r="H6" s="3569"/>
      <c r="I6" s="3568" t="s">
        <v>995</v>
      </c>
      <c r="J6" s="3569"/>
      <c r="K6" s="152" t="s">
        <v>996</v>
      </c>
      <c r="L6" s="2296"/>
      <c r="M6" s="2297"/>
      <c r="N6" s="2297"/>
      <c r="O6" s="2297"/>
      <c r="P6" s="3581"/>
      <c r="Q6" s="3582"/>
      <c r="R6" s="3562"/>
      <c r="S6" s="3563"/>
      <c r="T6" s="3583"/>
      <c r="U6" s="3584"/>
      <c r="V6" s="3585"/>
      <c r="W6" s="3585"/>
      <c r="X6" s="1339"/>
      <c r="Y6" s="3583"/>
      <c r="Z6" s="3584"/>
      <c r="AA6" s="3557"/>
      <c r="AB6" s="3557"/>
      <c r="AC6" s="3557"/>
    </row>
    <row r="7" spans="1:29" s="40" customFormat="1" ht="15" thickBot="1">
      <c r="A7" s="1013" t="s">
        <v>997</v>
      </c>
      <c r="B7" s="1014"/>
      <c r="C7" s="1015">
        <f>'数据-取费表'!B2</f>
        <v>42928</v>
      </c>
      <c r="D7" s="754">
        <v>100</v>
      </c>
      <c r="E7" s="1016"/>
      <c r="F7" s="756">
        <f>SUMIF(58:58,YEAR(E7)&amp;"-"&amp;MONTH(E7),59:59)</f>
        <v>0</v>
      </c>
      <c r="G7" s="1016"/>
      <c r="H7" s="754">
        <f>SUMIF(58:58,YEAR(G7)&amp;"-"&amp;MONTH(G7),59:59)</f>
        <v>0</v>
      </c>
      <c r="I7" s="1016"/>
      <c r="J7" s="754">
        <f>SUMIF(58:58,YEAR(I7)&amp;"-"&amp;MONTH(I7),59:59)</f>
        <v>0</v>
      </c>
      <c r="K7" s="1340"/>
      <c r="L7" s="2298"/>
      <c r="M7" s="2260"/>
      <c r="N7" s="2260"/>
      <c r="O7" s="2260"/>
      <c r="P7" s="3558" t="s">
        <v>997</v>
      </c>
      <c r="Q7" s="3586"/>
      <c r="R7" s="1341" t="s">
        <v>115</v>
      </c>
      <c r="S7" s="1342">
        <f t="shared" ref="S7:S15" si="0">F7</f>
        <v>0</v>
      </c>
      <c r="T7" s="1341" t="s">
        <v>115</v>
      </c>
      <c r="U7" s="1342">
        <f t="shared" ref="U7:U15" si="1">H7</f>
        <v>0</v>
      </c>
      <c r="V7" s="1341" t="s">
        <v>115</v>
      </c>
      <c r="W7" s="1342">
        <f t="shared" ref="W7:W15" si="2">J7</f>
        <v>0</v>
      </c>
      <c r="X7" s="287"/>
      <c r="Y7" s="3558" t="s">
        <v>997</v>
      </c>
      <c r="Z7" s="3559"/>
      <c r="AA7" s="1343" t="e">
        <f>D7/F7</f>
        <v>#DIV/0!</v>
      </c>
      <c r="AB7" s="1343" t="e">
        <f>D7/H7</f>
        <v>#DIV/0!</v>
      </c>
      <c r="AC7" s="1343" t="e">
        <f>D7/J7</f>
        <v>#DIV/0!</v>
      </c>
    </row>
    <row r="8" spans="1:29" s="40" customFormat="1" ht="15" thickBot="1">
      <c r="A8" s="1013" t="s">
        <v>998</v>
      </c>
      <c r="B8" s="1014"/>
      <c r="C8" s="1019" t="s">
        <v>155</v>
      </c>
      <c r="D8" s="754">
        <v>100</v>
      </c>
      <c r="E8" s="1344"/>
      <c r="F8" s="756">
        <f>SUMIF(61:61,E8,62:62)-SUMIF(61:61,C8,62:62)+100</f>
        <v>0</v>
      </c>
      <c r="G8" s="1019"/>
      <c r="H8" s="754">
        <f>SUMIF(61:61,G8,62:62)-SUMIF(61:61,C8,62:62)+100</f>
        <v>0</v>
      </c>
      <c r="I8" s="1344"/>
      <c r="J8" s="754">
        <f>SUMIF(61:61,I8,62:62)-SUMIF(61:61,C8,62:62)+100</f>
        <v>0</v>
      </c>
      <c r="K8" s="1340"/>
      <c r="L8" s="2298"/>
      <c r="M8" s="2260"/>
      <c r="N8" s="2260"/>
      <c r="O8" s="2260"/>
      <c r="P8" s="3558" t="s">
        <v>998</v>
      </c>
      <c r="Q8" s="3559"/>
      <c r="R8" s="1341" t="s">
        <v>115</v>
      </c>
      <c r="S8" s="1342">
        <f t="shared" si="0"/>
        <v>0</v>
      </c>
      <c r="T8" s="1341" t="s">
        <v>115</v>
      </c>
      <c r="U8" s="1342">
        <f t="shared" si="1"/>
        <v>0</v>
      </c>
      <c r="V8" s="1341" t="s">
        <v>115</v>
      </c>
      <c r="W8" s="1342">
        <f t="shared" si="2"/>
        <v>0</v>
      </c>
      <c r="X8" s="287"/>
      <c r="Y8" s="3558" t="s">
        <v>998</v>
      </c>
      <c r="Z8" s="3559"/>
      <c r="AA8" s="1343" t="e">
        <f t="shared" ref="AA8:AA19" si="3">D8/F8</f>
        <v>#DIV/0!</v>
      </c>
      <c r="AB8" s="1343" t="e">
        <f t="shared" ref="AB8:AB19" si="4">D8/H8</f>
        <v>#DIV/0!</v>
      </c>
      <c r="AC8" s="1343" t="e">
        <f t="shared" ref="AC8:AC19" si="5">D8/J8</f>
        <v>#DIV/0!</v>
      </c>
    </row>
    <row r="9" spans="1:29" s="40" customFormat="1" ht="14.25">
      <c r="A9" s="1020" t="s">
        <v>999</v>
      </c>
      <c r="B9" s="62" t="s">
        <v>1000</v>
      </c>
      <c r="C9" s="1345"/>
      <c r="D9" s="425">
        <v>100</v>
      </c>
      <c r="E9" s="1346"/>
      <c r="F9" s="761">
        <f>SUMIF(63:63,E9,64:64)-SUMIF(63:63,C9,64:64)+100</f>
        <v>100</v>
      </c>
      <c r="G9" s="1347"/>
      <c r="H9" s="425">
        <f>SUMIF(63:63,G9,64:64)-SUMIF(63:63,C9,64:64)+100</f>
        <v>100</v>
      </c>
      <c r="I9" s="1347"/>
      <c r="J9" s="425">
        <f>SUMIF(63:63,I9,64:64)-SUMIF(63:63,C9,64:64)+100</f>
        <v>100</v>
      </c>
      <c r="K9" s="1340"/>
      <c r="L9" s="2298"/>
      <c r="M9" s="2260"/>
      <c r="N9" s="2260"/>
      <c r="O9" s="2260"/>
      <c r="P9" s="3572" t="s">
        <v>67</v>
      </c>
      <c r="Q9" s="7" t="str">
        <f t="shared" ref="Q9:Q15" si="6">B9</f>
        <v>用途</v>
      </c>
      <c r="R9" s="1341" t="s">
        <v>65</v>
      </c>
      <c r="S9" s="1342">
        <f t="shared" si="0"/>
        <v>100</v>
      </c>
      <c r="T9" s="1341" t="s">
        <v>65</v>
      </c>
      <c r="U9" s="1342">
        <f t="shared" si="1"/>
        <v>100</v>
      </c>
      <c r="V9" s="1341" t="s">
        <v>65</v>
      </c>
      <c r="W9" s="1342">
        <f t="shared" si="2"/>
        <v>100</v>
      </c>
      <c r="X9" s="287"/>
      <c r="Y9" s="340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769"/>
      <c r="L10" s="2299"/>
      <c r="M10" s="2300"/>
      <c r="N10" s="2300"/>
      <c r="O10" s="2300"/>
      <c r="P10" s="3572"/>
      <c r="Q10" s="7" t="str">
        <f t="shared" si="6"/>
        <v>土地使用年限（年）</v>
      </c>
      <c r="R10" s="1341" t="s">
        <v>65</v>
      </c>
      <c r="S10" s="1342">
        <f t="shared" si="0"/>
        <v>100</v>
      </c>
      <c r="T10" s="1341" t="s">
        <v>65</v>
      </c>
      <c r="U10" s="1342">
        <f t="shared" si="1"/>
        <v>100</v>
      </c>
      <c r="V10" s="1341" t="s">
        <v>65</v>
      </c>
      <c r="W10" s="1342">
        <f t="shared" si="2"/>
        <v>100</v>
      </c>
      <c r="X10" s="287"/>
      <c r="Y10" s="3400"/>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572"/>
      <c r="Q11" s="7" t="str">
        <f t="shared" si="6"/>
        <v>容积率</v>
      </c>
      <c r="R11" s="1341" t="s">
        <v>104</v>
      </c>
      <c r="S11" s="1342" t="e">
        <f t="shared" si="0"/>
        <v>#N/A</v>
      </c>
      <c r="T11" s="1341" t="s">
        <v>104</v>
      </c>
      <c r="U11" s="1342" t="e">
        <f t="shared" si="1"/>
        <v>#N/A</v>
      </c>
      <c r="V11" s="1341" t="s">
        <v>104</v>
      </c>
      <c r="W11" s="1342" t="e">
        <f t="shared" si="2"/>
        <v>#N/A</v>
      </c>
      <c r="X11" s="287"/>
      <c r="Y11" s="3400"/>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1023"/>
      <c r="F12" s="768">
        <f>SUMIF(70:70,E12,71:71)-SUMIF(70:70,C12,71:71)+100</f>
        <v>100</v>
      </c>
      <c r="G12" s="1023"/>
      <c r="H12" s="426">
        <f>SUMIF(70:70,G12,71:71)-SUMIF(70:70,C12,71:71)+100</f>
        <v>100</v>
      </c>
      <c r="I12" s="1023"/>
      <c r="J12" s="426">
        <f>SUMIF(70:70,I12,71:71)-SUMIF(70:70,C12,71:71)+100</f>
        <v>100</v>
      </c>
      <c r="K12" s="153"/>
      <c r="L12" s="2298"/>
      <c r="M12" s="2260"/>
      <c r="N12" s="2260"/>
      <c r="O12" s="2260"/>
      <c r="P12" s="3572"/>
      <c r="Q12" s="7">
        <f t="shared" si="6"/>
        <v>111</v>
      </c>
      <c r="R12" s="1341" t="s">
        <v>104</v>
      </c>
      <c r="S12" s="1342">
        <f t="shared" si="0"/>
        <v>100</v>
      </c>
      <c r="T12" s="1341" t="s">
        <v>104</v>
      </c>
      <c r="U12" s="1342">
        <f t="shared" si="1"/>
        <v>100</v>
      </c>
      <c r="V12" s="1341" t="s">
        <v>104</v>
      </c>
      <c r="W12" s="1342">
        <f t="shared" si="2"/>
        <v>100</v>
      </c>
      <c r="X12" s="287"/>
      <c r="Y12" s="3400"/>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572"/>
      <c r="Q13" s="7">
        <f t="shared" si="6"/>
        <v>111</v>
      </c>
      <c r="R13" s="1341" t="s">
        <v>104</v>
      </c>
      <c r="S13" s="1342">
        <f t="shared" si="0"/>
        <v>100</v>
      </c>
      <c r="T13" s="1341" t="s">
        <v>104</v>
      </c>
      <c r="U13" s="1342">
        <f t="shared" si="1"/>
        <v>100</v>
      </c>
      <c r="V13" s="1341" t="s">
        <v>104</v>
      </c>
      <c r="W13" s="1342">
        <f t="shared" si="2"/>
        <v>100</v>
      </c>
      <c r="X13" s="287"/>
      <c r="Y13" s="3400"/>
      <c r="Z13" s="288">
        <f t="shared" si="7"/>
        <v>111</v>
      </c>
      <c r="AA13" s="1343">
        <f t="shared" si="3"/>
        <v>1</v>
      </c>
      <c r="AB13" s="1343">
        <f t="shared" si="4"/>
        <v>1</v>
      </c>
      <c r="AC13" s="1343">
        <f t="shared" si="5"/>
        <v>1</v>
      </c>
    </row>
    <row r="14" spans="1:29" ht="15" thickBot="1">
      <c r="A14" s="154"/>
      <c r="B14" s="1031">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572"/>
      <c r="Q14" s="7">
        <f t="shared" si="6"/>
        <v>111</v>
      </c>
      <c r="R14" s="1341" t="s">
        <v>104</v>
      </c>
      <c r="S14" s="1342">
        <f t="shared" si="0"/>
        <v>100</v>
      </c>
      <c r="T14" s="1341" t="s">
        <v>104</v>
      </c>
      <c r="U14" s="1342">
        <f t="shared" si="1"/>
        <v>100</v>
      </c>
      <c r="V14" s="1341" t="s">
        <v>104</v>
      </c>
      <c r="W14" s="1342">
        <f t="shared" si="2"/>
        <v>100</v>
      </c>
      <c r="X14" s="287"/>
      <c r="Y14" s="3400"/>
      <c r="Z14" s="288">
        <f t="shared" si="7"/>
        <v>111</v>
      </c>
      <c r="AA14" s="1343">
        <f t="shared" si="3"/>
        <v>1</v>
      </c>
      <c r="AB14" s="1343">
        <f t="shared" si="4"/>
        <v>1</v>
      </c>
      <c r="AC14" s="1343">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599" t="s">
        <v>69</v>
      </c>
      <c r="Q15" s="1350" t="str">
        <f t="shared" si="6"/>
        <v>居住社区成熟度</v>
      </c>
      <c r="R15" s="1351" t="s">
        <v>104</v>
      </c>
      <c r="S15" s="1352">
        <f t="shared" si="0"/>
        <v>100</v>
      </c>
      <c r="T15" s="1351" t="s">
        <v>104</v>
      </c>
      <c r="U15" s="1352">
        <f t="shared" si="1"/>
        <v>100</v>
      </c>
      <c r="V15" s="1351" t="s">
        <v>104</v>
      </c>
      <c r="W15" s="1352">
        <f t="shared" si="2"/>
        <v>100</v>
      </c>
      <c r="X15" s="1339"/>
      <c r="Y15" s="3592" t="s">
        <v>69</v>
      </c>
      <c r="Z15" s="1353" t="str">
        <f t="shared" si="7"/>
        <v>居住社区成熟度</v>
      </c>
      <c r="AA15" s="1354">
        <f t="shared" si="3"/>
        <v>1</v>
      </c>
      <c r="AB15" s="1354">
        <f t="shared" si="4"/>
        <v>1</v>
      </c>
      <c r="AC15" s="1354">
        <f t="shared" si="5"/>
        <v>1</v>
      </c>
    </row>
    <row r="16" spans="1:29" ht="14.25">
      <c r="A16" s="151"/>
      <c r="B16" s="156"/>
      <c r="C16" s="97"/>
      <c r="D16" s="791"/>
      <c r="E16" s="99"/>
      <c r="F16" s="791"/>
      <c r="G16" s="98"/>
      <c r="H16" s="793"/>
      <c r="I16" s="98"/>
      <c r="J16" s="791"/>
      <c r="K16" s="159"/>
      <c r="L16" s="2302"/>
      <c r="M16" s="2297"/>
      <c r="N16" s="2297"/>
      <c r="O16" s="2297"/>
      <c r="P16" s="3600"/>
      <c r="Q16" s="1350"/>
      <c r="R16" s="1351"/>
      <c r="S16" s="1352"/>
      <c r="T16" s="1351"/>
      <c r="U16" s="1352"/>
      <c r="V16" s="1351"/>
      <c r="W16" s="1352"/>
      <c r="X16" s="1339"/>
      <c r="Y16" s="3593"/>
      <c r="Z16" s="1353"/>
      <c r="AA16" s="1354">
        <v>1</v>
      </c>
      <c r="AB16" s="1354">
        <v>1</v>
      </c>
      <c r="AC16" s="1354">
        <v>1</v>
      </c>
    </row>
    <row r="17" spans="1:29" ht="121.5">
      <c r="A17" s="151"/>
      <c r="B17" s="1355" t="s">
        <v>72</v>
      </c>
      <c r="C17" s="158" t="str">
        <f>估价对象房地状况!C6</f>
        <v>估价对象周边有308、335等公交线路及地铁1号线，公共交通通达情况较好；项目自身有停车位、停车便捷程度较好，综合评价交通便捷度较好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00"/>
      <c r="Q17" s="1350" t="str">
        <f>B17</f>
        <v>交通便捷度</v>
      </c>
      <c r="R17" s="1351" t="s">
        <v>104</v>
      </c>
      <c r="S17" s="1352">
        <f>F17</f>
        <v>100</v>
      </c>
      <c r="T17" s="1351" t="s">
        <v>104</v>
      </c>
      <c r="U17" s="1352">
        <f>H17</f>
        <v>100</v>
      </c>
      <c r="V17" s="1351" t="s">
        <v>104</v>
      </c>
      <c r="W17" s="1352">
        <f>J17</f>
        <v>100</v>
      </c>
      <c r="X17" s="1339"/>
      <c r="Y17" s="3593"/>
      <c r="Z17" s="1353" t="str">
        <f>Q17</f>
        <v>交通便捷度</v>
      </c>
      <c r="AA17" s="1354">
        <f t="shared" si="3"/>
        <v>1</v>
      </c>
      <c r="AB17" s="1354">
        <f t="shared" si="4"/>
        <v>1</v>
      </c>
      <c r="AC17" s="1354">
        <f t="shared" si="5"/>
        <v>1</v>
      </c>
    </row>
    <row r="18" spans="1:29" ht="14.25">
      <c r="A18" s="151"/>
      <c r="B18" s="1039"/>
      <c r="C18" s="102"/>
      <c r="D18" s="793"/>
      <c r="E18" s="104"/>
      <c r="F18" s="793"/>
      <c r="G18" s="103"/>
      <c r="H18" s="791"/>
      <c r="I18" s="103"/>
      <c r="J18" s="791"/>
      <c r="K18" s="159"/>
      <c r="L18" s="2302"/>
      <c r="M18" s="2297"/>
      <c r="N18" s="2297"/>
      <c r="O18" s="2297"/>
      <c r="P18" s="3600"/>
      <c r="Q18" s="1350"/>
      <c r="R18" s="1351"/>
      <c r="S18" s="1352"/>
      <c r="T18" s="1351"/>
      <c r="U18" s="1352"/>
      <c r="V18" s="1351"/>
      <c r="W18" s="1352"/>
      <c r="X18" s="1339"/>
      <c r="Y18" s="3593"/>
      <c r="Z18" s="1353"/>
      <c r="AA18" s="1354">
        <v>1</v>
      </c>
      <c r="AB18" s="1354">
        <v>1</v>
      </c>
      <c r="AC18" s="1354">
        <v>1</v>
      </c>
    </row>
    <row r="19" spans="1:29" ht="40.5">
      <c r="A19" s="151"/>
      <c r="B19" s="1355" t="s">
        <v>2635</v>
      </c>
      <c r="C19" s="158" t="str">
        <f>估价对象房地状况!C7</f>
        <v>估价对象所在区域公共配套设施齐备度较好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00"/>
      <c r="Q19" s="1350" t="str">
        <f>B19</f>
        <v>公共配套设施</v>
      </c>
      <c r="R19" s="1351" t="s">
        <v>104</v>
      </c>
      <c r="S19" s="1352">
        <f>F19</f>
        <v>100</v>
      </c>
      <c r="T19" s="1351" t="s">
        <v>104</v>
      </c>
      <c r="U19" s="1352">
        <f>H19</f>
        <v>100</v>
      </c>
      <c r="V19" s="1351" t="s">
        <v>104</v>
      </c>
      <c r="W19" s="1352">
        <f>J19</f>
        <v>100</v>
      </c>
      <c r="X19" s="1339"/>
      <c r="Y19" s="3593"/>
      <c r="Z19" s="1353" t="str">
        <f>Q19</f>
        <v>公共配套设施</v>
      </c>
      <c r="AA19" s="1354">
        <f t="shared" si="3"/>
        <v>1</v>
      </c>
      <c r="AB19" s="1354">
        <f t="shared" si="4"/>
        <v>1</v>
      </c>
      <c r="AC19" s="1354">
        <f t="shared" si="5"/>
        <v>1</v>
      </c>
    </row>
    <row r="20" spans="1:29" ht="14.25">
      <c r="A20" s="151"/>
      <c r="B20" s="1039"/>
      <c r="C20" s="97"/>
      <c r="D20" s="791"/>
      <c r="E20" s="99"/>
      <c r="F20" s="791"/>
      <c r="G20" s="98"/>
      <c r="H20" s="791"/>
      <c r="I20" s="98"/>
      <c r="J20" s="791"/>
      <c r="K20" s="159"/>
      <c r="L20" s="2302"/>
      <c r="M20" s="2297"/>
      <c r="N20" s="2297"/>
      <c r="O20" s="2297"/>
      <c r="P20" s="3600"/>
      <c r="Q20" s="1350"/>
      <c r="R20" s="1351"/>
      <c r="S20" s="1352"/>
      <c r="T20" s="1351"/>
      <c r="U20" s="1352"/>
      <c r="V20" s="1351"/>
      <c r="W20" s="1352"/>
      <c r="X20" s="1339"/>
      <c r="Y20" s="3593"/>
      <c r="Z20" s="1353"/>
      <c r="AA20" s="1354">
        <v>1</v>
      </c>
      <c r="AB20" s="1354">
        <v>1</v>
      </c>
      <c r="AC20" s="1354">
        <v>1</v>
      </c>
    </row>
    <row r="21" spans="1:29" ht="40.5">
      <c r="A21" s="151"/>
      <c r="B21" s="1411" t="s">
        <v>2646</v>
      </c>
      <c r="C21" s="158" t="str">
        <f>估价对象房地状况!C8</f>
        <v>估价对象所在区域基础设施水平七通一平</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00"/>
      <c r="Q21" s="2747" t="str">
        <f>B21</f>
        <v>基础设施水平</v>
      </c>
      <c r="R21" s="1351" t="s">
        <v>65</v>
      </c>
      <c r="S21" s="1352">
        <f>F21</f>
        <v>100</v>
      </c>
      <c r="T21" s="1351" t="s">
        <v>65</v>
      </c>
      <c r="U21" s="1352">
        <f>H21</f>
        <v>100</v>
      </c>
      <c r="V21" s="1351" t="s">
        <v>65</v>
      </c>
      <c r="W21" s="1352">
        <f>J21</f>
        <v>100</v>
      </c>
      <c r="X21" s="2749"/>
      <c r="Y21" s="3593"/>
      <c r="Z21" s="2748"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1"/>
      <c r="G22" s="192"/>
      <c r="H22" s="791"/>
      <c r="I22" s="97"/>
      <c r="J22" s="791"/>
      <c r="K22" s="2764"/>
      <c r="L22" s="2302"/>
      <c r="M22" s="2297"/>
      <c r="N22" s="2297"/>
      <c r="O22" s="2297"/>
      <c r="P22" s="3600"/>
      <c r="Q22" s="2747"/>
      <c r="R22" s="1351"/>
      <c r="S22" s="1352"/>
      <c r="T22" s="1351"/>
      <c r="U22" s="1352"/>
      <c r="V22" s="1351"/>
      <c r="W22" s="1352"/>
      <c r="X22" s="2749"/>
      <c r="Y22" s="3593"/>
      <c r="Z22" s="2748"/>
      <c r="AA22" s="1354">
        <v>1</v>
      </c>
      <c r="AB22" s="1354">
        <v>1</v>
      </c>
      <c r="AC22" s="1354">
        <v>1</v>
      </c>
    </row>
    <row r="23" spans="1:29" ht="81">
      <c r="A23" s="151"/>
      <c r="B23" s="1355" t="s">
        <v>73</v>
      </c>
      <c r="C23" s="158" t="str">
        <f>估价对象房地状况!C9</f>
        <v>区域自然环境：五棵松公园等；人文环境：国家开发大学五棵松校区；综合评价环境状况较好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00"/>
      <c r="Q23" s="1350" t="str">
        <f>B23</f>
        <v>自然及人文环境</v>
      </c>
      <c r="R23" s="1351" t="s">
        <v>104</v>
      </c>
      <c r="S23" s="1352">
        <f>F23</f>
        <v>100</v>
      </c>
      <c r="T23" s="1351" t="s">
        <v>104</v>
      </c>
      <c r="U23" s="1352">
        <f>H23</f>
        <v>100</v>
      </c>
      <c r="V23" s="1351" t="s">
        <v>104</v>
      </c>
      <c r="W23" s="1352">
        <f>J23</f>
        <v>100</v>
      </c>
      <c r="X23" s="1339"/>
      <c r="Y23" s="3593"/>
      <c r="Z23" s="1353" t="str">
        <f>Q23</f>
        <v>自然及人文环境</v>
      </c>
      <c r="AA23" s="1354">
        <f>D23/F23</f>
        <v>1</v>
      </c>
      <c r="AB23" s="1354">
        <f>D23/H23</f>
        <v>1</v>
      </c>
      <c r="AC23" s="1354">
        <f>D23/J23</f>
        <v>1</v>
      </c>
    </row>
    <row r="24" spans="1:29" ht="14.25">
      <c r="A24" s="151"/>
      <c r="B24" s="1039"/>
      <c r="C24" s="97"/>
      <c r="D24" s="791"/>
      <c r="E24" s="99"/>
      <c r="F24" s="791"/>
      <c r="G24" s="98"/>
      <c r="H24" s="791"/>
      <c r="I24" s="98"/>
      <c r="J24" s="791"/>
      <c r="K24" s="159"/>
      <c r="L24" s="2302"/>
      <c r="M24" s="2297"/>
      <c r="N24" s="2297"/>
      <c r="O24" s="2297"/>
      <c r="P24" s="3600"/>
      <c r="Q24" s="1350"/>
      <c r="R24" s="1351"/>
      <c r="S24" s="1352"/>
      <c r="T24" s="1351"/>
      <c r="U24" s="1352"/>
      <c r="V24" s="1351"/>
      <c r="W24" s="1352"/>
      <c r="X24" s="1339"/>
      <c r="Y24" s="3593"/>
      <c r="Z24" s="1353"/>
      <c r="AA24" s="1354">
        <v>1</v>
      </c>
      <c r="AB24" s="1354">
        <v>1</v>
      </c>
      <c r="AC24" s="1354">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00"/>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593"/>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00"/>
      <c r="Q26" s="1350" t="str">
        <f t="shared" si="11"/>
        <v>朝向</v>
      </c>
      <c r="R26" s="1351" t="s">
        <v>104</v>
      </c>
      <c r="S26" s="1352">
        <f t="shared" si="12"/>
        <v>100</v>
      </c>
      <c r="T26" s="1351" t="s">
        <v>104</v>
      </c>
      <c r="U26" s="1352">
        <f t="shared" si="13"/>
        <v>100</v>
      </c>
      <c r="V26" s="1351" t="s">
        <v>104</v>
      </c>
      <c r="W26" s="1352">
        <f t="shared" si="14"/>
        <v>100</v>
      </c>
      <c r="X26" s="1339"/>
      <c r="Y26" s="3593"/>
      <c r="Z26" s="1353" t="str">
        <f>Q26</f>
        <v>朝向</v>
      </c>
      <c r="AA26" s="1354">
        <f t="shared" si="15"/>
        <v>1</v>
      </c>
      <c r="AB26" s="1354">
        <f t="shared" si="16"/>
        <v>1</v>
      </c>
      <c r="AC26" s="1354">
        <f t="shared" si="17"/>
        <v>1</v>
      </c>
    </row>
    <row r="27" spans="1:29" s="40" customFormat="1" ht="14.25">
      <c r="A27" s="1029"/>
      <c r="B27" s="1356">
        <v>111</v>
      </c>
      <c r="C27" s="1023"/>
      <c r="D27" s="805">
        <v>100</v>
      </c>
      <c r="E27" s="1025"/>
      <c r="F27" s="805">
        <f>SUMIF(90:90,E27,91:91)-SUMIF(90:90,C27,91:91)+100</f>
        <v>100</v>
      </c>
      <c r="G27" s="1026"/>
      <c r="H27" s="805">
        <f>SUMIF(90:90,G27,91:91)-SUMIF(90:90,C27,91:91)+100</f>
        <v>100</v>
      </c>
      <c r="I27" s="1026"/>
      <c r="J27" s="805">
        <f>SUMIF(90:90,I27,91:91)-SUMIF(90:90,C27,91:91)+100</f>
        <v>100</v>
      </c>
      <c r="K27" s="153"/>
      <c r="L27" s="2298"/>
      <c r="M27" s="2260"/>
      <c r="N27" s="2260"/>
      <c r="O27" s="2260"/>
      <c r="P27" s="3600"/>
      <c r="Q27" s="7">
        <f t="shared" si="11"/>
        <v>111</v>
      </c>
      <c r="R27" s="1341" t="s">
        <v>104</v>
      </c>
      <c r="S27" s="1342">
        <f t="shared" si="12"/>
        <v>100</v>
      </c>
      <c r="T27" s="1341" t="s">
        <v>104</v>
      </c>
      <c r="U27" s="1342">
        <f t="shared" si="13"/>
        <v>100</v>
      </c>
      <c r="V27" s="1341" t="s">
        <v>104</v>
      </c>
      <c r="W27" s="1342">
        <f t="shared" si="14"/>
        <v>100</v>
      </c>
      <c r="X27" s="287"/>
      <c r="Y27" s="3593"/>
      <c r="Z27" s="288">
        <f>Q27</f>
        <v>111</v>
      </c>
      <c r="AA27" s="1354">
        <f t="shared" si="15"/>
        <v>1</v>
      </c>
      <c r="AB27" s="1354">
        <f t="shared" si="16"/>
        <v>1</v>
      </c>
      <c r="AC27" s="1354">
        <f t="shared" si="17"/>
        <v>1</v>
      </c>
    </row>
    <row r="28" spans="1:29" ht="14.25">
      <c r="A28" s="151"/>
      <c r="B28" s="1356">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00"/>
      <c r="Q28" s="1350">
        <f t="shared" si="11"/>
        <v>111</v>
      </c>
      <c r="R28" s="1351" t="s">
        <v>104</v>
      </c>
      <c r="S28" s="1352">
        <f t="shared" si="12"/>
        <v>100</v>
      </c>
      <c r="T28" s="1351" t="s">
        <v>104</v>
      </c>
      <c r="U28" s="1352">
        <f t="shared" si="13"/>
        <v>100</v>
      </c>
      <c r="V28" s="1351" t="s">
        <v>104</v>
      </c>
      <c r="W28" s="1352">
        <f t="shared" si="14"/>
        <v>100</v>
      </c>
      <c r="X28" s="1339"/>
      <c r="Y28" s="3593"/>
      <c r="Z28" s="1353">
        <f t="shared" ref="Z28:Z46" si="18">Q28</f>
        <v>111</v>
      </c>
      <c r="AA28" s="1354">
        <f t="shared" si="15"/>
        <v>1</v>
      </c>
      <c r="AB28" s="1354">
        <f t="shared" si="16"/>
        <v>1</v>
      </c>
      <c r="AC28" s="1354">
        <f t="shared" si="17"/>
        <v>1</v>
      </c>
    </row>
    <row r="29" spans="1:29" ht="14.25">
      <c r="A29" s="151"/>
      <c r="B29" s="1356">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00"/>
      <c r="Q29" s="1350">
        <f t="shared" si="11"/>
        <v>111</v>
      </c>
      <c r="R29" s="1351" t="s">
        <v>104</v>
      </c>
      <c r="S29" s="1352">
        <f t="shared" si="12"/>
        <v>100</v>
      </c>
      <c r="T29" s="1351" t="s">
        <v>104</v>
      </c>
      <c r="U29" s="1352">
        <f t="shared" si="13"/>
        <v>100</v>
      </c>
      <c r="V29" s="1351" t="s">
        <v>104</v>
      </c>
      <c r="W29" s="1352">
        <f t="shared" si="14"/>
        <v>100</v>
      </c>
      <c r="X29" s="1339"/>
      <c r="Y29" s="3593"/>
      <c r="Z29" s="1353">
        <f t="shared" si="18"/>
        <v>111</v>
      </c>
      <c r="AA29" s="1354">
        <f t="shared" si="15"/>
        <v>1</v>
      </c>
      <c r="AB29" s="1354">
        <f t="shared" si="16"/>
        <v>1</v>
      </c>
      <c r="AC29" s="1354">
        <f t="shared" si="17"/>
        <v>1</v>
      </c>
    </row>
    <row r="30" spans="1:29" ht="14.25">
      <c r="A30" s="151"/>
      <c r="B30" s="1356">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00"/>
      <c r="Q30" s="1350">
        <f t="shared" si="11"/>
        <v>111</v>
      </c>
      <c r="R30" s="1351" t="s">
        <v>104</v>
      </c>
      <c r="S30" s="1352">
        <f t="shared" si="12"/>
        <v>100</v>
      </c>
      <c r="T30" s="1351" t="s">
        <v>104</v>
      </c>
      <c r="U30" s="1352">
        <f t="shared" si="13"/>
        <v>100</v>
      </c>
      <c r="V30" s="1351" t="s">
        <v>104</v>
      </c>
      <c r="W30" s="1352">
        <f t="shared" si="14"/>
        <v>100</v>
      </c>
      <c r="X30" s="1339"/>
      <c r="Y30" s="3593"/>
      <c r="Z30" s="1353">
        <f t="shared" si="18"/>
        <v>111</v>
      </c>
      <c r="AA30" s="1354">
        <f t="shared" si="15"/>
        <v>1</v>
      </c>
      <c r="AB30" s="1354">
        <f t="shared" si="16"/>
        <v>1</v>
      </c>
      <c r="AC30" s="1354">
        <f t="shared" si="17"/>
        <v>1</v>
      </c>
    </row>
    <row r="31" spans="1:29" ht="15" thickBot="1">
      <c r="A31" s="154"/>
      <c r="B31" s="1356">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00"/>
      <c r="Q31" s="1350">
        <f t="shared" si="11"/>
        <v>111</v>
      </c>
      <c r="R31" s="1351" t="s">
        <v>104</v>
      </c>
      <c r="S31" s="1352">
        <f t="shared" si="12"/>
        <v>100</v>
      </c>
      <c r="T31" s="1351" t="s">
        <v>104</v>
      </c>
      <c r="U31" s="1352">
        <f t="shared" si="13"/>
        <v>100</v>
      </c>
      <c r="V31" s="1351" t="s">
        <v>104</v>
      </c>
      <c r="W31" s="1352">
        <f t="shared" si="14"/>
        <v>100</v>
      </c>
      <c r="X31" s="1339"/>
      <c r="Y31" s="3593"/>
      <c r="Z31" s="1353">
        <f t="shared" si="18"/>
        <v>111</v>
      </c>
      <c r="AA31" s="1354">
        <f t="shared" si="15"/>
        <v>1</v>
      </c>
      <c r="AB31" s="1354">
        <f t="shared" si="16"/>
        <v>1</v>
      </c>
      <c r="AC31" s="1354">
        <f t="shared" si="17"/>
        <v>1</v>
      </c>
    </row>
    <row r="32" spans="1:29" ht="15">
      <c r="A32" s="155" t="s">
        <v>1001</v>
      </c>
      <c r="B32" s="62" t="s">
        <v>75</v>
      </c>
      <c r="C32" s="110"/>
      <c r="D32" s="809">
        <v>100</v>
      </c>
      <c r="E32" s="111"/>
      <c r="F32" s="804">
        <f>SUMIF(100:100,E32,101:101)-SUMIF(100:100,C32,101:101)+100</f>
        <v>100</v>
      </c>
      <c r="G32" s="110"/>
      <c r="H32" s="809">
        <f>SUMIF(100:100,G32,101:101)-SUMIF(100:100,C32,101:101)+100</f>
        <v>100</v>
      </c>
      <c r="I32" s="111"/>
      <c r="J32" s="778">
        <f>SUMIF(100:100,I32,101:101)-SUMIF(100:100,C32,101:101)+100</f>
        <v>100</v>
      </c>
      <c r="K32" s="769"/>
      <c r="L32" s="2302"/>
      <c r="M32" s="2297"/>
      <c r="N32" s="2297"/>
      <c r="O32" s="2297"/>
      <c r="P32" s="3594" t="s">
        <v>70</v>
      </c>
      <c r="Q32" s="1350" t="str">
        <f t="shared" si="11"/>
        <v>建筑类型</v>
      </c>
      <c r="R32" s="1351" t="s">
        <v>104</v>
      </c>
      <c r="S32" s="1352">
        <f t="shared" si="12"/>
        <v>100</v>
      </c>
      <c r="T32" s="1351" t="s">
        <v>104</v>
      </c>
      <c r="U32" s="1352">
        <f t="shared" si="13"/>
        <v>100</v>
      </c>
      <c r="V32" s="1351" t="s">
        <v>104</v>
      </c>
      <c r="W32" s="1352">
        <f t="shared" si="14"/>
        <v>100</v>
      </c>
      <c r="X32" s="1339"/>
      <c r="Y32" s="3597" t="s">
        <v>70</v>
      </c>
      <c r="Z32" s="1353" t="str">
        <f t="shared" si="18"/>
        <v>建筑类型</v>
      </c>
      <c r="AA32" s="1354">
        <f t="shared" si="15"/>
        <v>1</v>
      </c>
      <c r="AB32" s="1354">
        <f t="shared" si="16"/>
        <v>1</v>
      </c>
      <c r="AC32" s="1354">
        <f t="shared" si="17"/>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595"/>
      <c r="Q33" s="1358" t="str">
        <f t="shared" si="11"/>
        <v>项目建筑规模</v>
      </c>
      <c r="R33" s="1359" t="s">
        <v>104</v>
      </c>
      <c r="S33" s="1360" t="e">
        <f t="shared" si="12"/>
        <v>#N/A</v>
      </c>
      <c r="T33" s="1359" t="s">
        <v>104</v>
      </c>
      <c r="U33" s="1360" t="e">
        <f t="shared" si="13"/>
        <v>#N/A</v>
      </c>
      <c r="V33" s="1359" t="s">
        <v>104</v>
      </c>
      <c r="W33" s="1360" t="e">
        <f t="shared" si="14"/>
        <v>#N/A</v>
      </c>
      <c r="X33" s="1361"/>
      <c r="Y33" s="3597"/>
      <c r="Z33" s="1362" t="str">
        <f t="shared" si="18"/>
        <v>项目建筑规模</v>
      </c>
      <c r="AA33" s="1354" t="e">
        <f t="shared" si="15"/>
        <v>#N/A</v>
      </c>
      <c r="AB33" s="1354" t="e">
        <f t="shared" si="16"/>
        <v>#N/A</v>
      </c>
      <c r="AC33" s="1354"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595"/>
      <c r="Q34" s="1350" t="str">
        <f t="shared" si="11"/>
        <v>建筑结构</v>
      </c>
      <c r="R34" s="1351" t="s">
        <v>104</v>
      </c>
      <c r="S34" s="1352">
        <f t="shared" si="12"/>
        <v>100</v>
      </c>
      <c r="T34" s="1351" t="s">
        <v>104</v>
      </c>
      <c r="U34" s="1352">
        <f t="shared" si="13"/>
        <v>100</v>
      </c>
      <c r="V34" s="1351" t="s">
        <v>104</v>
      </c>
      <c r="W34" s="1352">
        <f t="shared" si="14"/>
        <v>100</v>
      </c>
      <c r="X34" s="1339"/>
      <c r="Y34" s="3597"/>
      <c r="Z34" s="1353" t="str">
        <f t="shared" si="18"/>
        <v>建筑结构</v>
      </c>
      <c r="AA34" s="1354">
        <f t="shared" si="15"/>
        <v>1</v>
      </c>
      <c r="AB34" s="1354">
        <f t="shared" si="16"/>
        <v>1</v>
      </c>
      <c r="AC34" s="1354">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595"/>
      <c r="Q35" s="1350" t="str">
        <f t="shared" si="11"/>
        <v>建筑品质</v>
      </c>
      <c r="R35" s="1351" t="s">
        <v>104</v>
      </c>
      <c r="S35" s="1352">
        <f t="shared" si="12"/>
        <v>100</v>
      </c>
      <c r="T35" s="1351" t="s">
        <v>104</v>
      </c>
      <c r="U35" s="1352">
        <f t="shared" si="13"/>
        <v>100</v>
      </c>
      <c r="V35" s="1351" t="s">
        <v>104</v>
      </c>
      <c r="W35" s="1352">
        <f t="shared" si="14"/>
        <v>100</v>
      </c>
      <c r="X35" s="1339"/>
      <c r="Y35" s="3597"/>
      <c r="Z35" s="1353" t="str">
        <f t="shared" si="18"/>
        <v>建筑品质</v>
      </c>
      <c r="AA35" s="1354">
        <f t="shared" si="15"/>
        <v>1</v>
      </c>
      <c r="AB35" s="1354">
        <f t="shared" si="16"/>
        <v>1</v>
      </c>
      <c r="AC35" s="1354">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595"/>
      <c r="Q36" s="1350" t="str">
        <f t="shared" si="11"/>
        <v>公共部分装修</v>
      </c>
      <c r="R36" s="1351" t="s">
        <v>104</v>
      </c>
      <c r="S36" s="1352">
        <f t="shared" si="12"/>
        <v>100</v>
      </c>
      <c r="T36" s="1351" t="s">
        <v>104</v>
      </c>
      <c r="U36" s="1352">
        <f t="shared" si="13"/>
        <v>100</v>
      </c>
      <c r="V36" s="1351" t="s">
        <v>104</v>
      </c>
      <c r="W36" s="1352">
        <f t="shared" si="14"/>
        <v>100</v>
      </c>
      <c r="X36" s="1339"/>
      <c r="Y36" s="3597"/>
      <c r="Z36" s="1353" t="str">
        <f t="shared" si="18"/>
        <v>公共部分装修</v>
      </c>
      <c r="AA36" s="1354">
        <f t="shared" si="15"/>
        <v>1</v>
      </c>
      <c r="AB36" s="1354">
        <f t="shared" si="16"/>
        <v>1</v>
      </c>
      <c r="AC36" s="1354">
        <f t="shared" si="17"/>
        <v>1</v>
      </c>
    </row>
    <row r="37" spans="1:29" s="40" customFormat="1" ht="15">
      <c r="A37" s="1040"/>
      <c r="B37" s="12" t="s">
        <v>80</v>
      </c>
      <c r="C37" s="816"/>
      <c r="D37" s="426">
        <v>100</v>
      </c>
      <c r="E37" s="816"/>
      <c r="F37" s="768" t="e">
        <f>LOOKUP(E37,112:112,113:113)-LOOKUP(C37,112:112,113:113)+100</f>
        <v>#N/A</v>
      </c>
      <c r="G37" s="818"/>
      <c r="H37" s="426" t="e">
        <f>LOOKUP(G37,112:112,113:113)-LOOKUP(C37,112:112,113:113)+100</f>
        <v>#N/A</v>
      </c>
      <c r="I37" s="817"/>
      <c r="J37" s="426" t="e">
        <f>LOOKUP(I37,112:112,113:113)-LOOKUP(C37,112:112,113:113)+100</f>
        <v>#N/A</v>
      </c>
      <c r="K37" s="769"/>
      <c r="L37" s="2298"/>
      <c r="M37" s="2260"/>
      <c r="N37" s="2260"/>
      <c r="O37" s="2260"/>
      <c r="P37" s="3595"/>
      <c r="Q37" s="7" t="str">
        <f t="shared" si="11"/>
        <v>成新度</v>
      </c>
      <c r="R37" s="1341" t="s">
        <v>104</v>
      </c>
      <c r="S37" s="1342" t="e">
        <f t="shared" si="12"/>
        <v>#N/A</v>
      </c>
      <c r="T37" s="1341" t="s">
        <v>104</v>
      </c>
      <c r="U37" s="1342" t="e">
        <f t="shared" si="13"/>
        <v>#N/A</v>
      </c>
      <c r="V37" s="1341" t="s">
        <v>104</v>
      </c>
      <c r="W37" s="1342" t="e">
        <f t="shared" si="14"/>
        <v>#N/A</v>
      </c>
      <c r="X37" s="287"/>
      <c r="Y37" s="3597"/>
      <c r="Z37" s="288" t="str">
        <f t="shared" si="18"/>
        <v>成新度</v>
      </c>
      <c r="AA37" s="1343" t="e">
        <f t="shared" si="15"/>
        <v>#N/A</v>
      </c>
      <c r="AB37" s="1343" t="e">
        <f t="shared" si="16"/>
        <v>#N/A</v>
      </c>
      <c r="AC37" s="1343"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595" t="s">
        <v>70</v>
      </c>
      <c r="Q38" s="1350" t="str">
        <f t="shared" si="11"/>
        <v>物业管理</v>
      </c>
      <c r="R38" s="1351" t="s">
        <v>104</v>
      </c>
      <c r="S38" s="1352">
        <f t="shared" si="12"/>
        <v>100</v>
      </c>
      <c r="T38" s="1351" t="s">
        <v>104</v>
      </c>
      <c r="U38" s="1352">
        <f t="shared" si="13"/>
        <v>100</v>
      </c>
      <c r="V38" s="1351" t="s">
        <v>104</v>
      </c>
      <c r="W38" s="1352">
        <f t="shared" si="14"/>
        <v>100</v>
      </c>
      <c r="X38" s="1339"/>
      <c r="Y38" s="3597" t="s">
        <v>70</v>
      </c>
      <c r="Z38" s="1353" t="str">
        <f t="shared" si="18"/>
        <v>物业管理</v>
      </c>
      <c r="AA38" s="1354">
        <f t="shared" si="15"/>
        <v>1</v>
      </c>
      <c r="AB38" s="1354">
        <f t="shared" si="16"/>
        <v>1</v>
      </c>
      <c r="AC38" s="1354">
        <f t="shared" si="17"/>
        <v>1</v>
      </c>
    </row>
    <row r="39" spans="1:29" ht="15">
      <c r="A39" s="161"/>
      <c r="B39" s="12" t="s">
        <v>2647</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595"/>
      <c r="Q39" s="1350" t="str">
        <f t="shared" si="11"/>
        <v>市政基础设施</v>
      </c>
      <c r="R39" s="1351" t="s">
        <v>104</v>
      </c>
      <c r="S39" s="1352">
        <f t="shared" si="12"/>
        <v>100</v>
      </c>
      <c r="T39" s="1351" t="s">
        <v>104</v>
      </c>
      <c r="U39" s="1352">
        <f t="shared" si="13"/>
        <v>100</v>
      </c>
      <c r="V39" s="1351" t="s">
        <v>104</v>
      </c>
      <c r="W39" s="1352">
        <f t="shared" si="14"/>
        <v>100</v>
      </c>
      <c r="X39" s="1339"/>
      <c r="Y39" s="3597"/>
      <c r="Z39" s="1353" t="str">
        <f t="shared" si="18"/>
        <v>市政基础设施</v>
      </c>
      <c r="AA39" s="1354">
        <f t="shared" si="15"/>
        <v>1</v>
      </c>
      <c r="AB39" s="1354">
        <f t="shared" si="16"/>
        <v>1</v>
      </c>
      <c r="AC39" s="1354">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595"/>
      <c r="Q40" s="1350" t="str">
        <f t="shared" si="11"/>
        <v>房型</v>
      </c>
      <c r="R40" s="1351" t="s">
        <v>104</v>
      </c>
      <c r="S40" s="1352">
        <f t="shared" si="12"/>
        <v>100</v>
      </c>
      <c r="T40" s="1351" t="s">
        <v>104</v>
      </c>
      <c r="U40" s="1352">
        <f t="shared" si="13"/>
        <v>100</v>
      </c>
      <c r="V40" s="1351" t="s">
        <v>104</v>
      </c>
      <c r="W40" s="1352">
        <f t="shared" si="14"/>
        <v>100</v>
      </c>
      <c r="X40" s="1339"/>
      <c r="Y40" s="3597"/>
      <c r="Z40" s="1353" t="str">
        <f t="shared" si="18"/>
        <v>房型</v>
      </c>
      <c r="AA40" s="1354">
        <f t="shared" si="15"/>
        <v>1</v>
      </c>
      <c r="AB40" s="1354">
        <f t="shared" si="16"/>
        <v>1</v>
      </c>
      <c r="AC40" s="1354">
        <f t="shared" si="17"/>
        <v>1</v>
      </c>
    </row>
    <row r="41" spans="1:29" s="1038" customFormat="1" ht="27">
      <c r="A41" s="1042"/>
      <c r="B41" s="12" t="s">
        <v>105</v>
      </c>
      <c r="C41" s="1357"/>
      <c r="D41" s="426">
        <v>100</v>
      </c>
      <c r="E41" s="1028"/>
      <c r="F41" s="768">
        <f>SUMIF(120:120,E41,121:121)-SUMIF(120:120,C41,121:121)+100</f>
        <v>100</v>
      </c>
      <c r="G41" s="1027"/>
      <c r="H41" s="426">
        <f>SUMIF(120:120,G41,121:121)-SUMIF(120:120,C41,121:121)+100</f>
        <v>100</v>
      </c>
      <c r="I41" s="114"/>
      <c r="J41" s="778">
        <f>SUMIF(120:120,I41,121:121)-SUMIF(120:120,C41,121:121)+100</f>
        <v>100</v>
      </c>
      <c r="K41" s="153"/>
      <c r="L41" s="2301"/>
      <c r="M41" s="2303"/>
      <c r="N41" s="2303"/>
      <c r="O41" s="2303"/>
      <c r="P41" s="3595"/>
      <c r="Q41" s="1358" t="str">
        <f t="shared" si="11"/>
        <v>单套/主力户型建筑面积</v>
      </c>
      <c r="R41" s="1359" t="s">
        <v>104</v>
      </c>
      <c r="S41" s="1360">
        <f t="shared" si="12"/>
        <v>100</v>
      </c>
      <c r="T41" s="1359" t="s">
        <v>104</v>
      </c>
      <c r="U41" s="1360">
        <f t="shared" si="13"/>
        <v>100</v>
      </c>
      <c r="V41" s="1359" t="s">
        <v>104</v>
      </c>
      <c r="W41" s="1360">
        <f t="shared" si="14"/>
        <v>100</v>
      </c>
      <c r="X41" s="1361"/>
      <c r="Y41" s="3597"/>
      <c r="Z41" s="1362" t="str">
        <f t="shared" si="18"/>
        <v>单套/主力户型建筑面积</v>
      </c>
      <c r="AA41" s="1354">
        <f t="shared" si="15"/>
        <v>1</v>
      </c>
      <c r="AB41" s="1354">
        <f t="shared" si="16"/>
        <v>1</v>
      </c>
      <c r="AC41" s="1354">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595"/>
      <c r="Q42" s="1350" t="str">
        <f t="shared" si="11"/>
        <v>内部装修</v>
      </c>
      <c r="R42" s="1351" t="s">
        <v>104</v>
      </c>
      <c r="S42" s="1352">
        <f t="shared" si="12"/>
        <v>100</v>
      </c>
      <c r="T42" s="1351" t="s">
        <v>104</v>
      </c>
      <c r="U42" s="1352">
        <f t="shared" si="13"/>
        <v>100</v>
      </c>
      <c r="V42" s="1351" t="s">
        <v>104</v>
      </c>
      <c r="W42" s="1352">
        <f t="shared" si="14"/>
        <v>100</v>
      </c>
      <c r="X42" s="1339"/>
      <c r="Y42" s="3597"/>
      <c r="Z42" s="1353" t="str">
        <f t="shared" si="18"/>
        <v>内部装修</v>
      </c>
      <c r="AA42" s="1354">
        <f t="shared" si="15"/>
        <v>1</v>
      </c>
      <c r="AB42" s="1354">
        <f t="shared" si="16"/>
        <v>1</v>
      </c>
      <c r="AC42" s="1354">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595"/>
      <c r="Q43" s="1350" t="str">
        <f t="shared" si="11"/>
        <v>内部装修维护情况</v>
      </c>
      <c r="R43" s="1351" t="s">
        <v>104</v>
      </c>
      <c r="S43" s="1352">
        <f t="shared" si="12"/>
        <v>100</v>
      </c>
      <c r="T43" s="1351" t="s">
        <v>104</v>
      </c>
      <c r="U43" s="1352">
        <f t="shared" si="13"/>
        <v>100</v>
      </c>
      <c r="V43" s="1351" t="s">
        <v>104</v>
      </c>
      <c r="W43" s="1352">
        <f t="shared" si="14"/>
        <v>100</v>
      </c>
      <c r="X43" s="1339"/>
      <c r="Y43" s="3597"/>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8">
        <f>SUMIF(126:126,E44,127:127)-SUMIF(126:126,C44,127:127)+100</f>
        <v>100</v>
      </c>
      <c r="G44" s="1357"/>
      <c r="H44" s="426">
        <f>SUMIF(126:126,G44,127:127)-SUMIF(126:126,C44,127:127)+100</f>
        <v>100</v>
      </c>
      <c r="I44" s="1357"/>
      <c r="J44" s="426">
        <f>SUMIF(126:126,I44,127:127)-SUMIF(126:126,C44,127:127)+100</f>
        <v>100</v>
      </c>
      <c r="K44" s="153"/>
      <c r="L44" s="2298"/>
      <c r="M44" s="2260"/>
      <c r="N44" s="2260"/>
      <c r="O44" s="2260"/>
      <c r="P44" s="3595"/>
      <c r="Q44" s="7">
        <f t="shared" si="11"/>
        <v>111</v>
      </c>
      <c r="R44" s="1341" t="s">
        <v>104</v>
      </c>
      <c r="S44" s="1342">
        <f t="shared" si="12"/>
        <v>100</v>
      </c>
      <c r="T44" s="1341" t="s">
        <v>104</v>
      </c>
      <c r="U44" s="1342">
        <f t="shared" si="13"/>
        <v>100</v>
      </c>
      <c r="V44" s="1341" t="s">
        <v>104</v>
      </c>
      <c r="W44" s="1342">
        <f t="shared" si="14"/>
        <v>100</v>
      </c>
      <c r="X44" s="287"/>
      <c r="Y44" s="3597"/>
      <c r="Z44" s="288">
        <f t="shared" si="18"/>
        <v>111</v>
      </c>
      <c r="AA44" s="1343">
        <f t="shared" si="15"/>
        <v>1</v>
      </c>
      <c r="AB44" s="1343">
        <f t="shared" si="16"/>
        <v>1</v>
      </c>
      <c r="AC44" s="1343">
        <f t="shared" si="17"/>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595"/>
      <c r="Q45" s="1350">
        <f t="shared" si="11"/>
        <v>111</v>
      </c>
      <c r="R45" s="1351" t="s">
        <v>104</v>
      </c>
      <c r="S45" s="1352">
        <f t="shared" si="12"/>
        <v>100</v>
      </c>
      <c r="T45" s="1351" t="s">
        <v>104</v>
      </c>
      <c r="U45" s="1352">
        <f t="shared" si="13"/>
        <v>100</v>
      </c>
      <c r="V45" s="1351" t="s">
        <v>104</v>
      </c>
      <c r="W45" s="1352">
        <f t="shared" si="14"/>
        <v>100</v>
      </c>
      <c r="X45" s="1339"/>
      <c r="Y45" s="3597"/>
      <c r="Z45" s="1353">
        <f t="shared" si="18"/>
        <v>111</v>
      </c>
      <c r="AA45" s="1354">
        <f t="shared" si="15"/>
        <v>1</v>
      </c>
      <c r="AB45" s="1354">
        <f t="shared" si="16"/>
        <v>1</v>
      </c>
      <c r="AC45" s="1354">
        <f t="shared" si="17"/>
        <v>1</v>
      </c>
    </row>
    <row r="46" spans="1:29" ht="15" thickBot="1">
      <c r="A46" s="162"/>
      <c r="B46" s="1031">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596"/>
      <c r="Q46" s="1350">
        <f t="shared" si="11"/>
        <v>111</v>
      </c>
      <c r="R46" s="1351" t="s">
        <v>103</v>
      </c>
      <c r="S46" s="1352">
        <f t="shared" si="12"/>
        <v>100</v>
      </c>
      <c r="T46" s="1351" t="s">
        <v>103</v>
      </c>
      <c r="U46" s="1352">
        <f t="shared" si="13"/>
        <v>100</v>
      </c>
      <c r="V46" s="1351" t="s">
        <v>103</v>
      </c>
      <c r="W46" s="1352">
        <f t="shared" si="14"/>
        <v>100</v>
      </c>
      <c r="X46" s="1339"/>
      <c r="Y46" s="3598"/>
      <c r="Z46" s="1353">
        <f t="shared" si="18"/>
        <v>111</v>
      </c>
      <c r="AA46" s="1354">
        <f t="shared" si="15"/>
        <v>1</v>
      </c>
      <c r="AB46" s="1354">
        <f t="shared" si="16"/>
        <v>1</v>
      </c>
      <c r="AC46" s="1354">
        <f t="shared" si="17"/>
        <v>1</v>
      </c>
    </row>
    <row r="47" spans="1:29" ht="15">
      <c r="A47" s="163" t="s">
        <v>102</v>
      </c>
      <c r="B47" s="164"/>
      <c r="C47" s="2837" t="s">
        <v>101</v>
      </c>
      <c r="D47" s="2838"/>
      <c r="E47" s="2839"/>
      <c r="F47" s="2840"/>
      <c r="G47" s="2841"/>
      <c r="H47" s="2842"/>
      <c r="I47" s="2839"/>
      <c r="J47" s="2842"/>
      <c r="K47" s="1363"/>
      <c r="L47" s="2304"/>
      <c r="M47" s="2305"/>
      <c r="N47" s="2297"/>
      <c r="O47" s="2305"/>
      <c r="P47" s="3590" t="str">
        <f>A47</f>
        <v>成交单价（元/平方米）</v>
      </c>
      <c r="Q47" s="3590"/>
      <c r="R47" s="3591">
        <f>E47</f>
        <v>0</v>
      </c>
      <c r="S47" s="3591"/>
      <c r="T47" s="3591">
        <f>G47</f>
        <v>0</v>
      </c>
      <c r="U47" s="3591"/>
      <c r="V47" s="3591">
        <f>I47</f>
        <v>0</v>
      </c>
      <c r="W47" s="3591"/>
      <c r="X47" s="1364"/>
      <c r="Y47" s="1365"/>
      <c r="Z47" s="1364"/>
      <c r="AA47" s="1364"/>
      <c r="AB47" s="1364"/>
      <c r="AC47" s="1364"/>
    </row>
    <row r="48" spans="1:29" ht="15.75" thickBot="1">
      <c r="A48" s="165" t="s">
        <v>100</v>
      </c>
      <c r="B48" s="166"/>
      <c r="C48" s="2843" t="e">
        <f>R49</f>
        <v>#DIV/0!</v>
      </c>
      <c r="D48" s="2844"/>
      <c r="E48" s="2845" t="e">
        <f>R48</f>
        <v>#DIV/0!</v>
      </c>
      <c r="F48" s="2845"/>
      <c r="G48" s="2843" t="e">
        <f>T48</f>
        <v>#DIV/0!</v>
      </c>
      <c r="H48" s="2844"/>
      <c r="I48" s="2845" t="e">
        <f>V48</f>
        <v>#DIV/0!</v>
      </c>
      <c r="J48" s="2844"/>
      <c r="K48" s="1366"/>
      <c r="L48" s="2304"/>
      <c r="M48" s="2305"/>
      <c r="N48" s="2305"/>
      <c r="O48" s="230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4"/>
      <c r="Y48" s="1364"/>
      <c r="Z48" s="1364"/>
      <c r="AA48" s="1364"/>
      <c r="AB48" s="1364"/>
      <c r="AC48" s="1364"/>
    </row>
    <row r="49" spans="1:29" ht="15.75" thickBot="1">
      <c r="A49" s="115" t="s">
        <v>3022</v>
      </c>
      <c r="B49" s="116"/>
      <c r="C49" s="2846" t="e">
        <f>R49</f>
        <v>#DIV/0!</v>
      </c>
      <c r="D49" s="2847"/>
      <c r="E49" s="2847"/>
      <c r="F49" s="2847"/>
      <c r="G49" s="2847"/>
      <c r="H49" s="2847"/>
      <c r="I49" s="2847"/>
      <c r="J49" s="2847"/>
      <c r="K49" s="1367"/>
      <c r="L49" s="2304"/>
      <c r="M49" s="2305"/>
      <c r="N49" s="2305"/>
      <c r="O49" s="2305"/>
      <c r="P49" s="3587" t="str">
        <f>A49</f>
        <v>估价对象XX用房的比较价值（楼面单价，元/平方米）</v>
      </c>
      <c r="Q49" s="3588"/>
      <c r="R49" s="3589" t="e">
        <f>IF(F1="售价",ROUND(AVERAGE(R48:V48),0),ROUND(AVERAGE(R48:V48),1))</f>
        <v>#DIV/0!</v>
      </c>
      <c r="S49" s="3589"/>
      <c r="T49" s="3589"/>
      <c r="U49" s="3589"/>
      <c r="V49" s="3589"/>
      <c r="W49" s="3589"/>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39" t="s">
        <v>1005</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row>
    <row r="53" spans="1:29" ht="13.5" customHeight="1">
      <c r="A53" s="2305"/>
      <c r="B53" s="2305"/>
      <c r="C53" s="839" t="s">
        <v>1006</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row>
    <row r="54" spans="1:29" s="119" customFormat="1" ht="13.5" customHeight="1">
      <c r="A54" s="2310"/>
      <c r="B54" s="2310"/>
      <c r="C54" s="839" t="s">
        <v>1007</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70"/>
    </row>
    <row r="55" spans="1:29" s="119" customFormat="1">
      <c r="A55" s="2310"/>
      <c r="B55" s="2315"/>
      <c r="C55" s="2316"/>
      <c r="D55" s="2310"/>
      <c r="E55" s="2310"/>
      <c r="F55" s="2310"/>
      <c r="G55" s="2310"/>
      <c r="H55" s="2310"/>
      <c r="I55" s="2310"/>
      <c r="J55" s="2310"/>
      <c r="K55" s="2308"/>
      <c r="L55" s="2309"/>
      <c r="M55" s="2310"/>
      <c r="N55" s="2310"/>
      <c r="O55" s="2310"/>
      <c r="P55" s="1370"/>
    </row>
    <row r="56" spans="1:29">
      <c r="A56" s="2305"/>
      <c r="B56" s="2315"/>
      <c r="C56" s="2316"/>
      <c r="D56" s="2305"/>
      <c r="E56" s="2305"/>
      <c r="F56" s="2305"/>
      <c r="G56" s="2305"/>
      <c r="H56" s="2305"/>
      <c r="I56" s="2305"/>
      <c r="J56" s="2305"/>
      <c r="K56" s="2306"/>
      <c r="L56" s="2307"/>
      <c r="M56" s="2305"/>
      <c r="N56" s="2305"/>
      <c r="O56" s="2305"/>
    </row>
    <row r="57" spans="1:29" ht="21" thickBot="1">
      <c r="A57" s="1371" t="s">
        <v>127</v>
      </c>
      <c r="B57" s="1364"/>
      <c r="C57" s="1372"/>
      <c r="D57" s="1372"/>
      <c r="E57" s="1372"/>
      <c r="F57" s="1373"/>
      <c r="G57" s="1373"/>
      <c r="H57" s="1372"/>
      <c r="I57" s="1372"/>
      <c r="J57" s="1372"/>
      <c r="K57" s="2311"/>
      <c r="L57" s="2312"/>
      <c r="M57" s="2313"/>
      <c r="N57" s="2313"/>
      <c r="O57" s="2313"/>
      <c r="P57" s="1375"/>
      <c r="Q57" s="121"/>
    </row>
    <row r="58" spans="1:29" s="850" customFormat="1" ht="15">
      <c r="A58" s="847" t="s">
        <v>2800</v>
      </c>
      <c r="B58" s="848"/>
      <c r="C58" s="3048" t="str">
        <f>YEAR(C7)&amp;"-"&amp;MONTH(C7)</f>
        <v>2017-7</v>
      </c>
      <c r="D58" s="3047">
        <f>EDATE(C58,-1)</f>
        <v>42887</v>
      </c>
      <c r="E58" s="3047">
        <f>EDATE(D58,-1)</f>
        <v>42856</v>
      </c>
      <c r="F58" s="3047">
        <f t="shared" ref="F58:O58" si="19">EDATE(E58,-1)</f>
        <v>42826</v>
      </c>
      <c r="G58" s="3047">
        <f t="shared" si="19"/>
        <v>42795</v>
      </c>
      <c r="H58" s="3047">
        <f t="shared" si="19"/>
        <v>42767</v>
      </c>
      <c r="I58" s="3047">
        <f t="shared" si="19"/>
        <v>42736</v>
      </c>
      <c r="J58" s="3047">
        <f t="shared" si="19"/>
        <v>42705</v>
      </c>
      <c r="K58" s="3047">
        <f t="shared" si="19"/>
        <v>42675</v>
      </c>
      <c r="L58" s="3047">
        <f t="shared" si="19"/>
        <v>42644</v>
      </c>
      <c r="M58" s="3047">
        <f t="shared" si="19"/>
        <v>42614</v>
      </c>
      <c r="N58" s="3047">
        <f t="shared" si="19"/>
        <v>42583</v>
      </c>
      <c r="O58" s="3047">
        <f t="shared" si="19"/>
        <v>42552</v>
      </c>
      <c r="P58" s="3040"/>
    </row>
    <row r="59" spans="1:29" s="40" customFormat="1" ht="14.25">
      <c r="A59" s="1044"/>
      <c r="B59" s="3043"/>
      <c r="C59" s="3044">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1015</v>
      </c>
      <c r="D78" s="920" t="s">
        <v>1016</v>
      </c>
      <c r="E78" s="920" t="s">
        <v>1017</v>
      </c>
      <c r="F78" s="920" t="s">
        <v>1018</v>
      </c>
      <c r="G78" s="920" t="s">
        <v>1019</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2639</v>
      </c>
      <c r="C80" s="920" t="s">
        <v>1015</v>
      </c>
      <c r="D80" s="920" t="s">
        <v>1016</v>
      </c>
      <c r="E80" s="920" t="s">
        <v>428</v>
      </c>
      <c r="F80" s="920" t="s">
        <v>429</v>
      </c>
      <c r="G80" s="920" t="s">
        <v>430</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2649</v>
      </c>
      <c r="C82" s="177" t="s">
        <v>2650</v>
      </c>
      <c r="D82" s="177" t="s">
        <v>2654</v>
      </c>
      <c r="E82" s="177" t="s">
        <v>2651</v>
      </c>
      <c r="F82" s="177" t="s">
        <v>2652</v>
      </c>
      <c r="G82" s="177" t="s">
        <v>2653</v>
      </c>
      <c r="H82" s="881"/>
      <c r="I82" s="881"/>
      <c r="J82" s="881"/>
      <c r="K82" s="881"/>
      <c r="L82" s="881"/>
      <c r="M82" s="2766"/>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3"/>
      <c r="N83" s="1389"/>
      <c r="O83" s="1389"/>
      <c r="P83" s="1378"/>
      <c r="Q83" s="121"/>
    </row>
    <row r="84" spans="1:17" ht="15" thickTop="1">
      <c r="A84" s="173"/>
      <c r="B84" s="1053" t="s">
        <v>98</v>
      </c>
      <c r="C84" s="920" t="s">
        <v>426</v>
      </c>
      <c r="D84" s="920" t="s">
        <v>427</v>
      </c>
      <c r="E84" s="920" t="s">
        <v>428</v>
      </c>
      <c r="F84" s="920" t="s">
        <v>429</v>
      </c>
      <c r="G84" s="920" t="s">
        <v>430</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2298</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2641</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426</v>
      </c>
      <c r="D124" s="920" t="s">
        <v>427</v>
      </c>
      <c r="E124" s="920" t="s">
        <v>428</v>
      </c>
      <c r="F124" s="920" t="s">
        <v>429</v>
      </c>
      <c r="G124" s="920" t="s">
        <v>430</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2" t="s">
        <v>2299</v>
      </c>
    </row>
    <row r="137" spans="1:17" ht="14.25">
      <c r="B137" s="2143" t="s">
        <v>2300</v>
      </c>
      <c r="C137" s="2144"/>
      <c r="D137" s="2144"/>
      <c r="E137" s="2144"/>
      <c r="F137" s="2144"/>
      <c r="G137" s="2145"/>
      <c r="H137" s="2146"/>
      <c r="I137" s="2147" t="s">
        <v>2301</v>
      </c>
      <c r="J137" s="2144"/>
      <c r="K137" s="2148"/>
    </row>
    <row r="138" spans="1:17" ht="14.25">
      <c r="B138" s="2149"/>
      <c r="C138" s="1778" t="s">
        <v>2302</v>
      </c>
      <c r="D138" s="1778" t="s">
        <v>2303</v>
      </c>
      <c r="E138" s="2150" t="s">
        <v>2304</v>
      </c>
      <c r="F138" s="2151" t="s">
        <v>2305</v>
      </c>
      <c r="G138" s="1778" t="s">
        <v>2303</v>
      </c>
      <c r="H138" s="2152" t="s">
        <v>2304</v>
      </c>
      <c r="I138" s="2153"/>
      <c r="J138" s="1778" t="s">
        <v>2306</v>
      </c>
      <c r="K138" s="2152" t="s">
        <v>2307</v>
      </c>
    </row>
    <row r="139" spans="1:17" ht="15">
      <c r="B139" s="2154">
        <v>6</v>
      </c>
      <c r="C139" s="2155">
        <v>96</v>
      </c>
      <c r="D139" s="2156" t="s">
        <v>2308</v>
      </c>
      <c r="E139" s="2157">
        <v>100</v>
      </c>
      <c r="F139" s="2158">
        <v>102.5</v>
      </c>
      <c r="G139" s="2156" t="s">
        <v>2308</v>
      </c>
      <c r="H139" s="2159">
        <v>105</v>
      </c>
      <c r="I139" s="2160" t="s">
        <v>2309</v>
      </c>
      <c r="J139" s="2155">
        <v>20</v>
      </c>
      <c r="K139" s="2161">
        <f>C145/(J139-2)</f>
        <v>4.0555555555555553E-3</v>
      </c>
    </row>
    <row r="140" spans="1:17" ht="15">
      <c r="B140" s="2162">
        <v>5</v>
      </c>
      <c r="C140" s="2163">
        <v>100</v>
      </c>
      <c r="D140" s="2164"/>
      <c r="E140" s="2165"/>
      <c r="F140" s="2166">
        <v>102</v>
      </c>
      <c r="G140" s="2164"/>
      <c r="H140" s="2167"/>
      <c r="I140" s="2168" t="s">
        <v>2310</v>
      </c>
      <c r="J140" s="647">
        <f>ROUNDUP((J139-1)/2,0)</f>
        <v>10</v>
      </c>
      <c r="K140" s="2169">
        <v>100</v>
      </c>
    </row>
    <row r="141" spans="1:17" ht="15">
      <c r="B141" s="2162">
        <v>4</v>
      </c>
      <c r="C141" s="2163">
        <v>102</v>
      </c>
      <c r="D141" s="2164"/>
      <c r="E141" s="2165"/>
      <c r="F141" s="2166">
        <v>101.5</v>
      </c>
      <c r="G141" s="2164"/>
      <c r="H141" s="2167"/>
      <c r="I141" s="2168" t="s">
        <v>2311</v>
      </c>
      <c r="J141" s="647">
        <v>1</v>
      </c>
      <c r="K141" s="2170">
        <f>ROUND(100+(J141-J140)*K139*100,1)</f>
        <v>96.4</v>
      </c>
    </row>
    <row r="142" spans="1:17" ht="15">
      <c r="B142" s="2162">
        <v>3</v>
      </c>
      <c r="C142" s="2163">
        <v>103</v>
      </c>
      <c r="D142" s="2164"/>
      <c r="E142" s="2165"/>
      <c r="F142" s="2166">
        <v>101</v>
      </c>
      <c r="G142" s="2164"/>
      <c r="H142" s="2167"/>
      <c r="I142" s="2168" t="s">
        <v>2312</v>
      </c>
      <c r="J142" s="647">
        <f>J139</f>
        <v>20</v>
      </c>
      <c r="K142" s="2171">
        <v>95</v>
      </c>
    </row>
    <row r="143" spans="1:17" ht="15">
      <c r="B143" s="2162">
        <v>2</v>
      </c>
      <c r="C143" s="2163">
        <v>100</v>
      </c>
      <c r="D143" s="2164"/>
      <c r="E143" s="2165"/>
      <c r="F143" s="2166">
        <v>100.5</v>
      </c>
      <c r="G143" s="2164"/>
      <c r="H143" s="2167"/>
      <c r="I143" s="2168" t="s">
        <v>2313</v>
      </c>
      <c r="J143" s="2163">
        <v>15</v>
      </c>
      <c r="K143" s="2170">
        <f>ROUND(100+(J143-J140)*K139*100,1)</f>
        <v>102</v>
      </c>
    </row>
    <row r="144" spans="1:17" ht="15">
      <c r="B144" s="2162">
        <v>1</v>
      </c>
      <c r="C144" s="2163">
        <v>98</v>
      </c>
      <c r="D144" s="1159" t="s">
        <v>2314</v>
      </c>
      <c r="E144" s="2165">
        <v>102</v>
      </c>
      <c r="F144" s="2172">
        <v>100</v>
      </c>
      <c r="G144" s="1159" t="s">
        <v>2314</v>
      </c>
      <c r="H144" s="2167">
        <v>105</v>
      </c>
      <c r="I144" s="2168" t="s">
        <v>2313</v>
      </c>
      <c r="J144" s="2163">
        <v>18</v>
      </c>
      <c r="K144" s="2170">
        <f>ROUND(100+(J144-J140)*K139*100,1)</f>
        <v>103.2</v>
      </c>
    </row>
    <row r="145" spans="2:11" ht="15.75" thickBot="1">
      <c r="B145" s="2173" t="s">
        <v>2315</v>
      </c>
      <c r="C145" s="2174">
        <f>ROUND(MAX(C139:C144)/MIN(C139:C144)-1,3)</f>
        <v>7.2999999999999995E-2</v>
      </c>
      <c r="D145" s="2175"/>
      <c r="E145" s="2176"/>
      <c r="F145" s="2177" t="s">
        <v>2316</v>
      </c>
      <c r="G145" s="2178"/>
      <c r="H145" s="2179"/>
      <c r="I145" s="2180" t="s">
        <v>2317</v>
      </c>
      <c r="J145" s="2181">
        <v>8</v>
      </c>
      <c r="K145" s="2182">
        <f>ROUND(100+(J145-J140)*K139*100,1)</f>
        <v>99.2</v>
      </c>
    </row>
    <row r="147" spans="2:11">
      <c r="B147" s="2142" t="s">
        <v>2325</v>
      </c>
    </row>
    <row r="148" spans="2:11">
      <c r="B148" s="2142" t="s">
        <v>2326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0" priority="15" stopIfTrue="1" operator="containsText" text="超过">
      <formula>NOT(ISERROR(SEARCH("超过",F52)))</formula>
    </cfRule>
  </conditionalFormatting>
  <conditionalFormatting sqref="J54">
    <cfRule type="containsText" dxfId="129" priority="14" stopIfTrue="1" operator="containsText" text="超过">
      <formula>NOT(ISERROR(SEARCH("超过",J54)))</formula>
    </cfRule>
  </conditionalFormatting>
  <conditionalFormatting sqref="H54">
    <cfRule type="containsText" dxfId="128" priority="13" stopIfTrue="1" operator="containsText" text="超过">
      <formula>NOT(ISERROR(SEARCH("超过",H54)))</formula>
    </cfRule>
  </conditionalFormatting>
  <conditionalFormatting sqref="F54">
    <cfRule type="containsText" dxfId="127" priority="12" stopIfTrue="1" operator="containsText" text="超过">
      <formula>NOT(ISERROR(SEARCH("超过",F54)))</formula>
    </cfRule>
  </conditionalFormatting>
  <conditionalFormatting sqref="F53 H53 J53">
    <cfRule type="containsText" dxfId="126" priority="11" stopIfTrue="1" operator="containsText" text="超过">
      <formula>NOT(ISERROR(SEARCH("超过",F53)))</formula>
    </cfRule>
  </conditionalFormatting>
  <conditionalFormatting sqref="E52">
    <cfRule type="expression" dxfId="125" priority="10" stopIfTrue="1">
      <formula>$F$52="超过30%"</formula>
    </cfRule>
  </conditionalFormatting>
  <conditionalFormatting sqref="G54">
    <cfRule type="expression" dxfId="124" priority="8" stopIfTrue="1">
      <formula>$H$54="超过30%"</formula>
    </cfRule>
  </conditionalFormatting>
  <conditionalFormatting sqref="E53">
    <cfRule type="expression" dxfId="123" priority="7" stopIfTrue="1">
      <formula>$F$53="超过20%"</formula>
    </cfRule>
  </conditionalFormatting>
  <conditionalFormatting sqref="E54">
    <cfRule type="expression" dxfId="122" priority="6" stopIfTrue="1">
      <formula>$F$54="超过30%"</formula>
    </cfRule>
  </conditionalFormatting>
  <conditionalFormatting sqref="G52">
    <cfRule type="expression" dxfId="121" priority="5" stopIfTrue="1">
      <formula>$H$52="超过30%"</formula>
    </cfRule>
  </conditionalFormatting>
  <conditionalFormatting sqref="G53">
    <cfRule type="expression" dxfId="120" priority="4" stopIfTrue="1">
      <formula>$H$53="超过20%"</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108</v>
      </c>
      <c r="B1" s="3106" t="s">
        <v>1</v>
      </c>
      <c r="C1" s="3107" t="s">
        <v>128</v>
      </c>
      <c r="D1" s="3108"/>
      <c r="E1" s="3111"/>
      <c r="F1" s="3110"/>
      <c r="G1" s="3112" t="s">
        <v>129</v>
      </c>
      <c r="H1" s="3113"/>
      <c r="I1" s="3113"/>
      <c r="J1" s="3113"/>
      <c r="K1" s="3114"/>
      <c r="L1" s="3115"/>
      <c r="M1" s="3107"/>
      <c r="N1" s="3107"/>
      <c r="O1" s="3107"/>
      <c r="P1" s="3120"/>
      <c r="Q1" s="3121"/>
      <c r="R1" s="3121"/>
      <c r="S1" s="3121"/>
      <c r="T1" s="3121"/>
      <c r="U1" s="3121"/>
      <c r="V1" s="3121"/>
      <c r="W1" s="3121"/>
      <c r="X1" s="3121"/>
      <c r="Y1" s="3121"/>
      <c r="Z1" s="3121"/>
      <c r="AA1" s="3121"/>
      <c r="AB1" s="3121"/>
      <c r="AC1" s="3122"/>
    </row>
    <row r="2" spans="1:29" s="90" customFormat="1" ht="28.5" customHeight="1" thickTop="1">
      <c r="A2" s="3101" t="s">
        <v>173</v>
      </c>
      <c r="B2" s="2848" t="e">
        <f ca="1">IF(C2="——",ROUND(C49*D3/10000,0),ROUND(C49*D3/10000,0)-D2)</f>
        <v>#DIV/0!</v>
      </c>
      <c r="C2" s="3102"/>
      <c r="D2" s="2725" t="e">
        <f ca="1">SUMIF(INDIRECT("'"&amp;F2&amp;"'"&amp;"!A:A"),"承租人权益价值",INDIRECT("'"&amp;F2&amp;"'"&amp;"!c:c"))</f>
        <v>#REF!</v>
      </c>
      <c r="E2" s="3103" t="s">
        <v>867</v>
      </c>
      <c r="F2" s="3104"/>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1" t="e">
        <f ca="1">IF(C2="——",C49,ROUND(B2*10000/D3,0))</f>
        <v>#DIV/0!</v>
      </c>
      <c r="C3" s="142" t="s">
        <v>168</v>
      </c>
      <c r="D3" s="742">
        <f>IF(D1="",'数据-汇总表'!E3,SUMIF('数据-汇总表'!$C19:$C33,D1,'数据-汇总表'!$E19:$E33))</f>
        <v>7148.0899999999992</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573" t="s">
        <v>54</v>
      </c>
      <c r="D4" s="3574"/>
      <c r="E4" s="3575" t="s">
        <v>55</v>
      </c>
      <c r="F4" s="3576"/>
      <c r="G4" s="3573" t="s">
        <v>56</v>
      </c>
      <c r="H4" s="3574"/>
      <c r="I4" s="3573" t="s">
        <v>57</v>
      </c>
      <c r="J4" s="3574"/>
      <c r="K4" s="187" t="s">
        <v>58</v>
      </c>
      <c r="L4" s="2296"/>
      <c r="M4" s="2297"/>
      <c r="N4" s="2297"/>
      <c r="O4" s="2297"/>
      <c r="P4" s="3577" t="s">
        <v>53</v>
      </c>
      <c r="Q4" s="3578"/>
      <c r="R4" s="3560" t="s">
        <v>55</v>
      </c>
      <c r="S4" s="3561"/>
      <c r="T4" s="3560" t="s">
        <v>56</v>
      </c>
      <c r="U4" s="3561"/>
      <c r="V4" s="3585" t="s">
        <v>57</v>
      </c>
      <c r="W4" s="3585"/>
      <c r="X4" s="1339"/>
      <c r="Y4" s="3560" t="s">
        <v>53</v>
      </c>
      <c r="Z4" s="3561"/>
      <c r="AA4" s="3555" t="s">
        <v>55</v>
      </c>
      <c r="AB4" s="3585" t="s">
        <v>56</v>
      </c>
      <c r="AC4" s="3555" t="s">
        <v>57</v>
      </c>
    </row>
    <row r="5" spans="1:29">
      <c r="A5" s="146"/>
      <c r="B5" s="147"/>
      <c r="C5" s="3566" t="s">
        <v>59</v>
      </c>
      <c r="D5" s="3567"/>
      <c r="E5" s="3564" t="s">
        <v>60</v>
      </c>
      <c r="F5" s="3565"/>
      <c r="G5" s="3566" t="s">
        <v>61</v>
      </c>
      <c r="H5" s="3567"/>
      <c r="I5" s="3566" t="s">
        <v>62</v>
      </c>
      <c r="J5" s="3567"/>
      <c r="K5" s="187"/>
      <c r="L5" s="2296"/>
      <c r="M5" s="2297"/>
      <c r="N5" s="2297"/>
      <c r="O5" s="2297"/>
      <c r="P5" s="3579"/>
      <c r="Q5" s="3580"/>
      <c r="R5" s="3562"/>
      <c r="S5" s="3563"/>
      <c r="T5" s="3562"/>
      <c r="U5" s="3563"/>
      <c r="V5" s="3585"/>
      <c r="W5" s="3585"/>
      <c r="X5" s="1339"/>
      <c r="Y5" s="3562"/>
      <c r="Z5" s="3563"/>
      <c r="AA5" s="3556"/>
      <c r="AB5" s="3585"/>
      <c r="AC5" s="3556"/>
    </row>
    <row r="6" spans="1:29" ht="14.25" thickBot="1">
      <c r="A6" s="148"/>
      <c r="B6" s="149"/>
      <c r="C6" s="3568" t="s">
        <v>63</v>
      </c>
      <c r="D6" s="3569"/>
      <c r="E6" s="3570" t="s">
        <v>63</v>
      </c>
      <c r="F6" s="3571"/>
      <c r="G6" s="3568" t="s">
        <v>63</v>
      </c>
      <c r="H6" s="3569"/>
      <c r="I6" s="3568" t="s">
        <v>63</v>
      </c>
      <c r="J6" s="3569"/>
      <c r="K6" s="187" t="s">
        <v>117</v>
      </c>
      <c r="L6" s="2296"/>
      <c r="M6" s="2297"/>
      <c r="N6" s="2297"/>
      <c r="O6" s="2297"/>
      <c r="P6" s="3581"/>
      <c r="Q6" s="3582"/>
      <c r="R6" s="3562"/>
      <c r="S6" s="3563"/>
      <c r="T6" s="3583"/>
      <c r="U6" s="3584"/>
      <c r="V6" s="3585"/>
      <c r="W6" s="3585"/>
      <c r="X6" s="1339"/>
      <c r="Y6" s="3583"/>
      <c r="Z6" s="3584"/>
      <c r="AA6" s="3557"/>
      <c r="AB6" s="3585"/>
      <c r="AC6" s="3557"/>
    </row>
    <row r="7" spans="1:29" s="40" customFormat="1" ht="15" thickBot="1">
      <c r="A7" s="1013" t="s">
        <v>64</v>
      </c>
      <c r="B7" s="1014"/>
      <c r="C7" s="1015">
        <f>'数据-取费表'!B2</f>
        <v>42928</v>
      </c>
      <c r="D7" s="754">
        <v>100</v>
      </c>
      <c r="E7" s="1016"/>
      <c r="F7" s="756">
        <f>SUMIF(58:58,YEAR(E7)&amp;"-"&amp;MONTH(E7),59:59)</f>
        <v>0</v>
      </c>
      <c r="G7" s="1016"/>
      <c r="H7" s="754">
        <f>SUMIF(58:58,YEAR(G7)&amp;"-"&amp;MONTH(G7),59:59)</f>
        <v>0</v>
      </c>
      <c r="I7" s="1016"/>
      <c r="J7" s="754">
        <f>SUMIF(58:58,YEAR(I7)&amp;"-"&amp;MONTH(I7),59:59)</f>
        <v>0</v>
      </c>
      <c r="K7" s="1018"/>
      <c r="L7" s="2298"/>
      <c r="M7" s="2260"/>
      <c r="N7" s="2260"/>
      <c r="O7" s="2260"/>
      <c r="P7" s="3558" t="s">
        <v>64</v>
      </c>
      <c r="Q7" s="3586"/>
      <c r="R7" s="1341" t="s">
        <v>65</v>
      </c>
      <c r="S7" s="1342">
        <f t="shared" ref="S7:S15" si="0">F7</f>
        <v>0</v>
      </c>
      <c r="T7" s="1341" t="s">
        <v>65</v>
      </c>
      <c r="U7" s="1342">
        <f t="shared" ref="U7:U15" si="1">H7</f>
        <v>0</v>
      </c>
      <c r="V7" s="1341" t="s">
        <v>65</v>
      </c>
      <c r="W7" s="1342">
        <f t="shared" ref="W7:W15" si="2">J7</f>
        <v>0</v>
      </c>
      <c r="X7" s="287"/>
      <c r="Y7" s="3558" t="s">
        <v>64</v>
      </c>
      <c r="Z7" s="3559"/>
      <c r="AA7" s="1343" t="e">
        <f>D7/F7</f>
        <v>#DIV/0!</v>
      </c>
      <c r="AB7" s="1343" t="e">
        <f>D7/H7</f>
        <v>#DIV/0!</v>
      </c>
      <c r="AC7" s="1343" t="e">
        <f>D7/J7</f>
        <v>#DIV/0!</v>
      </c>
    </row>
    <row r="8" spans="1:29" s="40" customFormat="1" ht="15" thickBot="1">
      <c r="A8" s="1013" t="s">
        <v>66</v>
      </c>
      <c r="B8" s="1014"/>
      <c r="C8" s="1019" t="s">
        <v>116</v>
      </c>
      <c r="D8" s="754">
        <v>100</v>
      </c>
      <c r="E8" s="1019"/>
      <c r="F8" s="756">
        <f>SUMIF(61:61,E8,62:62)-SUMIF(61:61,C8,62:62)+100</f>
        <v>0</v>
      </c>
      <c r="G8" s="1019"/>
      <c r="H8" s="754">
        <f>SUMIF(61:61,G8,62:62)-SUMIF(61:61,C8,62:62)+100</f>
        <v>0</v>
      </c>
      <c r="I8" s="1019"/>
      <c r="J8" s="754">
        <f>SUMIF(61:61,I8,62:62)-SUMIF(61:61,C8,62:62)+100</f>
        <v>0</v>
      </c>
      <c r="K8" s="1018"/>
      <c r="L8" s="2298"/>
      <c r="M8" s="2260"/>
      <c r="N8" s="2260"/>
      <c r="O8" s="2260"/>
      <c r="P8" s="3558" t="s">
        <v>1020</v>
      </c>
      <c r="Q8" s="3559"/>
      <c r="R8" s="1341" t="s">
        <v>65</v>
      </c>
      <c r="S8" s="1342">
        <f t="shared" si="0"/>
        <v>0</v>
      </c>
      <c r="T8" s="1341" t="s">
        <v>65</v>
      </c>
      <c r="U8" s="1342">
        <f t="shared" si="1"/>
        <v>0</v>
      </c>
      <c r="V8" s="1341" t="s">
        <v>65</v>
      </c>
      <c r="W8" s="1342">
        <f t="shared" si="2"/>
        <v>0</v>
      </c>
      <c r="X8" s="287"/>
      <c r="Y8" s="3558" t="s">
        <v>1020</v>
      </c>
      <c r="Z8" s="3559"/>
      <c r="AA8" s="1343" t="e">
        <f t="shared" ref="AA8:AA46" si="3">D8/F8</f>
        <v>#DIV/0!</v>
      </c>
      <c r="AB8" s="1343" t="e">
        <f t="shared" ref="AB8:AB46" si="4">D8/H8</f>
        <v>#DIV/0!</v>
      </c>
      <c r="AC8" s="1343" t="e">
        <f t="shared" ref="AC8:AC46" si="5">D8/J8</f>
        <v>#DIV/0!</v>
      </c>
    </row>
    <row r="9" spans="1:29" s="40" customFormat="1" ht="14.25">
      <c r="A9" s="1020" t="s">
        <v>1021</v>
      </c>
      <c r="B9" s="62" t="s">
        <v>1022</v>
      </c>
      <c r="C9" s="1345"/>
      <c r="D9" s="425">
        <v>100</v>
      </c>
      <c r="E9" s="1346"/>
      <c r="F9" s="761">
        <f>SUMIF(63:63,E9,64:64)-SUMIF(63:63,C9,64:64)+100</f>
        <v>100</v>
      </c>
      <c r="G9" s="1346"/>
      <c r="H9" s="425">
        <f>SUMIF(63:63,G9,64:64)-SUMIF(63:63,C9,64:64)+100</f>
        <v>100</v>
      </c>
      <c r="I9" s="1346"/>
      <c r="J9" s="425">
        <f>SUMIF(63:63,I9,64:64)-SUMIF(63:63,C9,64:64)+100</f>
        <v>100</v>
      </c>
      <c r="K9" s="1018"/>
      <c r="L9" s="2298"/>
      <c r="M9" s="2260"/>
      <c r="N9" s="2260"/>
      <c r="O9" s="2260"/>
      <c r="P9" s="3572" t="s">
        <v>67</v>
      </c>
      <c r="Q9" s="7" t="str">
        <f t="shared" ref="Q9:Q15" si="6">B9</f>
        <v>用途</v>
      </c>
      <c r="R9" s="1341" t="s">
        <v>65</v>
      </c>
      <c r="S9" s="1342">
        <f t="shared" si="0"/>
        <v>100</v>
      </c>
      <c r="T9" s="1341" t="s">
        <v>65</v>
      </c>
      <c r="U9" s="1342">
        <f t="shared" si="1"/>
        <v>100</v>
      </c>
      <c r="V9" s="1341" t="s">
        <v>65</v>
      </c>
      <c r="W9" s="1342">
        <f t="shared" si="2"/>
        <v>100</v>
      </c>
      <c r="X9" s="287"/>
      <c r="Y9" s="340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9"/>
      <c r="F10" s="768">
        <f>SUMIF(65:65,E10,66:66)-SUMIF(65:65,C10,66:66)+100</f>
        <v>100</v>
      </c>
      <c r="G10" s="1348"/>
      <c r="H10" s="426">
        <f>SUMIF(65:65,G10,66:66)-SUMIF(65:65,C10,66:66)+100</f>
        <v>100</v>
      </c>
      <c r="I10" s="1348"/>
      <c r="J10" s="426">
        <f>SUMIF(65:65,I10,66:66)-SUMIF(65:65,C10,66:66)+100</f>
        <v>100</v>
      </c>
      <c r="K10" s="954"/>
      <c r="L10" s="2299"/>
      <c r="M10" s="2300"/>
      <c r="N10" s="2300"/>
      <c r="O10" s="2300"/>
      <c r="P10" s="3572"/>
      <c r="Q10" s="7" t="str">
        <f t="shared" si="6"/>
        <v>土地使用年限（年）</v>
      </c>
      <c r="R10" s="1341" t="s">
        <v>65</v>
      </c>
      <c r="S10" s="1342">
        <f t="shared" si="0"/>
        <v>100</v>
      </c>
      <c r="T10" s="1341" t="s">
        <v>65</v>
      </c>
      <c r="U10" s="1342">
        <f t="shared" si="1"/>
        <v>100</v>
      </c>
      <c r="V10" s="1341" t="s">
        <v>65</v>
      </c>
      <c r="W10" s="1342">
        <f t="shared" si="2"/>
        <v>100</v>
      </c>
      <c r="X10" s="287"/>
      <c r="Y10" s="3400"/>
      <c r="Z10" s="288" t="str">
        <f t="shared" si="7"/>
        <v>土地使用年限（年）</v>
      </c>
      <c r="AA10" s="1343">
        <f t="shared" si="3"/>
        <v>1</v>
      </c>
      <c r="AB10" s="1343">
        <f t="shared" si="4"/>
        <v>1</v>
      </c>
      <c r="AC10" s="1343">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4"/>
      <c r="L11" s="2301"/>
      <c r="M11" s="2297"/>
      <c r="N11" s="2297"/>
      <c r="O11" s="2297"/>
      <c r="P11" s="3572"/>
      <c r="Q11" s="7" t="str">
        <f t="shared" si="6"/>
        <v>容积率</v>
      </c>
      <c r="R11" s="1341" t="s">
        <v>65</v>
      </c>
      <c r="S11" s="1342" t="e">
        <f t="shared" si="0"/>
        <v>#N/A</v>
      </c>
      <c r="T11" s="1341" t="s">
        <v>65</v>
      </c>
      <c r="U11" s="1342" t="e">
        <f t="shared" si="1"/>
        <v>#N/A</v>
      </c>
      <c r="V11" s="1341" t="s">
        <v>65</v>
      </c>
      <c r="W11" s="1342" t="e">
        <f t="shared" si="2"/>
        <v>#N/A</v>
      </c>
      <c r="X11" s="287"/>
      <c r="Y11" s="3400"/>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572"/>
      <c r="Q12" s="7">
        <f t="shared" si="6"/>
        <v>111</v>
      </c>
      <c r="R12" s="1341" t="s">
        <v>65</v>
      </c>
      <c r="S12" s="1342">
        <f t="shared" si="0"/>
        <v>100</v>
      </c>
      <c r="T12" s="1341" t="s">
        <v>65</v>
      </c>
      <c r="U12" s="1342">
        <f t="shared" si="1"/>
        <v>100</v>
      </c>
      <c r="V12" s="1341" t="s">
        <v>65</v>
      </c>
      <c r="W12" s="1342">
        <f t="shared" si="2"/>
        <v>100</v>
      </c>
      <c r="X12" s="287"/>
      <c r="Y12" s="3400"/>
      <c r="Z12" s="288">
        <f t="shared" si="7"/>
        <v>111</v>
      </c>
      <c r="AA12" s="1343">
        <f>D12/F12</f>
        <v>1</v>
      </c>
      <c r="AB12" s="1343">
        <f>D12/H12</f>
        <v>1</v>
      </c>
      <c r="AC12" s="1343">
        <f>D12/J12</f>
        <v>1</v>
      </c>
    </row>
    <row r="13" spans="1:29" ht="14.25">
      <c r="A13" s="151"/>
      <c r="B13" s="1030">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572"/>
      <c r="Q13" s="7">
        <f t="shared" si="6"/>
        <v>111</v>
      </c>
      <c r="R13" s="1341" t="s">
        <v>65</v>
      </c>
      <c r="S13" s="1342">
        <f t="shared" si="0"/>
        <v>100</v>
      </c>
      <c r="T13" s="1341" t="s">
        <v>65</v>
      </c>
      <c r="U13" s="1342">
        <f t="shared" si="1"/>
        <v>100</v>
      </c>
      <c r="V13" s="1341" t="s">
        <v>65</v>
      </c>
      <c r="W13" s="1342">
        <f t="shared" si="2"/>
        <v>100</v>
      </c>
      <c r="X13" s="287"/>
      <c r="Y13" s="3400"/>
      <c r="Z13" s="288">
        <f t="shared" si="7"/>
        <v>111</v>
      </c>
      <c r="AA13" s="1343">
        <f t="shared" si="3"/>
        <v>1</v>
      </c>
      <c r="AB13" s="1343">
        <f t="shared" si="4"/>
        <v>1</v>
      </c>
      <c r="AC13" s="1343">
        <f t="shared" si="5"/>
        <v>1</v>
      </c>
    </row>
    <row r="14" spans="1:29" ht="15" thickBot="1">
      <c r="A14" s="154"/>
      <c r="B14" s="1031">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572"/>
      <c r="Q14" s="7">
        <f t="shared" si="6"/>
        <v>111</v>
      </c>
      <c r="R14" s="1341" t="s">
        <v>65</v>
      </c>
      <c r="S14" s="1342">
        <f t="shared" si="0"/>
        <v>100</v>
      </c>
      <c r="T14" s="1341" t="s">
        <v>65</v>
      </c>
      <c r="U14" s="1342">
        <f t="shared" si="1"/>
        <v>100</v>
      </c>
      <c r="V14" s="1341" t="s">
        <v>65</v>
      </c>
      <c r="W14" s="1342">
        <f t="shared" si="2"/>
        <v>100</v>
      </c>
      <c r="X14" s="287"/>
      <c r="Y14" s="3400"/>
      <c r="Z14" s="288">
        <f t="shared" si="7"/>
        <v>111</v>
      </c>
      <c r="AA14" s="1343">
        <f t="shared" si="3"/>
        <v>1</v>
      </c>
      <c r="AB14" s="1343">
        <f t="shared" si="4"/>
        <v>1</v>
      </c>
      <c r="AC14" s="1343">
        <f t="shared" si="5"/>
        <v>1</v>
      </c>
    </row>
    <row r="15" spans="1:29" ht="94.5">
      <c r="A15" s="155" t="s">
        <v>69</v>
      </c>
      <c r="B15" s="58" t="s">
        <v>130</v>
      </c>
      <c r="C15" s="157" t="str">
        <f>估价对象房地状况!C4</f>
        <v>估价对象周边商业用地一般，周边有上品折扣、世纪联华超市等，商业规模一般，综合评价商业繁华度一般</v>
      </c>
      <c r="D15" s="784">
        <v>100</v>
      </c>
      <c r="E15" s="95"/>
      <c r="F15" s="786">
        <f>SUMIF(76:76,E16,77:77)-SUMIF(76:76,C16,77:77)+100</f>
        <v>100</v>
      </c>
      <c r="G15" s="96"/>
      <c r="H15" s="784">
        <f>SUMIF(76:76,G16,77:77)-SUMIF(76:76,C16,77:77)+100</f>
        <v>100</v>
      </c>
      <c r="I15" s="95"/>
      <c r="J15" s="784">
        <f>SUMIF(76:76,I16,77:77)-SUMIF(76:76,C16,77:77)+100</f>
        <v>100</v>
      </c>
      <c r="K15" s="956"/>
      <c r="L15" s="2302"/>
      <c r="M15" s="2297"/>
      <c r="N15" s="2297"/>
      <c r="O15" s="2297"/>
      <c r="P15" s="3599" t="s">
        <v>69</v>
      </c>
      <c r="Q15" s="1350" t="str">
        <f t="shared" si="6"/>
        <v>商业繁华度</v>
      </c>
      <c r="R15" s="1351" t="s">
        <v>65</v>
      </c>
      <c r="S15" s="1352">
        <f t="shared" si="0"/>
        <v>100</v>
      </c>
      <c r="T15" s="1351" t="s">
        <v>65</v>
      </c>
      <c r="U15" s="1352">
        <f t="shared" si="1"/>
        <v>100</v>
      </c>
      <c r="V15" s="1351" t="s">
        <v>65</v>
      </c>
      <c r="W15" s="1352">
        <f t="shared" si="2"/>
        <v>100</v>
      </c>
      <c r="X15" s="1339"/>
      <c r="Y15" s="3592" t="s">
        <v>69</v>
      </c>
      <c r="Z15" s="1353" t="str">
        <f t="shared" si="7"/>
        <v>商业繁华度</v>
      </c>
      <c r="AA15" s="1354">
        <f t="shared" si="3"/>
        <v>1</v>
      </c>
      <c r="AB15" s="1354">
        <f t="shared" si="4"/>
        <v>1</v>
      </c>
      <c r="AC15" s="1354">
        <f t="shared" si="5"/>
        <v>1</v>
      </c>
    </row>
    <row r="16" spans="1:29" ht="14.25">
      <c r="A16" s="151"/>
      <c r="B16" s="156"/>
      <c r="C16" s="97"/>
      <c r="D16" s="791"/>
      <c r="E16" s="97"/>
      <c r="F16" s="792"/>
      <c r="G16" s="97"/>
      <c r="H16" s="793"/>
      <c r="I16" s="97"/>
      <c r="J16" s="791"/>
      <c r="K16" s="189"/>
      <c r="L16" s="2302"/>
      <c r="M16" s="2297"/>
      <c r="N16" s="2297"/>
      <c r="O16" s="2297"/>
      <c r="P16" s="3600"/>
      <c r="Q16" s="1350"/>
      <c r="R16" s="1351"/>
      <c r="S16" s="1352"/>
      <c r="T16" s="1351"/>
      <c r="U16" s="1352"/>
      <c r="V16" s="1351"/>
      <c r="W16" s="1352"/>
      <c r="X16" s="1339"/>
      <c r="Y16" s="3593"/>
      <c r="Z16" s="1353"/>
      <c r="AA16" s="1354">
        <v>1</v>
      </c>
      <c r="AB16" s="1354">
        <v>1</v>
      </c>
      <c r="AC16" s="1354">
        <v>1</v>
      </c>
    </row>
    <row r="17" spans="1:29" ht="121.5">
      <c r="A17" s="151"/>
      <c r="B17" s="1355" t="s">
        <v>72</v>
      </c>
      <c r="C17" s="158" t="str">
        <f>估价对象房地状况!C6</f>
        <v>估价对象周边有308、335等公交线路及地铁1号线，公共交通通达情况较好；项目自身有停车位、停车便捷程度较好，综合评价交通便捷度较好</v>
      </c>
      <c r="D17" s="793">
        <v>100</v>
      </c>
      <c r="E17" s="100"/>
      <c r="F17" s="796">
        <f>SUMIF(78:78,E18,79:79)-SUMIF(78:78,C18,79:79)+100</f>
        <v>100</v>
      </c>
      <c r="G17" s="101"/>
      <c r="H17" s="798">
        <f>SUMIF(78:78,G18,79:79)-SUMIF(78:78,C18,79:79)+100</f>
        <v>100</v>
      </c>
      <c r="I17" s="100"/>
      <c r="J17" s="798">
        <f>SUMIF(78:78,I18,79:79)-SUMIF(78:78,C18,79:79)+100</f>
        <v>100</v>
      </c>
      <c r="K17" s="956"/>
      <c r="L17" s="2302"/>
      <c r="M17" s="2297"/>
      <c r="N17" s="2297"/>
      <c r="O17" s="2297"/>
      <c r="P17" s="3600"/>
      <c r="Q17" s="1350" t="str">
        <f>B17</f>
        <v>交通便捷度</v>
      </c>
      <c r="R17" s="1351" t="s">
        <v>65</v>
      </c>
      <c r="S17" s="1352">
        <f>F17</f>
        <v>100</v>
      </c>
      <c r="T17" s="1351" t="s">
        <v>65</v>
      </c>
      <c r="U17" s="1352">
        <f>H17</f>
        <v>100</v>
      </c>
      <c r="V17" s="1351" t="s">
        <v>65</v>
      </c>
      <c r="W17" s="1352">
        <f>J17</f>
        <v>100</v>
      </c>
      <c r="X17" s="1339"/>
      <c r="Y17" s="3593"/>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2"/>
      <c r="M18" s="2297"/>
      <c r="N18" s="2297"/>
      <c r="O18" s="2297"/>
      <c r="P18" s="3600"/>
      <c r="Q18" s="1350"/>
      <c r="R18" s="1351"/>
      <c r="S18" s="1352"/>
      <c r="T18" s="1351"/>
      <c r="U18" s="1352"/>
      <c r="V18" s="1351"/>
      <c r="W18" s="1352"/>
      <c r="X18" s="1339"/>
      <c r="Y18" s="3593"/>
      <c r="Z18" s="1353"/>
      <c r="AA18" s="1354">
        <v>1</v>
      </c>
      <c r="AB18" s="1354">
        <v>1</v>
      </c>
      <c r="AC18" s="1354">
        <v>1</v>
      </c>
    </row>
    <row r="19" spans="1:29" ht="40.5">
      <c r="A19" s="151"/>
      <c r="B19" s="1355" t="s">
        <v>2655</v>
      </c>
      <c r="C19" s="158" t="str">
        <f>估价对象房地状况!C7</f>
        <v>估价对象所在区域公共配套设施齐备度较好</v>
      </c>
      <c r="D19" s="798">
        <v>100</v>
      </c>
      <c r="E19" s="105"/>
      <c r="F19" s="801">
        <f>SUMIF(80:80,E20,81:81)-SUMIF(80:80,C20,81:81)+100</f>
        <v>100</v>
      </c>
      <c r="G19" s="106"/>
      <c r="H19" s="793">
        <f>SUMIF(80:80,G20,81:81)-SUMIF(80:80,C20,81:81)+100</f>
        <v>100</v>
      </c>
      <c r="I19" s="105"/>
      <c r="J19" s="793">
        <f>SUMIF(80:80,I20,81:81)-SUMIF(80:80,C20,81:81)+100</f>
        <v>100</v>
      </c>
      <c r="K19" s="956"/>
      <c r="L19" s="2302"/>
      <c r="M19" s="2297"/>
      <c r="N19" s="2297"/>
      <c r="O19" s="2297"/>
      <c r="P19" s="3600"/>
      <c r="Q19" s="1350" t="str">
        <f>B19</f>
        <v>公共配套设施</v>
      </c>
      <c r="R19" s="1351" t="s">
        <v>65</v>
      </c>
      <c r="S19" s="1352">
        <f>F19</f>
        <v>100</v>
      </c>
      <c r="T19" s="1351" t="s">
        <v>65</v>
      </c>
      <c r="U19" s="1352">
        <f>H19</f>
        <v>100</v>
      </c>
      <c r="V19" s="1351" t="s">
        <v>65</v>
      </c>
      <c r="W19" s="1352">
        <f>J19</f>
        <v>100</v>
      </c>
      <c r="X19" s="1339"/>
      <c r="Y19" s="3593"/>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2"/>
      <c r="M20" s="2297"/>
      <c r="N20" s="2297"/>
      <c r="O20" s="2297"/>
      <c r="P20" s="3600"/>
      <c r="Q20" s="1350"/>
      <c r="R20" s="1351"/>
      <c r="S20" s="1352"/>
      <c r="T20" s="1351"/>
      <c r="U20" s="1352"/>
      <c r="V20" s="1351"/>
      <c r="W20" s="1352"/>
      <c r="X20" s="1339"/>
      <c r="Y20" s="3593"/>
      <c r="Z20" s="1353"/>
      <c r="AA20" s="1354">
        <v>1</v>
      </c>
      <c r="AB20" s="1354">
        <v>1</v>
      </c>
      <c r="AC20" s="1354">
        <v>1</v>
      </c>
    </row>
    <row r="21" spans="1:29" ht="40.5">
      <c r="A21" s="151"/>
      <c r="B21" s="1411" t="s">
        <v>2656</v>
      </c>
      <c r="C21" s="158" t="str">
        <f>估价对象房地状况!C8</f>
        <v>估价对象所在区域基础设施水平七通一平</v>
      </c>
      <c r="D21" s="798">
        <v>100</v>
      </c>
      <c r="E21" s="105"/>
      <c r="F21" s="801">
        <f>SUMIF(82:82,E22,83:83)-SUMIF(82:82,C22,83:83)+100</f>
        <v>100</v>
      </c>
      <c r="G21" s="106"/>
      <c r="H21" s="793">
        <f>SUMIF(82:82,G22,83:83)-SUMIF(82:82,C22,83:83)+100</f>
        <v>100</v>
      </c>
      <c r="I21" s="105"/>
      <c r="J21" s="793">
        <f>SUMIF(82:82,I22,83:83)-SUMIF(82:82,C22,83:83)+100</f>
        <v>100</v>
      </c>
      <c r="K21" s="956"/>
      <c r="L21" s="2302"/>
      <c r="M21" s="2297"/>
      <c r="N21" s="2297"/>
      <c r="O21" s="2297"/>
      <c r="P21" s="3600"/>
      <c r="Q21" s="2747" t="str">
        <f>B21</f>
        <v>基础设施水平</v>
      </c>
      <c r="R21" s="1351" t="s">
        <v>65</v>
      </c>
      <c r="S21" s="1352">
        <f>F21</f>
        <v>100</v>
      </c>
      <c r="T21" s="1351" t="s">
        <v>65</v>
      </c>
      <c r="U21" s="1352">
        <f>H21</f>
        <v>100</v>
      </c>
      <c r="V21" s="1351" t="s">
        <v>65</v>
      </c>
      <c r="W21" s="1352">
        <f>J21</f>
        <v>100</v>
      </c>
      <c r="X21" s="2749"/>
      <c r="Y21" s="3593"/>
      <c r="Z21" s="2748"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7"/>
      <c r="L22" s="2302"/>
      <c r="M22" s="2297"/>
      <c r="N22" s="2297"/>
      <c r="O22" s="2297"/>
      <c r="P22" s="3600"/>
      <c r="Q22" s="2747"/>
      <c r="R22" s="1351"/>
      <c r="S22" s="1352"/>
      <c r="T22" s="1351"/>
      <c r="U22" s="1352"/>
      <c r="V22" s="1351"/>
      <c r="W22" s="1352"/>
      <c r="X22" s="2749"/>
      <c r="Y22" s="3593"/>
      <c r="Z22" s="2748"/>
      <c r="AA22" s="1354">
        <v>1</v>
      </c>
      <c r="AB22" s="1354">
        <v>1</v>
      </c>
      <c r="AC22" s="1354">
        <v>1</v>
      </c>
    </row>
    <row r="23" spans="1:29" ht="81">
      <c r="A23" s="151"/>
      <c r="B23" s="1355" t="s">
        <v>73</v>
      </c>
      <c r="C23" s="190" t="str">
        <f>估价对象房地状况!C9</f>
        <v>区域自然环境：五棵松公园等；人文环境：国家开发大学五棵松校区；综合评价环境状况较好</v>
      </c>
      <c r="D23" s="793">
        <v>100</v>
      </c>
      <c r="E23" s="100"/>
      <c r="F23" s="796">
        <f>SUMIF(84:84,E24,85:85)-SUMIF(84:84,C24,85:85)+100</f>
        <v>100</v>
      </c>
      <c r="G23" s="101"/>
      <c r="H23" s="793">
        <f>SUMIF(84:84,G24,85:85)-SUMIF(84:84,C24,85:85)+100</f>
        <v>100</v>
      </c>
      <c r="I23" s="100"/>
      <c r="J23" s="793">
        <f>SUMIF(84:84,I24,85:85)-SUMIF(84:84,C24,85:85)+100</f>
        <v>100</v>
      </c>
      <c r="K23" s="956"/>
      <c r="L23" s="2302"/>
      <c r="M23" s="2297"/>
      <c r="N23" s="2297"/>
      <c r="O23" s="2297"/>
      <c r="P23" s="3600"/>
      <c r="Q23" s="1350" t="str">
        <f>B23</f>
        <v>自然及人文环境</v>
      </c>
      <c r="R23" s="1351" t="s">
        <v>65</v>
      </c>
      <c r="S23" s="1352">
        <f>F23</f>
        <v>100</v>
      </c>
      <c r="T23" s="1351" t="s">
        <v>65</v>
      </c>
      <c r="U23" s="1352">
        <f>H23</f>
        <v>100</v>
      </c>
      <c r="V23" s="1351" t="s">
        <v>65</v>
      </c>
      <c r="W23" s="1352">
        <f>J23</f>
        <v>100</v>
      </c>
      <c r="X23" s="1339"/>
      <c r="Y23" s="3593"/>
      <c r="Z23" s="1353" t="str">
        <f>Q23</f>
        <v>自然及人文环境</v>
      </c>
      <c r="AA23" s="1354">
        <f t="shared" si="3"/>
        <v>1</v>
      </c>
      <c r="AB23" s="1354">
        <f t="shared" si="4"/>
        <v>1</v>
      </c>
      <c r="AC23" s="1354">
        <f t="shared" si="5"/>
        <v>1</v>
      </c>
    </row>
    <row r="24" spans="1:29" ht="14.25">
      <c r="A24" s="151"/>
      <c r="B24" s="1039"/>
      <c r="C24" s="97"/>
      <c r="D24" s="791"/>
      <c r="E24" s="98"/>
      <c r="F24" s="792"/>
      <c r="G24" s="99"/>
      <c r="H24" s="791"/>
      <c r="I24" s="98"/>
      <c r="J24" s="791"/>
      <c r="K24" s="189"/>
      <c r="L24" s="2302"/>
      <c r="M24" s="2297"/>
      <c r="N24" s="2297"/>
      <c r="O24" s="2297"/>
      <c r="P24" s="3600"/>
      <c r="Q24" s="1350"/>
      <c r="R24" s="1351"/>
      <c r="S24" s="1352"/>
      <c r="T24" s="1351"/>
      <c r="U24" s="1352"/>
      <c r="V24" s="1351"/>
      <c r="W24" s="1352"/>
      <c r="X24" s="1339"/>
      <c r="Y24" s="3593"/>
      <c r="Z24" s="1353"/>
      <c r="AA24" s="1354">
        <v>1</v>
      </c>
      <c r="AB24" s="1354">
        <v>1</v>
      </c>
      <c r="AC24" s="1354">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4"/>
      <c r="L25" s="2302"/>
      <c r="M25" s="2297"/>
      <c r="N25" s="2297"/>
      <c r="O25" s="2297"/>
      <c r="P25" s="3600"/>
      <c r="Q25" s="1350" t="str">
        <f t="shared" ref="Q25:Q46" si="11">B25</f>
        <v>临街状况</v>
      </c>
      <c r="R25" s="1351" t="s">
        <v>65</v>
      </c>
      <c r="S25" s="1352">
        <f>F25</f>
        <v>100</v>
      </c>
      <c r="T25" s="1351" t="s">
        <v>65</v>
      </c>
      <c r="U25" s="1352">
        <f>H25</f>
        <v>100</v>
      </c>
      <c r="V25" s="1351" t="s">
        <v>65</v>
      </c>
      <c r="W25" s="1352">
        <f>J25</f>
        <v>100</v>
      </c>
      <c r="X25" s="1339"/>
      <c r="Y25" s="3593"/>
      <c r="Z25" s="1353" t="str">
        <f>Q25</f>
        <v>临街状况</v>
      </c>
      <c r="AA25" s="1354">
        <f t="shared" si="3"/>
        <v>1</v>
      </c>
      <c r="AB25" s="1354">
        <f t="shared" si="4"/>
        <v>1</v>
      </c>
      <c r="AC25" s="1354">
        <f t="shared" si="5"/>
        <v>1</v>
      </c>
    </row>
    <row r="26" spans="1:29" ht="14.25">
      <c r="A26" s="151"/>
      <c r="B26" s="1356" t="s">
        <v>1023</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00"/>
      <c r="Q26" s="1350" t="str">
        <f t="shared" si="11"/>
        <v>平面位置/可视性</v>
      </c>
      <c r="R26" s="1351" t="s">
        <v>65</v>
      </c>
      <c r="S26" s="1352">
        <f>F26</f>
        <v>100</v>
      </c>
      <c r="T26" s="1351" t="s">
        <v>65</v>
      </c>
      <c r="U26" s="1352">
        <f>H26</f>
        <v>100</v>
      </c>
      <c r="V26" s="1351" t="s">
        <v>65</v>
      </c>
      <c r="W26" s="1352">
        <f>J26</f>
        <v>100</v>
      </c>
      <c r="X26" s="1339"/>
      <c r="Y26" s="3593"/>
      <c r="Z26" s="1353" t="str">
        <f>Q26</f>
        <v>平面位置/可视性</v>
      </c>
      <c r="AA26" s="1354">
        <f t="shared" si="3"/>
        <v>1</v>
      </c>
      <c r="AB26" s="1354">
        <f t="shared" si="4"/>
        <v>1</v>
      </c>
      <c r="AC26" s="1354">
        <f t="shared" si="5"/>
        <v>1</v>
      </c>
    </row>
    <row r="27" spans="1:29" s="40" customFormat="1" ht="15">
      <c r="A27" s="1029"/>
      <c r="B27" s="1355" t="s">
        <v>1024</v>
      </c>
      <c r="C27" s="1386"/>
      <c r="D27" s="805">
        <v>100</v>
      </c>
      <c r="E27" s="1386"/>
      <c r="F27" s="806">
        <f>SUMIF(90:90,E27,91:91)-SUMIF(90:90,C27,91:91)+100</f>
        <v>100</v>
      </c>
      <c r="G27" s="1386"/>
      <c r="H27" s="805">
        <f>SUMIF(90:90,G27,91:91)-SUMIF(90:90,C27,91:91)+100</f>
        <v>100</v>
      </c>
      <c r="I27" s="1386"/>
      <c r="J27" s="805">
        <f>SUMIF(90:90,I27,91:91)-SUMIF(90:90,C27,91:91)+100</f>
        <v>100</v>
      </c>
      <c r="K27" s="954"/>
      <c r="L27" s="2298"/>
      <c r="M27" s="2260"/>
      <c r="N27" s="2260"/>
      <c r="O27" s="2260"/>
      <c r="P27" s="3600"/>
      <c r="Q27" s="7" t="str">
        <f t="shared" si="11"/>
        <v>人流量</v>
      </c>
      <c r="R27" s="1341" t="s">
        <v>65</v>
      </c>
      <c r="S27" s="1342">
        <f>F27</f>
        <v>100</v>
      </c>
      <c r="T27" s="1341" t="s">
        <v>65</v>
      </c>
      <c r="U27" s="1342">
        <f>H27</f>
        <v>100</v>
      </c>
      <c r="V27" s="1341" t="s">
        <v>65</v>
      </c>
      <c r="W27" s="1342">
        <f>J27</f>
        <v>100</v>
      </c>
      <c r="X27" s="287"/>
      <c r="Y27" s="3593"/>
      <c r="Z27" s="288" t="str">
        <f>Q27</f>
        <v>人流量</v>
      </c>
      <c r="AA27" s="1354">
        <f>D27/F27</f>
        <v>1</v>
      </c>
      <c r="AB27" s="1354">
        <f>D27/H27</f>
        <v>1</v>
      </c>
      <c r="AC27" s="1354">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00"/>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593"/>
      <c r="Z28" s="1353" t="str">
        <f t="shared" ref="Z28:Z46" si="15">Q28</f>
        <v>楼层</v>
      </c>
      <c r="AA28" s="1354">
        <f t="shared" si="3"/>
        <v>1</v>
      </c>
      <c r="AB28" s="1354">
        <f t="shared" si="4"/>
        <v>1</v>
      </c>
      <c r="AC28" s="1354">
        <f t="shared" si="5"/>
        <v>1</v>
      </c>
    </row>
    <row r="29" spans="1:29" ht="14.25">
      <c r="A29" s="151"/>
      <c r="B29" s="1356">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00"/>
      <c r="Q29" s="1350">
        <f t="shared" si="11"/>
        <v>111</v>
      </c>
      <c r="R29" s="1351" t="s">
        <v>65</v>
      </c>
      <c r="S29" s="1352">
        <f t="shared" si="12"/>
        <v>100</v>
      </c>
      <c r="T29" s="1351" t="s">
        <v>65</v>
      </c>
      <c r="U29" s="1352">
        <f t="shared" si="13"/>
        <v>100</v>
      </c>
      <c r="V29" s="1351" t="s">
        <v>65</v>
      </c>
      <c r="W29" s="1352">
        <f t="shared" si="14"/>
        <v>100</v>
      </c>
      <c r="X29" s="1339"/>
      <c r="Y29" s="3593"/>
      <c r="Z29" s="1353">
        <f t="shared" si="15"/>
        <v>111</v>
      </c>
      <c r="AA29" s="1354">
        <f t="shared" si="3"/>
        <v>1</v>
      </c>
      <c r="AB29" s="1354">
        <f t="shared" si="4"/>
        <v>1</v>
      </c>
      <c r="AC29" s="1354">
        <f t="shared" si="5"/>
        <v>1</v>
      </c>
    </row>
    <row r="30" spans="1:29" ht="14.25">
      <c r="A30" s="151"/>
      <c r="B30" s="1356">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00"/>
      <c r="Q30" s="1350">
        <f t="shared" si="11"/>
        <v>111</v>
      </c>
      <c r="R30" s="1351" t="s">
        <v>65</v>
      </c>
      <c r="S30" s="1352">
        <f t="shared" si="12"/>
        <v>100</v>
      </c>
      <c r="T30" s="1351" t="s">
        <v>65</v>
      </c>
      <c r="U30" s="1352">
        <f t="shared" si="13"/>
        <v>100</v>
      </c>
      <c r="V30" s="1351" t="s">
        <v>65</v>
      </c>
      <c r="W30" s="1352">
        <f t="shared" si="14"/>
        <v>100</v>
      </c>
      <c r="X30" s="1339"/>
      <c r="Y30" s="3593"/>
      <c r="Z30" s="1353">
        <f t="shared" si="15"/>
        <v>111</v>
      </c>
      <c r="AA30" s="1354">
        <f t="shared" si="3"/>
        <v>1</v>
      </c>
      <c r="AB30" s="1354">
        <f t="shared" si="4"/>
        <v>1</v>
      </c>
      <c r="AC30" s="1354">
        <f t="shared" si="5"/>
        <v>1</v>
      </c>
    </row>
    <row r="31" spans="1:29" ht="15" thickBot="1">
      <c r="A31" s="154"/>
      <c r="B31" s="1356">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00"/>
      <c r="Q31" s="1350">
        <f t="shared" si="11"/>
        <v>111</v>
      </c>
      <c r="R31" s="1351" t="s">
        <v>65</v>
      </c>
      <c r="S31" s="1352">
        <f t="shared" si="12"/>
        <v>100</v>
      </c>
      <c r="T31" s="1351" t="s">
        <v>65</v>
      </c>
      <c r="U31" s="1352">
        <f t="shared" si="13"/>
        <v>100</v>
      </c>
      <c r="V31" s="1351" t="s">
        <v>65</v>
      </c>
      <c r="W31" s="1352">
        <f t="shared" si="14"/>
        <v>100</v>
      </c>
      <c r="X31" s="1339"/>
      <c r="Y31" s="3593"/>
      <c r="Z31" s="1353">
        <f t="shared" si="15"/>
        <v>111</v>
      </c>
      <c r="AA31" s="1354">
        <f t="shared" si="3"/>
        <v>1</v>
      </c>
      <c r="AB31" s="1354">
        <f t="shared" si="4"/>
        <v>1</v>
      </c>
      <c r="AC31" s="1354">
        <f t="shared" si="5"/>
        <v>1</v>
      </c>
    </row>
    <row r="32" spans="1:29" ht="15">
      <c r="A32" s="155" t="s">
        <v>1025</v>
      </c>
      <c r="B32" s="62" t="s">
        <v>1026</v>
      </c>
      <c r="C32" s="110"/>
      <c r="D32" s="809">
        <v>100</v>
      </c>
      <c r="E32" s="110"/>
      <c r="F32" s="804">
        <f>SUMIF(100:100,E32,101:101)-SUMIF(100:100,C32,101:101)+100</f>
        <v>100</v>
      </c>
      <c r="G32" s="110"/>
      <c r="H32" s="778">
        <f>SUMIF(100:100,G32,101:101)-SUMIF(100:100,C32,101:101)+100</f>
        <v>100</v>
      </c>
      <c r="I32" s="110"/>
      <c r="J32" s="809">
        <f>SUMIF(100:100,I32,101:101)-SUMIF(100:100,C32,101:101)+100</f>
        <v>100</v>
      </c>
      <c r="K32" s="954"/>
      <c r="L32" s="2302"/>
      <c r="M32" s="2297"/>
      <c r="N32" s="2297"/>
      <c r="O32" s="2297"/>
      <c r="P32" s="3594" t="s">
        <v>1027</v>
      </c>
      <c r="Q32" s="1350" t="str">
        <f t="shared" si="11"/>
        <v>商业类型</v>
      </c>
      <c r="R32" s="1351" t="s">
        <v>65</v>
      </c>
      <c r="S32" s="1352">
        <f t="shared" si="12"/>
        <v>100</v>
      </c>
      <c r="T32" s="1351" t="s">
        <v>65</v>
      </c>
      <c r="U32" s="1352">
        <f t="shared" si="13"/>
        <v>100</v>
      </c>
      <c r="V32" s="1351" t="s">
        <v>65</v>
      </c>
      <c r="W32" s="1352">
        <f t="shared" si="14"/>
        <v>100</v>
      </c>
      <c r="X32" s="1339"/>
      <c r="Y32" s="3597" t="s">
        <v>1027</v>
      </c>
      <c r="Z32" s="1353" t="str">
        <f t="shared" si="15"/>
        <v>商业类型</v>
      </c>
      <c r="AA32" s="1354">
        <f t="shared" si="3"/>
        <v>1</v>
      </c>
      <c r="AB32" s="1354">
        <f t="shared" si="4"/>
        <v>1</v>
      </c>
      <c r="AC32" s="1354">
        <f t="shared" si="5"/>
        <v>1</v>
      </c>
    </row>
    <row r="33" spans="1:29" s="1038" customFormat="1" ht="14.25">
      <c r="A33" s="1042"/>
      <c r="B33" s="12" t="s">
        <v>76</v>
      </c>
      <c r="C33" s="811"/>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595"/>
      <c r="Q33" s="1358" t="str">
        <f t="shared" si="11"/>
        <v>项目建筑规模</v>
      </c>
      <c r="R33" s="1359" t="s">
        <v>65</v>
      </c>
      <c r="S33" s="1360" t="e">
        <f t="shared" si="12"/>
        <v>#N/A</v>
      </c>
      <c r="T33" s="1359" t="s">
        <v>65</v>
      </c>
      <c r="U33" s="1360" t="e">
        <f t="shared" si="13"/>
        <v>#N/A</v>
      </c>
      <c r="V33" s="1359" t="s">
        <v>65</v>
      </c>
      <c r="W33" s="1360" t="e">
        <f t="shared" si="14"/>
        <v>#N/A</v>
      </c>
      <c r="X33" s="1361"/>
      <c r="Y33" s="3597"/>
      <c r="Z33" s="1362" t="str">
        <f t="shared" si="15"/>
        <v>项目建筑规模</v>
      </c>
      <c r="AA33" s="1354" t="e">
        <f t="shared" si="3"/>
        <v>#N/A</v>
      </c>
      <c r="AB33" s="1354" t="e">
        <f t="shared" si="4"/>
        <v>#N/A</v>
      </c>
      <c r="AC33" s="1354"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4"/>
      <c r="L34" s="2302"/>
      <c r="M34" s="2297"/>
      <c r="N34" s="2297"/>
      <c r="O34" s="2297"/>
      <c r="P34" s="3595"/>
      <c r="Q34" s="1350" t="str">
        <f t="shared" si="11"/>
        <v>建筑结构</v>
      </c>
      <c r="R34" s="1351" t="s">
        <v>65</v>
      </c>
      <c r="S34" s="1352">
        <f t="shared" si="12"/>
        <v>100</v>
      </c>
      <c r="T34" s="1351" t="s">
        <v>65</v>
      </c>
      <c r="U34" s="1352">
        <f t="shared" si="13"/>
        <v>100</v>
      </c>
      <c r="V34" s="1351" t="s">
        <v>65</v>
      </c>
      <c r="W34" s="1352">
        <f t="shared" si="14"/>
        <v>100</v>
      </c>
      <c r="X34" s="1339"/>
      <c r="Y34" s="3597"/>
      <c r="Z34" s="1353" t="str">
        <f t="shared" si="15"/>
        <v>建筑结构</v>
      </c>
      <c r="AA34" s="1354">
        <f t="shared" si="3"/>
        <v>1</v>
      </c>
      <c r="AB34" s="1354">
        <f t="shared" si="4"/>
        <v>1</v>
      </c>
      <c r="AC34" s="1354">
        <f t="shared" si="5"/>
        <v>1</v>
      </c>
    </row>
    <row r="35" spans="1:29" ht="15">
      <c r="A35" s="161"/>
      <c r="B35" s="12" t="s">
        <v>1028</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4"/>
      <c r="L35" s="2302"/>
      <c r="M35" s="2297"/>
      <c r="N35" s="2297"/>
      <c r="O35" s="2297"/>
      <c r="P35" s="3595"/>
      <c r="Q35" s="1350" t="str">
        <f t="shared" si="11"/>
        <v>公共部分装修</v>
      </c>
      <c r="R35" s="1351" t="s">
        <v>65</v>
      </c>
      <c r="S35" s="1352">
        <f t="shared" si="12"/>
        <v>100</v>
      </c>
      <c r="T35" s="1351" t="s">
        <v>65</v>
      </c>
      <c r="U35" s="1352">
        <f t="shared" si="13"/>
        <v>100</v>
      </c>
      <c r="V35" s="1351" t="s">
        <v>65</v>
      </c>
      <c r="W35" s="1352">
        <f t="shared" si="14"/>
        <v>100</v>
      </c>
      <c r="X35" s="1339"/>
      <c r="Y35" s="3597"/>
      <c r="Z35" s="1353" t="str">
        <f t="shared" si="15"/>
        <v>公共部分装修</v>
      </c>
      <c r="AA35" s="1354">
        <f t="shared" si="3"/>
        <v>1</v>
      </c>
      <c r="AB35" s="1354">
        <f t="shared" si="4"/>
        <v>1</v>
      </c>
      <c r="AC35" s="1354">
        <f t="shared" si="5"/>
        <v>1</v>
      </c>
    </row>
    <row r="36" spans="1:29" ht="15">
      <c r="A36" s="161"/>
      <c r="B36" s="12" t="s">
        <v>1029</v>
      </c>
      <c r="C36" s="816"/>
      <c r="D36" s="778">
        <v>100</v>
      </c>
      <c r="E36" s="816"/>
      <c r="F36" s="804" t="e">
        <f>LOOKUP(E36,110:110,111:111)-LOOKUP(C36,110:110,111:111)+100</f>
        <v>#N/A</v>
      </c>
      <c r="G36" s="816"/>
      <c r="H36" s="804" t="e">
        <f>LOOKUP(G36,110:110,111:111)-LOOKUP(C36,110:110,111:111)+100</f>
        <v>#N/A</v>
      </c>
      <c r="I36" s="816"/>
      <c r="J36" s="778" t="e">
        <f>LOOKUP(I36,110:110,111:111)-LOOKUP(C36,110:110,111:111)+100</f>
        <v>#N/A</v>
      </c>
      <c r="K36" s="954"/>
      <c r="L36" s="2302"/>
      <c r="M36" s="2297"/>
      <c r="N36" s="2297"/>
      <c r="O36" s="2297"/>
      <c r="P36" s="3595"/>
      <c r="Q36" s="1350" t="str">
        <f t="shared" si="11"/>
        <v>成新度</v>
      </c>
      <c r="R36" s="1351" t="s">
        <v>65</v>
      </c>
      <c r="S36" s="1352" t="e">
        <f t="shared" si="12"/>
        <v>#N/A</v>
      </c>
      <c r="T36" s="1351" t="s">
        <v>65</v>
      </c>
      <c r="U36" s="1352" t="e">
        <f t="shared" si="13"/>
        <v>#N/A</v>
      </c>
      <c r="V36" s="1351" t="s">
        <v>65</v>
      </c>
      <c r="W36" s="1352" t="e">
        <f t="shared" si="14"/>
        <v>#N/A</v>
      </c>
      <c r="X36" s="1339"/>
      <c r="Y36" s="3597"/>
      <c r="Z36" s="1353" t="str">
        <f t="shared" si="15"/>
        <v>成新度</v>
      </c>
      <c r="AA36" s="1354" t="e">
        <f t="shared" si="3"/>
        <v>#N/A</v>
      </c>
      <c r="AB36" s="1354" t="e">
        <f t="shared" si="4"/>
        <v>#N/A</v>
      </c>
      <c r="AC36" s="1354" t="e">
        <f t="shared" si="5"/>
        <v>#N/A</v>
      </c>
    </row>
    <row r="37" spans="1:29" s="40" customFormat="1" ht="15">
      <c r="A37" s="1040"/>
      <c r="B37" s="12" t="s">
        <v>2657</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4"/>
      <c r="L37" s="2298"/>
      <c r="M37" s="2260"/>
      <c r="N37" s="2260"/>
      <c r="O37" s="2260"/>
      <c r="P37" s="3595"/>
      <c r="Q37" s="7" t="str">
        <f t="shared" si="11"/>
        <v>市政基础设施</v>
      </c>
      <c r="R37" s="1341" t="s">
        <v>65</v>
      </c>
      <c r="S37" s="1342">
        <f t="shared" si="12"/>
        <v>100</v>
      </c>
      <c r="T37" s="1341" t="s">
        <v>65</v>
      </c>
      <c r="U37" s="1342">
        <f t="shared" si="13"/>
        <v>100</v>
      </c>
      <c r="V37" s="1341" t="s">
        <v>65</v>
      </c>
      <c r="W37" s="1342">
        <f t="shared" si="14"/>
        <v>100</v>
      </c>
      <c r="X37" s="287"/>
      <c r="Y37" s="3597"/>
      <c r="Z37" s="288" t="str">
        <f t="shared" si="15"/>
        <v>市政基础设施</v>
      </c>
      <c r="AA37" s="1343">
        <f t="shared" si="3"/>
        <v>1</v>
      </c>
      <c r="AB37" s="1343">
        <f t="shared" si="4"/>
        <v>1</v>
      </c>
      <c r="AC37" s="1343">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4"/>
      <c r="L38" s="2302"/>
      <c r="M38" s="2297"/>
      <c r="N38" s="2297"/>
      <c r="O38" s="2297"/>
      <c r="P38" s="3595" t="s">
        <v>1030</v>
      </c>
      <c r="Q38" s="1350" t="str">
        <f t="shared" si="11"/>
        <v>业态</v>
      </c>
      <c r="R38" s="1351" t="s">
        <v>65</v>
      </c>
      <c r="S38" s="1352">
        <f t="shared" si="12"/>
        <v>100</v>
      </c>
      <c r="T38" s="1351" t="s">
        <v>65</v>
      </c>
      <c r="U38" s="1352">
        <f t="shared" si="13"/>
        <v>100</v>
      </c>
      <c r="V38" s="1351" t="s">
        <v>65</v>
      </c>
      <c r="W38" s="1352">
        <f t="shared" si="14"/>
        <v>100</v>
      </c>
      <c r="X38" s="1339"/>
      <c r="Y38" s="3597" t="s">
        <v>1030</v>
      </c>
      <c r="Z38" s="1353" t="str">
        <f t="shared" si="15"/>
        <v>业态</v>
      </c>
      <c r="AA38" s="1354">
        <f t="shared" si="3"/>
        <v>1</v>
      </c>
      <c r="AB38" s="1354">
        <f t="shared" si="4"/>
        <v>1</v>
      </c>
      <c r="AC38" s="1354">
        <f t="shared" si="5"/>
        <v>1</v>
      </c>
    </row>
    <row r="39" spans="1:29" ht="15">
      <c r="A39" s="161"/>
      <c r="B39" s="1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4"/>
      <c r="L39" s="2302"/>
      <c r="M39" s="2297"/>
      <c r="N39" s="2297"/>
      <c r="O39" s="2297"/>
      <c r="P39" s="3595"/>
      <c r="Q39" s="1350" t="str">
        <f t="shared" si="11"/>
        <v>层高</v>
      </c>
      <c r="R39" s="1351" t="s">
        <v>65</v>
      </c>
      <c r="S39" s="1352">
        <f t="shared" si="12"/>
        <v>100</v>
      </c>
      <c r="T39" s="1351" t="s">
        <v>65</v>
      </c>
      <c r="U39" s="1352">
        <f t="shared" si="13"/>
        <v>100</v>
      </c>
      <c r="V39" s="1351" t="s">
        <v>65</v>
      </c>
      <c r="W39" s="1352">
        <f t="shared" si="14"/>
        <v>100</v>
      </c>
      <c r="X39" s="1339"/>
      <c r="Y39" s="3597"/>
      <c r="Z39" s="1353" t="str">
        <f t="shared" si="15"/>
        <v>层高</v>
      </c>
      <c r="AA39" s="1354">
        <f t="shared" si="3"/>
        <v>1</v>
      </c>
      <c r="AB39" s="1354">
        <f t="shared" si="4"/>
        <v>1</v>
      </c>
      <c r="AC39" s="1354">
        <f t="shared" si="5"/>
        <v>1</v>
      </c>
    </row>
    <row r="40" spans="1:29" ht="14.25">
      <c r="A40" s="161"/>
      <c r="B40" s="12" t="s">
        <v>1032</v>
      </c>
      <c r="C40" s="959"/>
      <c r="D40" s="778">
        <v>100</v>
      </c>
      <c r="E40" s="960"/>
      <c r="F40" s="804">
        <f>SUMIF(118:118,E40,119:119)-SUMIF(118:118,C40,119:119)+100</f>
        <v>100</v>
      </c>
      <c r="G40" s="960"/>
      <c r="H40" s="778">
        <f>SUMIF(118:118,G40,119:119)-SUMIF(118:118,C40,119:119)+100</f>
        <v>100</v>
      </c>
      <c r="I40" s="960"/>
      <c r="J40" s="778">
        <f>SUMIF(118:118,I40,119:119)-SUMIF(118:118,C40,119:119)+100</f>
        <v>100</v>
      </c>
      <c r="K40" s="188"/>
      <c r="L40" s="2302"/>
      <c r="M40" s="2297"/>
      <c r="N40" s="2297"/>
      <c r="O40" s="2297"/>
      <c r="P40" s="3595"/>
      <c r="Q40" s="1350" t="str">
        <f t="shared" si="11"/>
        <v>单套建筑面积</v>
      </c>
      <c r="R40" s="1351" t="s">
        <v>65</v>
      </c>
      <c r="S40" s="1352">
        <f t="shared" si="12"/>
        <v>100</v>
      </c>
      <c r="T40" s="1351" t="s">
        <v>65</v>
      </c>
      <c r="U40" s="1352">
        <f t="shared" si="13"/>
        <v>100</v>
      </c>
      <c r="V40" s="1351" t="s">
        <v>65</v>
      </c>
      <c r="W40" s="1352">
        <f t="shared" si="14"/>
        <v>100</v>
      </c>
      <c r="X40" s="1339"/>
      <c r="Y40" s="3597"/>
      <c r="Z40" s="1353" t="str">
        <f t="shared" si="15"/>
        <v>单套建筑面积</v>
      </c>
      <c r="AA40" s="1354">
        <f t="shared" si="3"/>
        <v>1</v>
      </c>
      <c r="AB40" s="1354">
        <f t="shared" si="4"/>
        <v>1</v>
      </c>
      <c r="AC40" s="1354">
        <f t="shared" si="5"/>
        <v>1</v>
      </c>
    </row>
    <row r="41" spans="1:29" s="1038" customFormat="1" ht="15">
      <c r="A41" s="1042"/>
      <c r="B41" s="191"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4"/>
      <c r="L41" s="2301"/>
      <c r="M41" s="2303"/>
      <c r="N41" s="2303"/>
      <c r="O41" s="2303"/>
      <c r="P41" s="3595"/>
      <c r="Q41" s="1358" t="str">
        <f t="shared" si="11"/>
        <v>进深比</v>
      </c>
      <c r="R41" s="1359" t="s">
        <v>65</v>
      </c>
      <c r="S41" s="1360">
        <f t="shared" si="12"/>
        <v>100</v>
      </c>
      <c r="T41" s="1359" t="s">
        <v>65</v>
      </c>
      <c r="U41" s="1360">
        <f t="shared" si="13"/>
        <v>100</v>
      </c>
      <c r="V41" s="1359" t="s">
        <v>65</v>
      </c>
      <c r="W41" s="1360">
        <f t="shared" si="14"/>
        <v>100</v>
      </c>
      <c r="X41" s="1361"/>
      <c r="Y41" s="3597"/>
      <c r="Z41" s="1362" t="str">
        <f t="shared" si="15"/>
        <v>进深比</v>
      </c>
      <c r="AA41" s="1354">
        <f t="shared" si="3"/>
        <v>1</v>
      </c>
      <c r="AB41" s="1354">
        <f t="shared" si="4"/>
        <v>1</v>
      </c>
      <c r="AC41" s="1354">
        <f t="shared" si="5"/>
        <v>1</v>
      </c>
    </row>
    <row r="42" spans="1:29" ht="15">
      <c r="A42" s="161"/>
      <c r="B42" s="12"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4"/>
      <c r="L42" s="2302"/>
      <c r="M42" s="2297"/>
      <c r="N42" s="2297"/>
      <c r="O42" s="2297"/>
      <c r="P42" s="3595"/>
      <c r="Q42" s="1350" t="str">
        <f t="shared" si="11"/>
        <v>内部装修</v>
      </c>
      <c r="R42" s="1351" t="s">
        <v>65</v>
      </c>
      <c r="S42" s="1352">
        <f t="shared" si="12"/>
        <v>100</v>
      </c>
      <c r="T42" s="1351" t="s">
        <v>65</v>
      </c>
      <c r="U42" s="1352">
        <f t="shared" si="13"/>
        <v>100</v>
      </c>
      <c r="V42" s="1351" t="s">
        <v>65</v>
      </c>
      <c r="W42" s="1352">
        <f t="shared" si="14"/>
        <v>100</v>
      </c>
      <c r="X42" s="1339"/>
      <c r="Y42" s="3597"/>
      <c r="Z42" s="1353" t="str">
        <f t="shared" si="15"/>
        <v>内部装修</v>
      </c>
      <c r="AA42" s="1354">
        <f t="shared" si="3"/>
        <v>1</v>
      </c>
      <c r="AB42" s="1354">
        <f t="shared" si="4"/>
        <v>1</v>
      </c>
      <c r="AC42" s="1354">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4"/>
      <c r="L43" s="2302"/>
      <c r="M43" s="2297"/>
      <c r="N43" s="2297"/>
      <c r="O43" s="2297"/>
      <c r="P43" s="3595"/>
      <c r="Q43" s="1350" t="str">
        <f t="shared" si="11"/>
        <v>内部装修维护情况</v>
      </c>
      <c r="R43" s="1351" t="s">
        <v>65</v>
      </c>
      <c r="S43" s="1352">
        <f t="shared" si="12"/>
        <v>100</v>
      </c>
      <c r="T43" s="1351" t="s">
        <v>65</v>
      </c>
      <c r="U43" s="1352">
        <f t="shared" si="13"/>
        <v>100</v>
      </c>
      <c r="V43" s="1351" t="s">
        <v>65</v>
      </c>
      <c r="W43" s="1352">
        <f t="shared" si="14"/>
        <v>100</v>
      </c>
      <c r="X43" s="1339"/>
      <c r="Y43" s="3597"/>
      <c r="Z43" s="1353" t="str">
        <f t="shared" si="15"/>
        <v>内部装修维护情况</v>
      </c>
      <c r="AA43" s="1354">
        <f t="shared" si="3"/>
        <v>1</v>
      </c>
      <c r="AB43" s="1354">
        <f t="shared" si="4"/>
        <v>1</v>
      </c>
      <c r="AC43" s="1354">
        <f t="shared" si="5"/>
        <v>1</v>
      </c>
    </row>
    <row r="44" spans="1:29" s="40" customFormat="1" ht="14.25">
      <c r="A44" s="1040"/>
      <c r="B44" s="1356">
        <v>111</v>
      </c>
      <c r="C44" s="1357"/>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595"/>
      <c r="Q44" s="7">
        <f t="shared" si="11"/>
        <v>111</v>
      </c>
      <c r="R44" s="1341" t="s">
        <v>65</v>
      </c>
      <c r="S44" s="1342">
        <f t="shared" si="12"/>
        <v>100</v>
      </c>
      <c r="T44" s="1341" t="s">
        <v>65</v>
      </c>
      <c r="U44" s="1342">
        <f t="shared" si="13"/>
        <v>100</v>
      </c>
      <c r="V44" s="1341" t="s">
        <v>65</v>
      </c>
      <c r="W44" s="1342">
        <f t="shared" si="14"/>
        <v>100</v>
      </c>
      <c r="X44" s="287"/>
      <c r="Y44" s="3597"/>
      <c r="Z44" s="288">
        <f t="shared" si="15"/>
        <v>111</v>
      </c>
      <c r="AA44" s="1343">
        <f t="shared" si="3"/>
        <v>1</v>
      </c>
      <c r="AB44" s="1343">
        <f t="shared" si="4"/>
        <v>1</v>
      </c>
      <c r="AC44" s="1343">
        <f t="shared" si="5"/>
        <v>1</v>
      </c>
    </row>
    <row r="45" spans="1:29" ht="14.25">
      <c r="A45" s="161"/>
      <c r="B45" s="1356">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595"/>
      <c r="Q45" s="1350">
        <f t="shared" si="11"/>
        <v>111</v>
      </c>
      <c r="R45" s="1351" t="s">
        <v>65</v>
      </c>
      <c r="S45" s="1352">
        <f t="shared" si="12"/>
        <v>100</v>
      </c>
      <c r="T45" s="1351" t="s">
        <v>65</v>
      </c>
      <c r="U45" s="1352">
        <f t="shared" si="13"/>
        <v>100</v>
      </c>
      <c r="V45" s="1351" t="s">
        <v>65</v>
      </c>
      <c r="W45" s="1352">
        <f t="shared" si="14"/>
        <v>100</v>
      </c>
      <c r="X45" s="1339"/>
      <c r="Y45" s="3597"/>
      <c r="Z45" s="1353">
        <f t="shared" si="15"/>
        <v>111</v>
      </c>
      <c r="AA45" s="1354">
        <f t="shared" si="3"/>
        <v>1</v>
      </c>
      <c r="AB45" s="1354">
        <f t="shared" si="4"/>
        <v>1</v>
      </c>
      <c r="AC45" s="1354">
        <f t="shared" si="5"/>
        <v>1</v>
      </c>
    </row>
    <row r="46" spans="1:29" ht="15" thickBot="1">
      <c r="A46" s="162"/>
      <c r="B46" s="1031">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596"/>
      <c r="Q46" s="1350">
        <f t="shared" si="11"/>
        <v>111</v>
      </c>
      <c r="R46" s="1351" t="s">
        <v>65</v>
      </c>
      <c r="S46" s="1352">
        <f t="shared" si="12"/>
        <v>100</v>
      </c>
      <c r="T46" s="1351" t="s">
        <v>65</v>
      </c>
      <c r="U46" s="1352">
        <f t="shared" si="13"/>
        <v>100</v>
      </c>
      <c r="V46" s="1351" t="s">
        <v>65</v>
      </c>
      <c r="W46" s="1352">
        <f t="shared" si="14"/>
        <v>100</v>
      </c>
      <c r="X46" s="1339"/>
      <c r="Y46" s="3598"/>
      <c r="Z46" s="1353">
        <f t="shared" si="15"/>
        <v>111</v>
      </c>
      <c r="AA46" s="1354">
        <f t="shared" si="3"/>
        <v>1</v>
      </c>
      <c r="AB46" s="1354">
        <f t="shared" si="4"/>
        <v>1</v>
      </c>
      <c r="AC46" s="1354">
        <f t="shared" si="5"/>
        <v>1</v>
      </c>
    </row>
    <row r="47" spans="1:29" ht="15">
      <c r="A47" s="163" t="s">
        <v>1035</v>
      </c>
      <c r="B47" s="164"/>
      <c r="C47" s="2837" t="s">
        <v>23</v>
      </c>
      <c r="D47" s="2838"/>
      <c r="E47" s="2839"/>
      <c r="F47" s="2840"/>
      <c r="G47" s="2841"/>
      <c r="H47" s="2842"/>
      <c r="I47" s="2839"/>
      <c r="J47" s="2842"/>
      <c r="K47" s="1392"/>
      <c r="L47" s="2304"/>
      <c r="M47" s="2305"/>
      <c r="N47" s="2297"/>
      <c r="O47" s="2305"/>
      <c r="P47" s="3590" t="str">
        <f>A47</f>
        <v>成交单价（元/平方米）</v>
      </c>
      <c r="Q47" s="3590"/>
      <c r="R47" s="3585">
        <f>E47</f>
        <v>0</v>
      </c>
      <c r="S47" s="3585"/>
      <c r="T47" s="3585">
        <f>G47</f>
        <v>0</v>
      </c>
      <c r="U47" s="3585"/>
      <c r="V47" s="3585">
        <f>I47</f>
        <v>0</v>
      </c>
      <c r="W47" s="3585"/>
      <c r="X47" s="1364"/>
      <c r="Y47" s="1365"/>
      <c r="Z47" s="1364"/>
      <c r="AA47" s="1364"/>
      <c r="AB47" s="1364"/>
      <c r="AC47" s="1364"/>
    </row>
    <row r="48" spans="1:29" ht="15.75" thickBot="1">
      <c r="A48" s="165" t="s">
        <v>1036</v>
      </c>
      <c r="B48" s="166"/>
      <c r="C48" s="2843" t="e">
        <f>R49</f>
        <v>#DIV/0!</v>
      </c>
      <c r="D48" s="2844"/>
      <c r="E48" s="2845" t="e">
        <f>R48</f>
        <v>#DIV/0!</v>
      </c>
      <c r="F48" s="2845"/>
      <c r="G48" s="2843" t="e">
        <f>T48</f>
        <v>#DIV/0!</v>
      </c>
      <c r="H48" s="2844"/>
      <c r="I48" s="2845" t="e">
        <f>V48</f>
        <v>#DIV/0!</v>
      </c>
      <c r="J48" s="2844"/>
      <c r="K48" s="1393"/>
      <c r="L48" s="2304"/>
      <c r="M48" s="2305"/>
      <c r="N48" s="2297"/>
      <c r="O48" s="2305"/>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4"/>
      <c r="Y48" s="1364"/>
      <c r="Z48" s="1364"/>
      <c r="AA48" s="1364"/>
      <c r="AB48" s="1364"/>
      <c r="AC48" s="1364"/>
    </row>
    <row r="49" spans="1:29" ht="15.75" thickBot="1">
      <c r="A49" s="115" t="s">
        <v>3022</v>
      </c>
      <c r="B49" s="116"/>
      <c r="C49" s="2847" t="e">
        <f>R49</f>
        <v>#DIV/0!</v>
      </c>
      <c r="D49" s="2847"/>
      <c r="E49" s="2847"/>
      <c r="F49" s="2847"/>
      <c r="G49" s="2847"/>
      <c r="H49" s="2847"/>
      <c r="I49" s="2847"/>
      <c r="J49" s="2847"/>
      <c r="K49" s="1394"/>
      <c r="L49" s="2304"/>
      <c r="M49" s="2305"/>
      <c r="N49" s="2297"/>
      <c r="O49" s="2305"/>
      <c r="P49" s="3587" t="str">
        <f>A49</f>
        <v>估价对象XX用房的比较价值（楼面单价，元/平方米）</v>
      </c>
      <c r="Q49" s="3588"/>
      <c r="R49" s="3589" t="e">
        <f>IF(F1="售价",ROUND(AVERAGE(R48:V48),0),ROUND(AVERAGE(R48:V48),1))</f>
        <v>#DIV/0!</v>
      </c>
      <c r="S49" s="3589"/>
      <c r="T49" s="3589"/>
      <c r="U49" s="3589"/>
      <c r="V49" s="3589"/>
      <c r="W49" s="3589"/>
      <c r="X49" s="1364"/>
      <c r="Y49" s="1364"/>
      <c r="Z49" s="1364"/>
      <c r="AA49" s="1364"/>
      <c r="AB49" s="1364"/>
      <c r="AC49" s="1364"/>
    </row>
    <row r="50" spans="1:29">
      <c r="A50" s="2305"/>
      <c r="B50" s="2305"/>
      <c r="C50" s="2305"/>
      <c r="D50" s="2305"/>
      <c r="E50" s="2305"/>
      <c r="F50" s="2305"/>
      <c r="G50" s="2314"/>
      <c r="H50" s="2305"/>
      <c r="I50" s="2305"/>
      <c r="J50" s="2305"/>
      <c r="K50" s="2306"/>
      <c r="L50" s="2307"/>
      <c r="M50" s="2305"/>
      <c r="N50" s="2305"/>
      <c r="O50" s="2305"/>
      <c r="P50" s="214"/>
      <c r="Q50" s="1364"/>
      <c r="R50" s="1364"/>
      <c r="S50" s="1364"/>
      <c r="T50" s="1364"/>
      <c r="U50" s="1364"/>
      <c r="V50" s="1364"/>
      <c r="W50" s="1364"/>
      <c r="X50" s="1364"/>
      <c r="Y50" s="1364"/>
      <c r="Z50" s="1364"/>
      <c r="AA50" s="1364"/>
      <c r="AB50" s="1364"/>
      <c r="AC50" s="1364"/>
    </row>
    <row r="51" spans="1:29">
      <c r="A51" s="2305"/>
      <c r="B51" s="2305"/>
      <c r="C51" s="2305"/>
      <c r="D51" s="2305"/>
      <c r="E51" s="2305"/>
      <c r="F51" s="2305"/>
      <c r="G51" s="2305"/>
      <c r="H51" s="2305"/>
      <c r="I51" s="2305"/>
      <c r="J51" s="2305"/>
      <c r="K51" s="2306"/>
      <c r="L51" s="2307"/>
      <c r="M51" s="2305"/>
      <c r="N51" s="2305"/>
      <c r="O51" s="2305"/>
      <c r="P51" s="214"/>
      <c r="Q51" s="1364"/>
      <c r="R51" s="1364"/>
      <c r="S51" s="1364"/>
      <c r="T51" s="1364"/>
      <c r="U51" s="1364"/>
      <c r="V51" s="1364"/>
      <c r="W51" s="1364"/>
      <c r="X51" s="1364"/>
      <c r="Y51" s="1364"/>
      <c r="Z51" s="1364"/>
      <c r="AA51" s="1364"/>
      <c r="AB51" s="1364"/>
      <c r="AC51" s="1364"/>
    </row>
    <row r="52" spans="1:29" ht="13.5" customHeight="1">
      <c r="A52" s="2305"/>
      <c r="B52" s="2305"/>
      <c r="C52" s="839" t="s">
        <v>1005</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6"/>
      <c r="L52" s="2307"/>
      <c r="M52" s="2305"/>
      <c r="N52" s="2305"/>
      <c r="O52" s="2305"/>
      <c r="P52" s="214"/>
      <c r="Q52" s="1364"/>
      <c r="R52" s="1364"/>
      <c r="S52" s="1364"/>
      <c r="T52" s="1364"/>
      <c r="U52" s="1364"/>
      <c r="V52" s="1364"/>
      <c r="W52" s="1364"/>
      <c r="X52" s="1364"/>
      <c r="Y52" s="1364"/>
      <c r="Z52" s="1364"/>
      <c r="AA52" s="1364"/>
      <c r="AB52" s="1364"/>
      <c r="AC52" s="1364"/>
    </row>
    <row r="53" spans="1:29" ht="13.5" customHeight="1">
      <c r="A53" s="2305"/>
      <c r="B53" s="2305"/>
      <c r="C53" s="839" t="s">
        <v>1006</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6"/>
      <c r="L53" s="2307"/>
      <c r="M53" s="2305"/>
      <c r="N53" s="2305"/>
      <c r="O53" s="2305"/>
      <c r="P53" s="214"/>
      <c r="Q53" s="1364"/>
      <c r="R53" s="1364"/>
      <c r="S53" s="1364"/>
      <c r="T53" s="1364"/>
      <c r="U53" s="1364"/>
      <c r="V53" s="1364"/>
      <c r="W53" s="1364"/>
      <c r="X53" s="1364"/>
      <c r="Y53" s="1364"/>
      <c r="Z53" s="1364"/>
      <c r="AA53" s="1364"/>
      <c r="AB53" s="1364"/>
      <c r="AC53" s="1364"/>
    </row>
    <row r="54" spans="1:29" s="119" customFormat="1" ht="13.5" customHeight="1">
      <c r="A54" s="2310"/>
      <c r="B54" s="2310"/>
      <c r="C54" s="839" t="s">
        <v>1007</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8"/>
      <c r="L54" s="2309"/>
      <c r="M54" s="2310"/>
      <c r="N54" s="2310"/>
      <c r="O54" s="2310"/>
      <c r="P54" s="1395"/>
      <c r="Q54" s="1369"/>
      <c r="R54" s="1369"/>
      <c r="S54" s="1369"/>
      <c r="T54" s="1369"/>
      <c r="U54" s="1369"/>
      <c r="V54" s="1369"/>
      <c r="W54" s="1369"/>
      <c r="X54" s="1369"/>
      <c r="Y54" s="1369"/>
      <c r="Z54" s="1369"/>
      <c r="AA54" s="1369"/>
      <c r="AB54" s="1369"/>
      <c r="AC54" s="1369"/>
    </row>
    <row r="55" spans="1:29" s="119" customFormat="1">
      <c r="A55" s="2310"/>
      <c r="B55" s="2315"/>
      <c r="C55" s="2316"/>
      <c r="D55" s="2310"/>
      <c r="E55" s="2310"/>
      <c r="F55" s="2310"/>
      <c r="G55" s="2310"/>
      <c r="H55" s="2310"/>
      <c r="I55" s="2310"/>
      <c r="J55" s="2310"/>
      <c r="K55" s="2308"/>
      <c r="L55" s="2309"/>
      <c r="M55" s="2310"/>
      <c r="N55" s="2310"/>
      <c r="O55" s="2310"/>
      <c r="P55" s="1395"/>
      <c r="Q55" s="1369"/>
      <c r="R55" s="1369"/>
      <c r="S55" s="1369"/>
      <c r="T55" s="1369"/>
      <c r="U55" s="1369"/>
      <c r="V55" s="1369"/>
      <c r="W55" s="1369"/>
      <c r="X55" s="1369"/>
      <c r="Y55" s="1369"/>
      <c r="Z55" s="1369"/>
      <c r="AA55" s="1369"/>
      <c r="AB55" s="1369"/>
      <c r="AC55" s="1369"/>
    </row>
    <row r="56" spans="1:29">
      <c r="A56" s="2305"/>
      <c r="B56" s="2315"/>
      <c r="C56" s="2316"/>
      <c r="D56" s="2305"/>
      <c r="E56" s="2305"/>
      <c r="F56" s="2305"/>
      <c r="G56" s="2305"/>
      <c r="H56" s="2305"/>
      <c r="I56" s="2305"/>
      <c r="J56" s="2305"/>
      <c r="K56" s="2306"/>
      <c r="L56" s="2307"/>
      <c r="M56" s="2305"/>
      <c r="N56" s="2305"/>
      <c r="O56" s="2305"/>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12"/>
      <c r="M57" s="2313"/>
      <c r="N57" s="2313"/>
      <c r="O57" s="2313"/>
      <c r="P57" s="1396"/>
      <c r="Q57" s="1397"/>
      <c r="R57" s="1364"/>
      <c r="S57" s="1364"/>
      <c r="T57" s="1364"/>
      <c r="U57" s="1364"/>
      <c r="V57" s="1364"/>
      <c r="W57" s="1364"/>
      <c r="X57" s="1364"/>
      <c r="Y57" s="1364"/>
      <c r="Z57" s="1364"/>
      <c r="AA57" s="1364"/>
      <c r="AB57" s="1364"/>
      <c r="AC57" s="1364"/>
    </row>
    <row r="58" spans="1:29" s="850" customFormat="1" ht="15">
      <c r="A58" s="847" t="s">
        <v>2796</v>
      </c>
      <c r="B58" s="848"/>
      <c r="C58" s="3046" t="str">
        <f>YEAR(C7)&amp;"-"&amp;MONTH(C7)</f>
        <v>2017-7</v>
      </c>
      <c r="D58" s="3047">
        <f>EDATE(C58,-1)</f>
        <v>42887</v>
      </c>
      <c r="E58" s="3047">
        <f t="shared" ref="E58:N58" si="16">EDATE(D58,-1)</f>
        <v>42856</v>
      </c>
      <c r="F58" s="3047">
        <f t="shared" si="16"/>
        <v>42826</v>
      </c>
      <c r="G58" s="3047">
        <f t="shared" si="16"/>
        <v>42795</v>
      </c>
      <c r="H58" s="3047">
        <f t="shared" si="16"/>
        <v>42767</v>
      </c>
      <c r="I58" s="3047">
        <f t="shared" si="16"/>
        <v>42736</v>
      </c>
      <c r="J58" s="3047">
        <f t="shared" si="16"/>
        <v>42705</v>
      </c>
      <c r="K58" s="3047">
        <f t="shared" si="16"/>
        <v>42675</v>
      </c>
      <c r="L58" s="3047">
        <f t="shared" si="16"/>
        <v>42644</v>
      </c>
      <c r="M58" s="3047">
        <f t="shared" si="16"/>
        <v>42614</v>
      </c>
      <c r="N58" s="3047">
        <f t="shared" si="16"/>
        <v>42583</v>
      </c>
      <c r="O58" s="3047">
        <f>EDATE(N58,-1)</f>
        <v>42552</v>
      </c>
      <c r="P58" s="3040"/>
    </row>
    <row r="59" spans="1:29" s="40" customFormat="1" ht="14.25">
      <c r="A59" s="1044"/>
      <c r="B59" s="1045"/>
      <c r="C59" s="3044">
        <v>100</v>
      </c>
      <c r="D59" s="854"/>
      <c r="E59" s="854"/>
      <c r="F59" s="854"/>
      <c r="G59" s="854"/>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6" t="s">
        <v>1042</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1008</v>
      </c>
      <c r="D65" s="881" t="s">
        <v>1009</v>
      </c>
      <c r="E65" s="881" t="s">
        <v>1010</v>
      </c>
      <c r="F65" s="881" t="s">
        <v>1011</v>
      </c>
      <c r="G65" s="881" t="s">
        <v>1012</v>
      </c>
      <c r="H65" s="881" t="s">
        <v>1013</v>
      </c>
      <c r="I65" s="881" t="s">
        <v>1014</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1044</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1"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6" t="s">
        <v>1046</v>
      </c>
      <c r="C76" s="915" t="s">
        <v>1015</v>
      </c>
      <c r="D76" s="915" t="s">
        <v>1016</v>
      </c>
      <c r="E76" s="915" t="s">
        <v>1017</v>
      </c>
      <c r="F76" s="915" t="s">
        <v>1018</v>
      </c>
      <c r="G76" s="915" t="s">
        <v>1019</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1052</v>
      </c>
      <c r="C78" s="920" t="s">
        <v>426</v>
      </c>
      <c r="D78" s="920" t="s">
        <v>427</v>
      </c>
      <c r="E78" s="920" t="s">
        <v>428</v>
      </c>
      <c r="F78" s="920" t="s">
        <v>429</v>
      </c>
      <c r="G78" s="920" t="s">
        <v>430</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2639</v>
      </c>
      <c r="C80" s="920" t="s">
        <v>426</v>
      </c>
      <c r="D80" s="920" t="s">
        <v>427</v>
      </c>
      <c r="E80" s="920" t="s">
        <v>428</v>
      </c>
      <c r="F80" s="920" t="s">
        <v>429</v>
      </c>
      <c r="G80" s="920" t="s">
        <v>430</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2658</v>
      </c>
      <c r="C82" s="213" t="s">
        <v>2659</v>
      </c>
      <c r="D82" s="213" t="s">
        <v>2660</v>
      </c>
      <c r="E82" s="213" t="s">
        <v>2661</v>
      </c>
      <c r="F82" s="213" t="s">
        <v>2662</v>
      </c>
      <c r="G82" s="213" t="s">
        <v>2663</v>
      </c>
      <c r="H82" s="881"/>
      <c r="I82" s="881"/>
      <c r="J82" s="881"/>
      <c r="K82" s="881"/>
      <c r="L82" s="881"/>
      <c r="M82" s="2766"/>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3"/>
      <c r="N83" s="1389"/>
      <c r="O83" s="1389"/>
      <c r="P83" s="1378"/>
      <c r="Q83" s="121"/>
    </row>
    <row r="84" spans="1:17" ht="15" thickTop="1">
      <c r="A84" s="173"/>
      <c r="B84" s="1053" t="s">
        <v>1053</v>
      </c>
      <c r="C84" s="920" t="s">
        <v>426</v>
      </c>
      <c r="D84" s="920" t="s">
        <v>427</v>
      </c>
      <c r="E84" s="920" t="s">
        <v>428</v>
      </c>
      <c r="F84" s="920" t="s">
        <v>429</v>
      </c>
      <c r="G84" s="920" t="s">
        <v>430</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1054</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6" t="s">
        <v>1056</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1057</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1058</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1059</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2641</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1061</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1062</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1063</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1067</v>
      </c>
      <c r="B1" s="3123" t="s">
        <v>1068</v>
      </c>
      <c r="C1" s="3117" t="s">
        <v>1069</v>
      </c>
      <c r="D1" s="3108"/>
      <c r="E1" s="3113"/>
      <c r="F1" s="3110"/>
      <c r="G1" s="3112" t="s">
        <v>1070</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1071</v>
      </c>
      <c r="B2" s="2848" t="e">
        <f ca="1">IF(C2="——",ROUND(C50*D3/10000,0),ROUND(C50*D3/10000,0)-D2)</f>
        <v>#DIV/0!</v>
      </c>
      <c r="C2" s="3102"/>
      <c r="D2" s="2725" t="e">
        <f ca="1">SUMIF(INDIRECT("'"&amp;F2&amp;"'"&amp;"!A:A"),"承租人权益价值",INDIRECT("'"&amp;F2&amp;"'"&amp;"!c:c"))</f>
        <v>#REF!</v>
      </c>
      <c r="E2" s="3103" t="s">
        <v>867</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34"/>
    </row>
    <row r="3" spans="1:29" s="90" customFormat="1" ht="28.5" customHeight="1" thickBot="1">
      <c r="A3" s="87" t="s">
        <v>1072</v>
      </c>
      <c r="B3" s="951" t="e">
        <f ca="1">IF(C2="——",C50,ROUND(B2*10000/D3,0))</f>
        <v>#DIV/0!</v>
      </c>
      <c r="C3" s="142" t="s">
        <v>1073</v>
      </c>
      <c r="D3" s="742">
        <f>IF(D1="",'数据-汇总表'!E3,SUMIF('数据-汇总表'!$C19:$C33,D1,'数据-汇总表'!$E19:$E33))</f>
        <v>7148.0899999999992</v>
      </c>
      <c r="E3" s="2317"/>
      <c r="F3" s="2318"/>
      <c r="G3" s="2319"/>
      <c r="H3" s="2319"/>
      <c r="I3" s="2319"/>
      <c r="J3" s="2319"/>
      <c r="K3" s="2322"/>
      <c r="L3" s="2320"/>
      <c r="M3" s="2321"/>
      <c r="N3" s="2321"/>
      <c r="O3" s="2321"/>
      <c r="P3" s="1333"/>
      <c r="Q3" s="1333"/>
      <c r="R3" s="1333"/>
      <c r="S3" s="1333"/>
      <c r="T3" s="1333"/>
      <c r="U3" s="1333"/>
      <c r="V3" s="1333"/>
      <c r="W3" s="1333"/>
      <c r="X3" s="1333"/>
      <c r="Y3" s="1333"/>
      <c r="Z3" s="1333"/>
      <c r="AA3" s="1333"/>
      <c r="AB3" s="1333"/>
      <c r="AC3" s="1334"/>
    </row>
    <row r="4" spans="1:29">
      <c r="A4" s="143" t="s">
        <v>1074</v>
      </c>
      <c r="B4" s="144"/>
      <c r="C4" s="3573" t="s">
        <v>1075</v>
      </c>
      <c r="D4" s="3574"/>
      <c r="E4" s="3575" t="s">
        <v>1076</v>
      </c>
      <c r="F4" s="3576"/>
      <c r="G4" s="3573" t="s">
        <v>1077</v>
      </c>
      <c r="H4" s="3574"/>
      <c r="I4" s="3573" t="s">
        <v>1078</v>
      </c>
      <c r="J4" s="3574"/>
      <c r="K4" s="187" t="s">
        <v>1079</v>
      </c>
      <c r="L4" s="2296"/>
      <c r="M4" s="2297"/>
      <c r="N4" s="2297"/>
      <c r="O4" s="2297"/>
      <c r="P4" s="3607" t="s">
        <v>1074</v>
      </c>
      <c r="Q4" s="3608"/>
      <c r="R4" s="3602" t="s">
        <v>1076</v>
      </c>
      <c r="S4" s="3603"/>
      <c r="T4" s="3602" t="s">
        <v>1077</v>
      </c>
      <c r="U4" s="3603"/>
      <c r="V4" s="3611" t="s">
        <v>1078</v>
      </c>
      <c r="W4" s="3611"/>
      <c r="X4" s="2336"/>
      <c r="Y4" s="3602" t="s">
        <v>1074</v>
      </c>
      <c r="Z4" s="3603"/>
      <c r="AA4" s="3601" t="s">
        <v>1076</v>
      </c>
      <c r="AB4" s="3601" t="s">
        <v>1077</v>
      </c>
      <c r="AC4" s="3604" t="s">
        <v>1078</v>
      </c>
    </row>
    <row r="5" spans="1:29">
      <c r="A5" s="146"/>
      <c r="B5" s="147"/>
      <c r="C5" s="3566" t="s">
        <v>1080</v>
      </c>
      <c r="D5" s="3567"/>
      <c r="E5" s="3564" t="s">
        <v>1081</v>
      </c>
      <c r="F5" s="3565"/>
      <c r="G5" s="3566" t="s">
        <v>1082</v>
      </c>
      <c r="H5" s="3567"/>
      <c r="I5" s="3566" t="s">
        <v>1083</v>
      </c>
      <c r="J5" s="3567"/>
      <c r="K5" s="187"/>
      <c r="L5" s="2296"/>
      <c r="M5" s="2297"/>
      <c r="N5" s="2297"/>
      <c r="O5" s="2297"/>
      <c r="P5" s="3609"/>
      <c r="Q5" s="3580"/>
      <c r="R5" s="3562"/>
      <c r="S5" s="3563"/>
      <c r="T5" s="3562"/>
      <c r="U5" s="3563"/>
      <c r="V5" s="3585"/>
      <c r="W5" s="3585"/>
      <c r="X5" s="2222"/>
      <c r="Y5" s="3562"/>
      <c r="Z5" s="3563"/>
      <c r="AA5" s="3556"/>
      <c r="AB5" s="3556"/>
      <c r="AC5" s="3605"/>
    </row>
    <row r="6" spans="1:29" ht="14.25" thickBot="1">
      <c r="A6" s="148"/>
      <c r="B6" s="149"/>
      <c r="C6" s="3568" t="s">
        <v>1084</v>
      </c>
      <c r="D6" s="3569"/>
      <c r="E6" s="3570" t="s">
        <v>1084</v>
      </c>
      <c r="F6" s="3571"/>
      <c r="G6" s="3568" t="s">
        <v>1084</v>
      </c>
      <c r="H6" s="3569"/>
      <c r="I6" s="3568" t="s">
        <v>1084</v>
      </c>
      <c r="J6" s="3569"/>
      <c r="K6" s="187" t="s">
        <v>1085</v>
      </c>
      <c r="L6" s="2296"/>
      <c r="M6" s="2297"/>
      <c r="N6" s="2297"/>
      <c r="O6" s="2297"/>
      <c r="P6" s="3610"/>
      <c r="Q6" s="3582"/>
      <c r="R6" s="3562"/>
      <c r="S6" s="3563"/>
      <c r="T6" s="3583"/>
      <c r="U6" s="3584"/>
      <c r="V6" s="3585"/>
      <c r="W6" s="3585"/>
      <c r="X6" s="2222"/>
      <c r="Y6" s="3583"/>
      <c r="Z6" s="3584"/>
      <c r="AA6" s="3557"/>
      <c r="AB6" s="3557"/>
      <c r="AC6" s="3606"/>
    </row>
    <row r="7" spans="1:29" s="40" customFormat="1" ht="15" thickBot="1">
      <c r="A7" s="1013" t="s">
        <v>1086</v>
      </c>
      <c r="B7" s="1014"/>
      <c r="C7" s="753">
        <f>'数据-取费表'!B2</f>
        <v>42928</v>
      </c>
      <c r="D7" s="754">
        <v>100</v>
      </c>
      <c r="E7" s="1016"/>
      <c r="F7" s="756">
        <f>SUMIF(59:59,YEAR(E7)&amp;"-"&amp;MONTH(E7),60:60)</f>
        <v>0</v>
      </c>
      <c r="G7" s="1016"/>
      <c r="H7" s="754">
        <f>SUMIF(59:59,YEAR(G7)&amp;"-"&amp;MONTH(G7),60:60)</f>
        <v>0</v>
      </c>
      <c r="I7" s="1016"/>
      <c r="J7" s="754">
        <f>SUMIF(59:59,YEAR(I7)&amp;"-"&amp;MONTH(I7),60:60)</f>
        <v>0</v>
      </c>
      <c r="K7" s="1018"/>
      <c r="L7" s="2298"/>
      <c r="M7" s="2260"/>
      <c r="N7" s="2260"/>
      <c r="O7" s="2260"/>
      <c r="P7" s="3612" t="s">
        <v>1086</v>
      </c>
      <c r="Q7" s="3586"/>
      <c r="R7" s="1341" t="s">
        <v>65</v>
      </c>
      <c r="S7" s="1342">
        <f t="shared" ref="S7:S15" si="0">F7</f>
        <v>0</v>
      </c>
      <c r="T7" s="1341" t="s">
        <v>65</v>
      </c>
      <c r="U7" s="1342">
        <f t="shared" ref="U7:U15" si="1">H7</f>
        <v>0</v>
      </c>
      <c r="V7" s="1341" t="s">
        <v>65</v>
      </c>
      <c r="W7" s="1342">
        <f t="shared" ref="W7:W15" si="2">J7</f>
        <v>0</v>
      </c>
      <c r="X7" s="287"/>
      <c r="Y7" s="3558" t="s">
        <v>1086</v>
      </c>
      <c r="Z7" s="3559"/>
      <c r="AA7" s="1343" t="e">
        <f>D7/F7</f>
        <v>#DIV/0!</v>
      </c>
      <c r="AB7" s="1343" t="e">
        <f>D7/H7</f>
        <v>#DIV/0!</v>
      </c>
      <c r="AC7" s="2337" t="e">
        <f>D7/J7</f>
        <v>#DIV/0!</v>
      </c>
    </row>
    <row r="8" spans="1:29" s="40" customFormat="1" ht="15" thickBot="1">
      <c r="A8" s="1013" t="s">
        <v>1087</v>
      </c>
      <c r="B8" s="1014"/>
      <c r="C8" s="1019" t="s">
        <v>1088</v>
      </c>
      <c r="D8" s="754">
        <v>100</v>
      </c>
      <c r="E8" s="1019"/>
      <c r="F8" s="756">
        <f>SUMIF(62:62,E8,63:63)-SUMIF(62:62,C8,63:63)+100</f>
        <v>0</v>
      </c>
      <c r="G8" s="1019"/>
      <c r="H8" s="754">
        <f>SUMIF(62:62,G8,63:63)-SUMIF(62:62,C8,63:63)+100</f>
        <v>0</v>
      </c>
      <c r="I8" s="1019"/>
      <c r="J8" s="754">
        <f>SUMIF(62:62,I8,63:63)-SUMIF(62:62,C8,63:63)+100</f>
        <v>0</v>
      </c>
      <c r="K8" s="1018"/>
      <c r="L8" s="2298"/>
      <c r="M8" s="2260"/>
      <c r="N8" s="2260"/>
      <c r="O8" s="2260"/>
      <c r="P8" s="3612" t="s">
        <v>1020</v>
      </c>
      <c r="Q8" s="3559"/>
      <c r="R8" s="1341" t="s">
        <v>65</v>
      </c>
      <c r="S8" s="1342">
        <f t="shared" si="0"/>
        <v>0</v>
      </c>
      <c r="T8" s="1341" t="s">
        <v>65</v>
      </c>
      <c r="U8" s="1342">
        <f t="shared" si="1"/>
        <v>0</v>
      </c>
      <c r="V8" s="1341" t="s">
        <v>65</v>
      </c>
      <c r="W8" s="1342">
        <f t="shared" si="2"/>
        <v>0</v>
      </c>
      <c r="X8" s="287"/>
      <c r="Y8" s="3558" t="s">
        <v>1020</v>
      </c>
      <c r="Z8" s="3559"/>
      <c r="AA8" s="1343" t="e">
        <f t="shared" ref="AA8:AA47" si="3">D8/F8</f>
        <v>#DIV/0!</v>
      </c>
      <c r="AB8" s="1343" t="e">
        <f t="shared" ref="AB8:AB47" si="4">D8/H8</f>
        <v>#DIV/0!</v>
      </c>
      <c r="AC8" s="2337" t="e">
        <f t="shared" ref="AC8:AC47" si="5">D8/J8</f>
        <v>#DIV/0!</v>
      </c>
    </row>
    <row r="9" spans="1:29" s="40" customFormat="1" ht="14.25">
      <c r="A9" s="1020" t="s">
        <v>1021</v>
      </c>
      <c r="B9" s="62" t="s">
        <v>1022</v>
      </c>
      <c r="C9" s="1345"/>
      <c r="D9" s="425">
        <v>100</v>
      </c>
      <c r="E9" s="1347"/>
      <c r="F9" s="425">
        <f>SUMIF(64:64,E9,65:65)-SUMIF(64:64,C9,65:65)+100</f>
        <v>100</v>
      </c>
      <c r="G9" s="1346"/>
      <c r="H9" s="425">
        <f>SUMIF(64:64,G9,65:65)-SUMIF(64:64,C9,65:65)+100</f>
        <v>100</v>
      </c>
      <c r="I9" s="1346"/>
      <c r="J9" s="425">
        <f>SUMIF(64:64,I9,65:65)-SUMIF(64:64,C9,65:65)+100</f>
        <v>100</v>
      </c>
      <c r="K9" s="1018"/>
      <c r="L9" s="2298"/>
      <c r="M9" s="2260"/>
      <c r="N9" s="2260"/>
      <c r="O9" s="2260"/>
      <c r="P9" s="3572" t="s">
        <v>67</v>
      </c>
      <c r="Q9" s="2213" t="str">
        <f t="shared" ref="Q9:Q15" si="6">B9</f>
        <v>用途</v>
      </c>
      <c r="R9" s="1341" t="s">
        <v>65</v>
      </c>
      <c r="S9" s="1342">
        <f t="shared" si="0"/>
        <v>100</v>
      </c>
      <c r="T9" s="1341" t="s">
        <v>65</v>
      </c>
      <c r="U9" s="1342">
        <f t="shared" si="1"/>
        <v>100</v>
      </c>
      <c r="V9" s="1341" t="s">
        <v>65</v>
      </c>
      <c r="W9" s="1342">
        <f t="shared" si="2"/>
        <v>100</v>
      </c>
      <c r="X9" s="287"/>
      <c r="Y9" s="3400" t="s">
        <v>67</v>
      </c>
      <c r="Z9" s="2212" t="str">
        <f t="shared" ref="Z9:Z15" si="7">Q9</f>
        <v>用途</v>
      </c>
      <c r="AA9" s="1343">
        <f t="shared" si="3"/>
        <v>1</v>
      </c>
      <c r="AB9" s="1343">
        <f t="shared" si="4"/>
        <v>1</v>
      </c>
      <c r="AC9" s="2337">
        <f t="shared" si="5"/>
        <v>1</v>
      </c>
    </row>
    <row r="10" spans="1:29" s="92" customFormat="1" ht="27">
      <c r="A10" s="150"/>
      <c r="B10" s="12" t="s">
        <v>106</v>
      </c>
      <c r="C10" s="1348"/>
      <c r="D10" s="426">
        <v>100</v>
      </c>
      <c r="E10" s="1348"/>
      <c r="F10" s="426">
        <f>SUMIF(66:66,E10,67:67)-SUMIF(66:66,C10,67:67)+100</f>
        <v>100</v>
      </c>
      <c r="G10" s="1349"/>
      <c r="H10" s="426">
        <f>SUMIF(66:66,G10,67:67)-SUMIF(66:66,C10,67:67)+100</f>
        <v>100</v>
      </c>
      <c r="I10" s="1348"/>
      <c r="J10" s="426">
        <f>SUMIF(66:66,I10,67:67)-SUMIF(66:66,C10,67:67)+100</f>
        <v>100</v>
      </c>
      <c r="K10" s="954"/>
      <c r="L10" s="2299"/>
      <c r="M10" s="2300"/>
      <c r="N10" s="2300"/>
      <c r="O10" s="2300"/>
      <c r="P10" s="3572"/>
      <c r="Q10" s="2213" t="str">
        <f t="shared" si="6"/>
        <v>土地使用年限（年）</v>
      </c>
      <c r="R10" s="1341" t="s">
        <v>65</v>
      </c>
      <c r="S10" s="1342">
        <f t="shared" si="0"/>
        <v>100</v>
      </c>
      <c r="T10" s="1341" t="s">
        <v>65</v>
      </c>
      <c r="U10" s="1342">
        <f t="shared" si="1"/>
        <v>100</v>
      </c>
      <c r="V10" s="1341" t="s">
        <v>65</v>
      </c>
      <c r="W10" s="1342">
        <f t="shared" si="2"/>
        <v>100</v>
      </c>
      <c r="X10" s="287"/>
      <c r="Y10" s="3400"/>
      <c r="Z10" s="2212" t="str">
        <f t="shared" si="7"/>
        <v>土地使用年限（年）</v>
      </c>
      <c r="AA10" s="1343">
        <f t="shared" si="3"/>
        <v>1</v>
      </c>
      <c r="AB10" s="1343">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4"/>
      <c r="L11" s="2301"/>
      <c r="M11" s="2297"/>
      <c r="N11" s="2297"/>
      <c r="O11" s="2297"/>
      <c r="P11" s="3572"/>
      <c r="Q11" s="2213" t="str">
        <f t="shared" si="6"/>
        <v>容积率</v>
      </c>
      <c r="R11" s="1341" t="s">
        <v>65</v>
      </c>
      <c r="S11" s="1342" t="e">
        <f t="shared" si="0"/>
        <v>#N/A</v>
      </c>
      <c r="T11" s="1341" t="s">
        <v>65</v>
      </c>
      <c r="U11" s="1342" t="e">
        <f t="shared" si="1"/>
        <v>#N/A</v>
      </c>
      <c r="V11" s="1341" t="s">
        <v>65</v>
      </c>
      <c r="W11" s="1342" t="e">
        <f t="shared" si="2"/>
        <v>#N/A</v>
      </c>
      <c r="X11" s="287"/>
      <c r="Y11" s="3400"/>
      <c r="Z11" s="2212" t="str">
        <f t="shared" si="7"/>
        <v>容积率</v>
      </c>
      <c r="AA11" s="1343" t="e">
        <f t="shared" si="3"/>
        <v>#N/A</v>
      </c>
      <c r="AB11" s="1343" t="e">
        <f t="shared" si="4"/>
        <v>#N/A</v>
      </c>
      <c r="AC11" s="2337" t="e">
        <f t="shared" si="5"/>
        <v>#N/A</v>
      </c>
    </row>
    <row r="12" spans="1:29" s="40" customFormat="1" ht="14.25">
      <c r="A12" s="1029"/>
      <c r="B12" s="1030">
        <v>111</v>
      </c>
      <c r="C12" s="1023"/>
      <c r="D12" s="776">
        <v>100</v>
      </c>
      <c r="E12" s="1023"/>
      <c r="F12" s="426">
        <f>SUMIF(71:71,E12,72:72)-SUMIF(71:71,C12,72:72)+100</f>
        <v>100</v>
      </c>
      <c r="G12" s="1402"/>
      <c r="H12" s="426">
        <f>SUMIF(71:71,G12,72:72)-SUMIF(71:71,C12,72:72)+100</f>
        <v>100</v>
      </c>
      <c r="I12" s="1023"/>
      <c r="J12" s="426">
        <f>SUMIF(71:71,I12,72:72)-SUMIF(71:71,C12,72:72)+100</f>
        <v>100</v>
      </c>
      <c r="K12" s="188"/>
      <c r="L12" s="2298"/>
      <c r="M12" s="2260"/>
      <c r="N12" s="2260"/>
      <c r="O12" s="2260"/>
      <c r="P12" s="3572"/>
      <c r="Q12" s="2213">
        <f t="shared" si="6"/>
        <v>111</v>
      </c>
      <c r="R12" s="1341" t="s">
        <v>65</v>
      </c>
      <c r="S12" s="1342">
        <f t="shared" si="0"/>
        <v>100</v>
      </c>
      <c r="T12" s="1341" t="s">
        <v>65</v>
      </c>
      <c r="U12" s="1342">
        <f t="shared" si="1"/>
        <v>100</v>
      </c>
      <c r="V12" s="1341" t="s">
        <v>65</v>
      </c>
      <c r="W12" s="1342">
        <f t="shared" si="2"/>
        <v>100</v>
      </c>
      <c r="X12" s="287"/>
      <c r="Y12" s="3400"/>
      <c r="Z12" s="2212">
        <f t="shared" si="7"/>
        <v>111</v>
      </c>
      <c r="AA12" s="1343">
        <f>D12/F12</f>
        <v>1</v>
      </c>
      <c r="AB12" s="1343">
        <f>D12/H12</f>
        <v>1</v>
      </c>
      <c r="AC12" s="2337">
        <f>D12/J12</f>
        <v>1</v>
      </c>
    </row>
    <row r="13" spans="1:29" ht="14.25">
      <c r="A13" s="151"/>
      <c r="B13" s="1030">
        <v>111</v>
      </c>
      <c r="C13" s="93"/>
      <c r="D13" s="778">
        <v>100</v>
      </c>
      <c r="E13" s="1023"/>
      <c r="F13" s="426">
        <f>SUMIF(73:73,E13,74:74)-SUMIF(73:73,C13,74:74)+100</f>
        <v>100</v>
      </c>
      <c r="G13" s="1402"/>
      <c r="H13" s="778">
        <f>SUMIF(73:73,G13,74:74)-SUMIF(73:73,C13,74:74)+100</f>
        <v>100</v>
      </c>
      <c r="I13" s="1023"/>
      <c r="J13" s="778">
        <f>SUMIF(73:73,I13,74:74)-SUMIF(73:73,C13,74:74)+100</f>
        <v>100</v>
      </c>
      <c r="K13" s="188"/>
      <c r="L13" s="2302"/>
      <c r="M13" s="2297"/>
      <c r="N13" s="2297"/>
      <c r="O13" s="2297"/>
      <c r="P13" s="3572"/>
      <c r="Q13" s="2213">
        <f t="shared" si="6"/>
        <v>111</v>
      </c>
      <c r="R13" s="1341" t="s">
        <v>65</v>
      </c>
      <c r="S13" s="1342">
        <f t="shared" si="0"/>
        <v>100</v>
      </c>
      <c r="T13" s="1341" t="s">
        <v>65</v>
      </c>
      <c r="U13" s="1342">
        <f t="shared" si="1"/>
        <v>100</v>
      </c>
      <c r="V13" s="1341" t="s">
        <v>65</v>
      </c>
      <c r="W13" s="1342">
        <f t="shared" si="2"/>
        <v>100</v>
      </c>
      <c r="X13" s="287"/>
      <c r="Y13" s="3400"/>
      <c r="Z13" s="2212">
        <f t="shared" si="7"/>
        <v>111</v>
      </c>
      <c r="AA13" s="1343">
        <f t="shared" si="3"/>
        <v>1</v>
      </c>
      <c r="AB13" s="1343">
        <f t="shared" si="4"/>
        <v>1</v>
      </c>
      <c r="AC13" s="2337">
        <f t="shared" si="5"/>
        <v>1</v>
      </c>
    </row>
    <row r="14" spans="1:29" ht="15" thickBot="1">
      <c r="A14" s="154"/>
      <c r="B14" s="1031">
        <v>111</v>
      </c>
      <c r="C14" s="94"/>
      <c r="D14" s="781">
        <v>100</v>
      </c>
      <c r="E14" s="1403"/>
      <c r="F14" s="781">
        <f>SUMIF(75:75,E14,76:76)-SUMIF(75:75,C14,76:76)+100</f>
        <v>100</v>
      </c>
      <c r="G14" s="1402"/>
      <c r="H14" s="781">
        <f>SUMIF(75:75,G14,76:76)-SUMIF(75:75,C14,76:76)+100</f>
        <v>100</v>
      </c>
      <c r="I14" s="1023"/>
      <c r="J14" s="781">
        <f>SUMIF(75:75,I14,76:76)-SUMIF(75:75,C14,76:76)+100</f>
        <v>100</v>
      </c>
      <c r="K14" s="188"/>
      <c r="L14" s="2302"/>
      <c r="M14" s="2297"/>
      <c r="N14" s="2297"/>
      <c r="O14" s="2297"/>
      <c r="P14" s="3572"/>
      <c r="Q14" s="2213">
        <f t="shared" si="6"/>
        <v>111</v>
      </c>
      <c r="R14" s="1341" t="s">
        <v>65</v>
      </c>
      <c r="S14" s="1342">
        <f t="shared" si="0"/>
        <v>100</v>
      </c>
      <c r="T14" s="1341" t="s">
        <v>65</v>
      </c>
      <c r="U14" s="1342">
        <f t="shared" si="1"/>
        <v>100</v>
      </c>
      <c r="V14" s="1341" t="s">
        <v>65</v>
      </c>
      <c r="W14" s="1342">
        <f t="shared" si="2"/>
        <v>100</v>
      </c>
      <c r="X14" s="287"/>
      <c r="Y14" s="3400"/>
      <c r="Z14" s="2212">
        <f t="shared" si="7"/>
        <v>111</v>
      </c>
      <c r="AA14" s="1343">
        <f t="shared" si="3"/>
        <v>1</v>
      </c>
      <c r="AB14" s="1343">
        <f t="shared" si="4"/>
        <v>1</v>
      </c>
      <c r="AC14" s="2337">
        <f t="shared" si="5"/>
        <v>1</v>
      </c>
    </row>
    <row r="15" spans="1:29" ht="15">
      <c r="A15" s="155" t="s">
        <v>69</v>
      </c>
      <c r="B15" s="1032"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6"/>
      <c r="L15" s="2302"/>
      <c r="M15" s="2297"/>
      <c r="N15" s="2297"/>
      <c r="O15" s="2297"/>
      <c r="P15" s="3599" t="s">
        <v>69</v>
      </c>
      <c r="Q15" s="2220" t="str">
        <f t="shared" si="6"/>
        <v>办公集聚程度</v>
      </c>
      <c r="R15" s="1351" t="s">
        <v>65</v>
      </c>
      <c r="S15" s="1352">
        <f t="shared" si="0"/>
        <v>100</v>
      </c>
      <c r="T15" s="1351" t="s">
        <v>65</v>
      </c>
      <c r="U15" s="1352">
        <f t="shared" si="1"/>
        <v>100</v>
      </c>
      <c r="V15" s="1351" t="s">
        <v>65</v>
      </c>
      <c r="W15" s="1352">
        <f t="shared" si="2"/>
        <v>100</v>
      </c>
      <c r="X15" s="2222"/>
      <c r="Y15" s="3592" t="s">
        <v>69</v>
      </c>
      <c r="Z15" s="2221" t="str">
        <f t="shared" si="7"/>
        <v>办公集聚程度</v>
      </c>
      <c r="AA15" s="1354">
        <f t="shared" si="3"/>
        <v>1</v>
      </c>
      <c r="AB15" s="1354">
        <f t="shared" si="4"/>
        <v>1</v>
      </c>
      <c r="AC15" s="2338">
        <f t="shared" si="5"/>
        <v>1</v>
      </c>
    </row>
    <row r="16" spans="1:29" ht="14.25">
      <c r="A16" s="151"/>
      <c r="B16" s="209"/>
      <c r="C16" s="192"/>
      <c r="D16" s="791"/>
      <c r="E16" s="97"/>
      <c r="F16" s="791"/>
      <c r="G16" s="192"/>
      <c r="H16" s="793"/>
      <c r="I16" s="97"/>
      <c r="J16" s="791"/>
      <c r="K16" s="189"/>
      <c r="L16" s="2302"/>
      <c r="M16" s="2297"/>
      <c r="N16" s="2297"/>
      <c r="O16" s="2297"/>
      <c r="P16" s="3600"/>
      <c r="Q16" s="2220"/>
      <c r="R16" s="1351"/>
      <c r="S16" s="1352"/>
      <c r="T16" s="1351"/>
      <c r="U16" s="1352"/>
      <c r="V16" s="1351"/>
      <c r="W16" s="1352"/>
      <c r="X16" s="2222"/>
      <c r="Y16" s="3593"/>
      <c r="Z16" s="2221"/>
      <c r="AA16" s="1354">
        <v>1</v>
      </c>
      <c r="AB16" s="1354">
        <v>1</v>
      </c>
      <c r="AC16" s="2338">
        <v>1</v>
      </c>
    </row>
    <row r="17" spans="1:29" ht="121.5">
      <c r="A17" s="151"/>
      <c r="B17" s="1033" t="s">
        <v>72</v>
      </c>
      <c r="C17" s="210" t="str">
        <f>估价对象房地状况!C6</f>
        <v>估价对象周边有308、335等公交线路及地铁1号线，公共交通通达情况较好；项目自身有停车位、停车便捷程度较好，综合评价交通便捷度较好</v>
      </c>
      <c r="D17" s="793">
        <v>100</v>
      </c>
      <c r="E17" s="101"/>
      <c r="F17" s="793">
        <f>SUMIF(79:79,E18,80:80)-SUMIF(79:79,C18,80:80)+100</f>
        <v>100</v>
      </c>
      <c r="G17" s="100"/>
      <c r="H17" s="798">
        <f>SUMIF(79:79,G18,80:80)-SUMIF(79:79,C18,80:80)+100</f>
        <v>100</v>
      </c>
      <c r="I17" s="100"/>
      <c r="J17" s="798">
        <f>SUMIF(79:79,I18,80:80)-SUMIF(79:79,C18,80:80)+100</f>
        <v>100</v>
      </c>
      <c r="K17" s="956"/>
      <c r="L17" s="2302"/>
      <c r="M17" s="2297"/>
      <c r="N17" s="2297"/>
      <c r="O17" s="2297"/>
      <c r="P17" s="3600"/>
      <c r="Q17" s="2220" t="str">
        <f>B17</f>
        <v>交通便捷度</v>
      </c>
      <c r="R17" s="1351" t="s">
        <v>65</v>
      </c>
      <c r="S17" s="1352">
        <f>F17</f>
        <v>100</v>
      </c>
      <c r="T17" s="1351" t="s">
        <v>65</v>
      </c>
      <c r="U17" s="1352">
        <f>H17</f>
        <v>100</v>
      </c>
      <c r="V17" s="1351" t="s">
        <v>65</v>
      </c>
      <c r="W17" s="1352">
        <f>J17</f>
        <v>100</v>
      </c>
      <c r="X17" s="2222"/>
      <c r="Y17" s="3593"/>
      <c r="Z17" s="2221" t="str">
        <f>Q17</f>
        <v>交通便捷度</v>
      </c>
      <c r="AA17" s="1354">
        <f t="shared" si="3"/>
        <v>1</v>
      </c>
      <c r="AB17" s="1354">
        <f t="shared" si="4"/>
        <v>1</v>
      </c>
      <c r="AC17" s="2338">
        <f t="shared" si="5"/>
        <v>1</v>
      </c>
    </row>
    <row r="18" spans="1:29" ht="14.25">
      <c r="A18" s="151"/>
      <c r="B18" s="1034"/>
      <c r="C18" s="193"/>
      <c r="D18" s="793"/>
      <c r="E18" s="104"/>
      <c r="F18" s="793"/>
      <c r="G18" s="103"/>
      <c r="H18" s="791"/>
      <c r="I18" s="103"/>
      <c r="J18" s="791"/>
      <c r="K18" s="189"/>
      <c r="L18" s="2302"/>
      <c r="M18" s="2297"/>
      <c r="N18" s="2297"/>
      <c r="O18" s="2297"/>
      <c r="P18" s="3600"/>
      <c r="Q18" s="2220"/>
      <c r="R18" s="1351"/>
      <c r="S18" s="1352"/>
      <c r="T18" s="1351"/>
      <c r="U18" s="1352"/>
      <c r="V18" s="1351"/>
      <c r="W18" s="1352"/>
      <c r="X18" s="2222"/>
      <c r="Y18" s="3593"/>
      <c r="Z18" s="2221"/>
      <c r="AA18" s="1354">
        <v>1</v>
      </c>
      <c r="AB18" s="1354">
        <v>1</v>
      </c>
      <c r="AC18" s="2338">
        <v>1</v>
      </c>
    </row>
    <row r="19" spans="1:29" ht="40.5">
      <c r="A19" s="151"/>
      <c r="B19" s="1033" t="s">
        <v>2664</v>
      </c>
      <c r="C19" s="210" t="str">
        <f>估价对象房地状况!C7</f>
        <v>估价对象所在区域公共配套设施齐备度较好</v>
      </c>
      <c r="D19" s="798">
        <v>100</v>
      </c>
      <c r="E19" s="106"/>
      <c r="F19" s="798">
        <f>SUMIF(81:81,E20,82:82)-SUMIF(81:81,C20,82:82)+100</f>
        <v>100</v>
      </c>
      <c r="G19" s="105"/>
      <c r="H19" s="793">
        <f>SUMIF(81:81,G20,82:82)-SUMIF(81:81,C20,82:82)+100</f>
        <v>100</v>
      </c>
      <c r="I19" s="105"/>
      <c r="J19" s="793">
        <f>SUMIF(81:81,I20,82:82)-SUMIF(81:81,C20,82:82)+100</f>
        <v>100</v>
      </c>
      <c r="K19" s="956"/>
      <c r="L19" s="2302"/>
      <c r="M19" s="2297"/>
      <c r="N19" s="2297"/>
      <c r="O19" s="2297"/>
      <c r="P19" s="3600"/>
      <c r="Q19" s="2220" t="str">
        <f>B19</f>
        <v>公共配套设施</v>
      </c>
      <c r="R19" s="1351" t="s">
        <v>65</v>
      </c>
      <c r="S19" s="1352">
        <f>F19</f>
        <v>100</v>
      </c>
      <c r="T19" s="1351" t="s">
        <v>65</v>
      </c>
      <c r="U19" s="1352">
        <f>H19</f>
        <v>100</v>
      </c>
      <c r="V19" s="1351" t="s">
        <v>65</v>
      </c>
      <c r="W19" s="1352">
        <f>J19</f>
        <v>100</v>
      </c>
      <c r="X19" s="2222"/>
      <c r="Y19" s="3593"/>
      <c r="Z19" s="2221" t="str">
        <f>Q19</f>
        <v>公共配套设施</v>
      </c>
      <c r="AA19" s="1354">
        <f t="shared" si="3"/>
        <v>1</v>
      </c>
      <c r="AB19" s="1354">
        <f t="shared" si="4"/>
        <v>1</v>
      </c>
      <c r="AC19" s="2338">
        <f t="shared" si="5"/>
        <v>1</v>
      </c>
    </row>
    <row r="20" spans="1:29" ht="14.25">
      <c r="A20" s="151"/>
      <c r="B20" s="1034"/>
      <c r="C20" s="192"/>
      <c r="D20" s="791"/>
      <c r="E20" s="99"/>
      <c r="F20" s="791"/>
      <c r="G20" s="98"/>
      <c r="H20" s="791"/>
      <c r="I20" s="98"/>
      <c r="J20" s="791"/>
      <c r="K20" s="189"/>
      <c r="L20" s="2302"/>
      <c r="M20" s="2297"/>
      <c r="N20" s="2297"/>
      <c r="O20" s="2297"/>
      <c r="P20" s="3600"/>
      <c r="Q20" s="2220"/>
      <c r="R20" s="1351"/>
      <c r="S20" s="1352"/>
      <c r="T20" s="1351"/>
      <c r="U20" s="1352"/>
      <c r="V20" s="1351"/>
      <c r="W20" s="1352"/>
      <c r="X20" s="2222"/>
      <c r="Y20" s="3593"/>
      <c r="Z20" s="2221"/>
      <c r="AA20" s="1354">
        <v>1</v>
      </c>
      <c r="AB20" s="1354">
        <v>1</v>
      </c>
      <c r="AC20" s="2338">
        <v>1</v>
      </c>
    </row>
    <row r="21" spans="1:29" ht="40.5">
      <c r="A21" s="151"/>
      <c r="B21" s="1035" t="s">
        <v>2665</v>
      </c>
      <c r="C21" s="210" t="str">
        <f>估价对象房地状况!C8</f>
        <v>估价对象所在区域基础设施水平七通一平</v>
      </c>
      <c r="D21" s="793">
        <v>100</v>
      </c>
      <c r="E21" s="106"/>
      <c r="F21" s="798">
        <f>SUMIF(83:83,E22,84:84)-SUMIF(83:83,C22,84:84)+100</f>
        <v>100</v>
      </c>
      <c r="G21" s="105"/>
      <c r="H21" s="793">
        <f>SUMIF(83:83,G22,84:84)-SUMIF(83:83,C22,84:84)+100</f>
        <v>100</v>
      </c>
      <c r="I21" s="105"/>
      <c r="J21" s="793">
        <f>SUMIF(83:83,I22,84:84)-SUMIF(83:83,C22,84:84)+100</f>
        <v>100</v>
      </c>
      <c r="K21" s="956"/>
      <c r="L21" s="2302"/>
      <c r="M21" s="2297"/>
      <c r="N21" s="2297"/>
      <c r="O21" s="2297"/>
      <c r="P21" s="3600"/>
      <c r="Q21" s="2747" t="str">
        <f>B21</f>
        <v>基础设施水平</v>
      </c>
      <c r="R21" s="1351" t="s">
        <v>65</v>
      </c>
      <c r="S21" s="1352">
        <f>F21</f>
        <v>100</v>
      </c>
      <c r="T21" s="1351" t="s">
        <v>65</v>
      </c>
      <c r="U21" s="1352">
        <f>H21</f>
        <v>100</v>
      </c>
      <c r="V21" s="1351" t="s">
        <v>65</v>
      </c>
      <c r="W21" s="1352">
        <f>J21</f>
        <v>100</v>
      </c>
      <c r="X21" s="2749"/>
      <c r="Y21" s="3593"/>
      <c r="Z21" s="2748" t="str">
        <f>Q21</f>
        <v>基础设施水平</v>
      </c>
      <c r="AA21" s="1354">
        <f t="shared" ref="AA21" si="8">D21/F21</f>
        <v>1</v>
      </c>
      <c r="AB21" s="1354">
        <f t="shared" ref="AB21" si="9">D21/H21</f>
        <v>1</v>
      </c>
      <c r="AC21" s="2338">
        <f t="shared" ref="AC21" si="10">D21/J21</f>
        <v>1</v>
      </c>
    </row>
    <row r="22" spans="1:29" ht="14.25">
      <c r="A22" s="151"/>
      <c r="B22" s="1035"/>
      <c r="C22" s="193"/>
      <c r="D22" s="791"/>
      <c r="E22" s="97"/>
      <c r="F22" s="791"/>
      <c r="G22" s="192"/>
      <c r="H22" s="791"/>
      <c r="I22" s="192"/>
      <c r="J22" s="791"/>
      <c r="K22" s="2767"/>
      <c r="L22" s="2302"/>
      <c r="M22" s="2297"/>
      <c r="N22" s="2297"/>
      <c r="O22" s="2297"/>
      <c r="P22" s="3600"/>
      <c r="Q22" s="2747"/>
      <c r="R22" s="1351"/>
      <c r="S22" s="1352"/>
      <c r="T22" s="1351"/>
      <c r="U22" s="1352"/>
      <c r="V22" s="1351"/>
      <c r="W22" s="1352"/>
      <c r="X22" s="2749"/>
      <c r="Y22" s="3593"/>
      <c r="Z22" s="2748"/>
      <c r="AA22" s="1354">
        <v>1</v>
      </c>
      <c r="AB22" s="1354">
        <v>1</v>
      </c>
      <c r="AC22" s="2338">
        <v>1</v>
      </c>
    </row>
    <row r="23" spans="1:29" ht="81">
      <c r="A23" s="151"/>
      <c r="B23" s="1033" t="s">
        <v>143</v>
      </c>
      <c r="C23" s="210" t="str">
        <f>估价对象房地状况!C9</f>
        <v>区域自然环境：五棵松公园等；人文环境：国家开发大学五棵松校区；综合评价环境状况较好</v>
      </c>
      <c r="D23" s="793">
        <v>100</v>
      </c>
      <c r="E23" s="101"/>
      <c r="F23" s="793">
        <f>SUMIF(85:85,E24,86:86)-SUMIF(85:85,C24,86:86)+100</f>
        <v>100</v>
      </c>
      <c r="G23" s="100"/>
      <c r="H23" s="793">
        <f>SUMIF(85:85,G24,86:86)-SUMIF(85:85,C24,86:86)+100</f>
        <v>100</v>
      </c>
      <c r="I23" s="100"/>
      <c r="J23" s="793">
        <f>SUMIF(85:85,I24,86:86)-SUMIF(85:85,C24,86:86)+100</f>
        <v>100</v>
      </c>
      <c r="K23" s="956"/>
      <c r="L23" s="2302"/>
      <c r="M23" s="2297"/>
      <c r="N23" s="2297"/>
      <c r="O23" s="2297"/>
      <c r="P23" s="3600"/>
      <c r="Q23" s="2220" t="str">
        <f>B23</f>
        <v>环境质量</v>
      </c>
      <c r="R23" s="1351" t="s">
        <v>65</v>
      </c>
      <c r="S23" s="1352">
        <f>F23</f>
        <v>100</v>
      </c>
      <c r="T23" s="1351" t="s">
        <v>65</v>
      </c>
      <c r="U23" s="1352">
        <f>H23</f>
        <v>100</v>
      </c>
      <c r="V23" s="1351" t="s">
        <v>65</v>
      </c>
      <c r="W23" s="1352">
        <f>J23</f>
        <v>100</v>
      </c>
      <c r="X23" s="2222"/>
      <c r="Y23" s="3593"/>
      <c r="Z23" s="2221" t="str">
        <f>Q23</f>
        <v>环境质量</v>
      </c>
      <c r="AA23" s="1354">
        <f t="shared" si="3"/>
        <v>1</v>
      </c>
      <c r="AB23" s="1354">
        <f t="shared" si="4"/>
        <v>1</v>
      </c>
      <c r="AC23" s="2338">
        <f t="shared" si="5"/>
        <v>1</v>
      </c>
    </row>
    <row r="24" spans="1:29" ht="14.25">
      <c r="A24" s="151"/>
      <c r="B24" s="1035"/>
      <c r="C24" s="192"/>
      <c r="D24" s="791"/>
      <c r="E24" s="99"/>
      <c r="F24" s="791"/>
      <c r="G24" s="98"/>
      <c r="H24" s="791"/>
      <c r="I24" s="98"/>
      <c r="J24" s="791"/>
      <c r="K24" s="189"/>
      <c r="L24" s="2302"/>
      <c r="M24" s="2297"/>
      <c r="N24" s="2297"/>
      <c r="O24" s="2297"/>
      <c r="P24" s="3600"/>
      <c r="Q24" s="2220"/>
      <c r="R24" s="1351"/>
      <c r="S24" s="1352"/>
      <c r="T24" s="1351"/>
      <c r="U24" s="1352"/>
      <c r="V24" s="1351"/>
      <c r="W24" s="1352"/>
      <c r="X24" s="2222"/>
      <c r="Y24" s="3593"/>
      <c r="Z24" s="2221"/>
      <c r="AA24" s="1354">
        <v>1</v>
      </c>
      <c r="AB24" s="1354">
        <v>1</v>
      </c>
      <c r="AC24" s="2338">
        <v>1</v>
      </c>
    </row>
    <row r="25" spans="1:29" ht="27">
      <c r="A25" s="146"/>
      <c r="B25" s="1033" t="s">
        <v>144</v>
      </c>
      <c r="C25" s="194"/>
      <c r="D25" s="778">
        <v>100</v>
      </c>
      <c r="E25" s="93"/>
      <c r="F25" s="778">
        <f>SUMIF(87:87,E26,88:88)-SUMIF(87:87,C26,88:88)+100</f>
        <v>100</v>
      </c>
      <c r="G25" s="194"/>
      <c r="H25" s="778">
        <f>SUMIF(87:87,G26,88:88)-SUMIF(87:87,C26,88:88)+100</f>
        <v>100</v>
      </c>
      <c r="I25" s="93"/>
      <c r="J25" s="778">
        <f>SUMIF(87:87,I26,88:88)-SUMIF(87:87,C26,88:88)+100</f>
        <v>100</v>
      </c>
      <c r="K25" s="956"/>
      <c r="L25" s="2302"/>
      <c r="M25" s="2297"/>
      <c r="N25" s="2297"/>
      <c r="O25" s="2297"/>
      <c r="P25" s="3600"/>
      <c r="Q25" s="2220" t="str">
        <f>B25</f>
        <v>毗邻道路的类型与等级</v>
      </c>
      <c r="R25" s="1351" t="s">
        <v>65</v>
      </c>
      <c r="S25" s="1352">
        <f>F25</f>
        <v>100</v>
      </c>
      <c r="T25" s="1351" t="s">
        <v>65</v>
      </c>
      <c r="U25" s="1352">
        <f>H25</f>
        <v>100</v>
      </c>
      <c r="V25" s="1351" t="s">
        <v>65</v>
      </c>
      <c r="W25" s="1352">
        <f>J25</f>
        <v>100</v>
      </c>
      <c r="X25" s="2222"/>
      <c r="Y25" s="3593"/>
      <c r="Z25" s="2221" t="str">
        <f>Q25</f>
        <v>毗邻道路的类型与等级</v>
      </c>
      <c r="AA25" s="1354">
        <f t="shared" si="3"/>
        <v>1</v>
      </c>
      <c r="AB25" s="1354">
        <f t="shared" si="4"/>
        <v>1</v>
      </c>
      <c r="AC25" s="2338">
        <f t="shared" si="5"/>
        <v>1</v>
      </c>
    </row>
    <row r="26" spans="1:29" ht="14.25">
      <c r="A26" s="146"/>
      <c r="B26" s="1034"/>
      <c r="C26" s="195"/>
      <c r="D26" s="778"/>
      <c r="E26" s="182"/>
      <c r="F26" s="778"/>
      <c r="G26" s="195"/>
      <c r="H26" s="778"/>
      <c r="I26" s="182"/>
      <c r="J26" s="778"/>
      <c r="K26" s="189"/>
      <c r="L26" s="2302"/>
      <c r="M26" s="2297"/>
      <c r="N26" s="2297"/>
      <c r="O26" s="2297"/>
      <c r="P26" s="3600"/>
      <c r="Q26" s="2220"/>
      <c r="R26" s="1351"/>
      <c r="S26" s="1352"/>
      <c r="T26" s="1351"/>
      <c r="U26" s="1352"/>
      <c r="V26" s="1351"/>
      <c r="W26" s="1352"/>
      <c r="X26" s="2222"/>
      <c r="Y26" s="3593"/>
      <c r="Z26" s="2221"/>
      <c r="AA26" s="1354">
        <v>1</v>
      </c>
      <c r="AB26" s="1354">
        <v>1</v>
      </c>
      <c r="AC26" s="2338">
        <v>1</v>
      </c>
    </row>
    <row r="27" spans="1:29" ht="15">
      <c r="A27" s="151"/>
      <c r="B27" s="1034" t="s">
        <v>1089</v>
      </c>
      <c r="C27" s="195"/>
      <c r="D27" s="778">
        <v>100</v>
      </c>
      <c r="E27" s="182"/>
      <c r="F27" s="778">
        <f>SUMIF(89:89,E27,90:90)-SUMIF(89:89,C27,90:90)+100</f>
        <v>100</v>
      </c>
      <c r="G27" s="195"/>
      <c r="H27" s="778">
        <f>SUMIF(89:89,G27,90:90)-SUMIF(89:89,C27,90:90)+100</f>
        <v>100</v>
      </c>
      <c r="I27" s="182"/>
      <c r="J27" s="778">
        <f>SUMIF(89:89,I27,90:90)-SUMIF(89:89,C27,90:90)+100</f>
        <v>100</v>
      </c>
      <c r="K27" s="954"/>
      <c r="L27" s="2302"/>
      <c r="M27" s="2297"/>
      <c r="N27" s="2297"/>
      <c r="O27" s="2297"/>
      <c r="P27" s="3600"/>
      <c r="Q27" s="2220" t="str">
        <f t="shared" ref="Q27:Q47" si="11">B27</f>
        <v>楼层</v>
      </c>
      <c r="R27" s="1351" t="s">
        <v>65</v>
      </c>
      <c r="S27" s="1352">
        <f>F27</f>
        <v>100</v>
      </c>
      <c r="T27" s="1351" t="s">
        <v>65</v>
      </c>
      <c r="U27" s="1352">
        <f>H27</f>
        <v>100</v>
      </c>
      <c r="V27" s="1351" t="s">
        <v>65</v>
      </c>
      <c r="W27" s="1352">
        <f>J27</f>
        <v>100</v>
      </c>
      <c r="X27" s="2222"/>
      <c r="Y27" s="3593"/>
      <c r="Z27" s="2221" t="str">
        <f>Q27</f>
        <v>楼层</v>
      </c>
      <c r="AA27" s="1354">
        <f t="shared" si="3"/>
        <v>1</v>
      </c>
      <c r="AB27" s="1354">
        <f t="shared" si="4"/>
        <v>1</v>
      </c>
      <c r="AC27" s="2338">
        <f t="shared" si="5"/>
        <v>1</v>
      </c>
    </row>
    <row r="28" spans="1:29" s="40" customFormat="1" ht="15">
      <c r="A28" s="1029"/>
      <c r="B28" s="1033" t="s">
        <v>145</v>
      </c>
      <c r="C28" s="1404"/>
      <c r="D28" s="805">
        <v>100</v>
      </c>
      <c r="E28" s="1386"/>
      <c r="F28" s="805">
        <f>SUMIF(91:91,E28,92:92)-SUMIF(91:91,C28,92:92)+100</f>
        <v>100</v>
      </c>
      <c r="G28" s="1404"/>
      <c r="H28" s="805">
        <f>SUMIF(91:91,G28,92:92)-SUMIF(91:91,C28,92:92)+100</f>
        <v>100</v>
      </c>
      <c r="I28" s="1386"/>
      <c r="J28" s="805">
        <f>SUMIF(91:91,I28,92:92)-SUMIF(91:91,C28,92:92)+100</f>
        <v>100</v>
      </c>
      <c r="K28" s="954"/>
      <c r="L28" s="2298"/>
      <c r="M28" s="2260"/>
      <c r="N28" s="2260"/>
      <c r="O28" s="2260"/>
      <c r="P28" s="3600"/>
      <c r="Q28" s="2213" t="str">
        <f t="shared" si="11"/>
        <v>朝向</v>
      </c>
      <c r="R28" s="1341" t="s">
        <v>65</v>
      </c>
      <c r="S28" s="1342">
        <f>F28</f>
        <v>100</v>
      </c>
      <c r="T28" s="1341" t="s">
        <v>65</v>
      </c>
      <c r="U28" s="1342">
        <f>H28</f>
        <v>100</v>
      </c>
      <c r="V28" s="1341" t="s">
        <v>65</v>
      </c>
      <c r="W28" s="1342">
        <f>J28</f>
        <v>100</v>
      </c>
      <c r="X28" s="287"/>
      <c r="Y28" s="3593"/>
      <c r="Z28" s="2212" t="str">
        <f>Q28</f>
        <v>朝向</v>
      </c>
      <c r="AA28" s="1354">
        <f>D28/F28</f>
        <v>1</v>
      </c>
      <c r="AB28" s="1354">
        <f>D28/H28</f>
        <v>1</v>
      </c>
      <c r="AC28" s="2338">
        <f>D28/J28</f>
        <v>1</v>
      </c>
    </row>
    <row r="29" spans="1:29" ht="14.25">
      <c r="A29" s="151"/>
      <c r="B29" s="1037">
        <v>111</v>
      </c>
      <c r="C29" s="194"/>
      <c r="D29" s="778">
        <v>100</v>
      </c>
      <c r="E29" s="1023"/>
      <c r="F29" s="778">
        <f>SUMIF(93:93,E29,94:94)-SUMIF(93:93,C29,94:94)+100</f>
        <v>100</v>
      </c>
      <c r="G29" s="1402"/>
      <c r="H29" s="778">
        <f>SUMIF(93:93,G29,94:94)-SUMIF(93:93,C29,94:94)+100</f>
        <v>100</v>
      </c>
      <c r="I29" s="1023"/>
      <c r="J29" s="778">
        <f>SUMIF(93:93,I29,94:94)-SUMIF(93:93,C29,94:94)+100</f>
        <v>100</v>
      </c>
      <c r="K29" s="188"/>
      <c r="L29" s="2302"/>
      <c r="M29" s="2297"/>
      <c r="N29" s="2297"/>
      <c r="O29" s="2297"/>
      <c r="P29" s="3600"/>
      <c r="Q29" s="2220">
        <f t="shared" si="11"/>
        <v>111</v>
      </c>
      <c r="R29" s="1351" t="s">
        <v>65</v>
      </c>
      <c r="S29" s="1352">
        <f t="shared" ref="S29:S47" si="12">F29</f>
        <v>100</v>
      </c>
      <c r="T29" s="1351" t="s">
        <v>65</v>
      </c>
      <c r="U29" s="1352">
        <f t="shared" ref="U29:U47" si="13">H29</f>
        <v>100</v>
      </c>
      <c r="V29" s="1351" t="s">
        <v>65</v>
      </c>
      <c r="W29" s="1352">
        <f t="shared" ref="W29:W47" si="14">J29</f>
        <v>100</v>
      </c>
      <c r="X29" s="2222"/>
      <c r="Y29" s="3593"/>
      <c r="Z29" s="2221">
        <f t="shared" ref="Z29:Z47" si="15">Q29</f>
        <v>111</v>
      </c>
      <c r="AA29" s="1354">
        <f t="shared" si="3"/>
        <v>1</v>
      </c>
      <c r="AB29" s="1354">
        <f t="shared" si="4"/>
        <v>1</v>
      </c>
      <c r="AC29" s="2338">
        <f t="shared" si="5"/>
        <v>1</v>
      </c>
    </row>
    <row r="30" spans="1:29" ht="14.25">
      <c r="A30" s="151"/>
      <c r="B30" s="1037">
        <v>111</v>
      </c>
      <c r="C30" s="194"/>
      <c r="D30" s="778">
        <v>100</v>
      </c>
      <c r="E30" s="1023"/>
      <c r="F30" s="778">
        <f>SUMIF(95:95,E30,96:96)-SUMIF(95:95,C30,96:96)+100</f>
        <v>100</v>
      </c>
      <c r="G30" s="1402"/>
      <c r="H30" s="778">
        <f>SUMIF(95:95,G30,96:96)-SUMIF(95:95,C30,96:96)+100</f>
        <v>100</v>
      </c>
      <c r="I30" s="1023"/>
      <c r="J30" s="778">
        <f>SUMIF(95:95,I30,96:96)-SUMIF(95:95,C30,96:96)+100</f>
        <v>100</v>
      </c>
      <c r="K30" s="188"/>
      <c r="L30" s="2302"/>
      <c r="M30" s="2297"/>
      <c r="N30" s="2297"/>
      <c r="O30" s="2297"/>
      <c r="P30" s="3600"/>
      <c r="Q30" s="2220">
        <f t="shared" si="11"/>
        <v>111</v>
      </c>
      <c r="R30" s="1351" t="s">
        <v>65</v>
      </c>
      <c r="S30" s="1352">
        <f t="shared" si="12"/>
        <v>100</v>
      </c>
      <c r="T30" s="1351" t="s">
        <v>65</v>
      </c>
      <c r="U30" s="1352">
        <f t="shared" si="13"/>
        <v>100</v>
      </c>
      <c r="V30" s="1351" t="s">
        <v>65</v>
      </c>
      <c r="W30" s="1352">
        <f t="shared" si="14"/>
        <v>100</v>
      </c>
      <c r="X30" s="2222"/>
      <c r="Y30" s="3593"/>
      <c r="Z30" s="2221">
        <f t="shared" si="15"/>
        <v>111</v>
      </c>
      <c r="AA30" s="1354">
        <f t="shared" si="3"/>
        <v>1</v>
      </c>
      <c r="AB30" s="1354">
        <f t="shared" si="4"/>
        <v>1</v>
      </c>
      <c r="AC30" s="2338">
        <f t="shared" si="5"/>
        <v>1</v>
      </c>
    </row>
    <row r="31" spans="1:29" ht="14.25">
      <c r="A31" s="151"/>
      <c r="B31" s="1037">
        <v>111</v>
      </c>
      <c r="C31" s="194"/>
      <c r="D31" s="778">
        <v>100</v>
      </c>
      <c r="E31" s="1023"/>
      <c r="F31" s="778">
        <f>SUMIF(97:97,E31,98:98)-SUMIF(97:97,C31,98:98)+100</f>
        <v>100</v>
      </c>
      <c r="G31" s="1402"/>
      <c r="H31" s="778">
        <f>SUMIF(97:97,G31,98:98)-SUMIF(97:97,C31,98:98)+100</f>
        <v>100</v>
      </c>
      <c r="I31" s="1023"/>
      <c r="J31" s="778">
        <f>SUMIF(97:97,I31,98:98)-SUMIF(97:97,C31,98:98)+100</f>
        <v>100</v>
      </c>
      <c r="K31" s="188"/>
      <c r="L31" s="2302"/>
      <c r="M31" s="2297"/>
      <c r="N31" s="2297"/>
      <c r="O31" s="2297"/>
      <c r="P31" s="3600"/>
      <c r="Q31" s="2220">
        <f t="shared" si="11"/>
        <v>111</v>
      </c>
      <c r="R31" s="1351" t="s">
        <v>65</v>
      </c>
      <c r="S31" s="1352">
        <f t="shared" si="12"/>
        <v>100</v>
      </c>
      <c r="T31" s="1351" t="s">
        <v>65</v>
      </c>
      <c r="U31" s="1352">
        <f t="shared" si="13"/>
        <v>100</v>
      </c>
      <c r="V31" s="1351" t="s">
        <v>65</v>
      </c>
      <c r="W31" s="1352">
        <f t="shared" si="14"/>
        <v>100</v>
      </c>
      <c r="X31" s="2222"/>
      <c r="Y31" s="3593"/>
      <c r="Z31" s="2221">
        <f t="shared" si="15"/>
        <v>111</v>
      </c>
      <c r="AA31" s="1354">
        <f t="shared" si="3"/>
        <v>1</v>
      </c>
      <c r="AB31" s="1354">
        <f t="shared" si="4"/>
        <v>1</v>
      </c>
      <c r="AC31" s="2338">
        <f t="shared" si="5"/>
        <v>1</v>
      </c>
    </row>
    <row r="32" spans="1:29" ht="15" thickBot="1">
      <c r="A32" s="154"/>
      <c r="B32" s="1405">
        <v>111</v>
      </c>
      <c r="C32" s="196"/>
      <c r="D32" s="781">
        <v>100</v>
      </c>
      <c r="E32" s="1403"/>
      <c r="F32" s="781">
        <f>SUMIF(99:99,E32,100:100)-SUMIF(99:99,C32,100:100)+100</f>
        <v>100</v>
      </c>
      <c r="G32" s="1402"/>
      <c r="H32" s="781">
        <f>SUMIF(99:99,G32,100:100)-SUMIF(99:99,C32,100:100)+100</f>
        <v>100</v>
      </c>
      <c r="I32" s="1023"/>
      <c r="J32" s="781">
        <f>SUMIF(99:99,I32,100:100)-SUMIF(99:99,C32,100:100)+100</f>
        <v>100</v>
      </c>
      <c r="K32" s="188"/>
      <c r="L32" s="2302"/>
      <c r="M32" s="2297"/>
      <c r="N32" s="2297"/>
      <c r="O32" s="2297"/>
      <c r="P32" s="3600"/>
      <c r="Q32" s="2220">
        <f t="shared" si="11"/>
        <v>111</v>
      </c>
      <c r="R32" s="1351" t="s">
        <v>65</v>
      </c>
      <c r="S32" s="1352">
        <f t="shared" si="12"/>
        <v>100</v>
      </c>
      <c r="T32" s="1351" t="s">
        <v>65</v>
      </c>
      <c r="U32" s="1352">
        <f t="shared" si="13"/>
        <v>100</v>
      </c>
      <c r="V32" s="1351" t="s">
        <v>65</v>
      </c>
      <c r="W32" s="1352">
        <f t="shared" si="14"/>
        <v>100</v>
      </c>
      <c r="X32" s="2222"/>
      <c r="Y32" s="3593"/>
      <c r="Z32" s="2221">
        <f t="shared" si="15"/>
        <v>111</v>
      </c>
      <c r="AA32" s="1354">
        <f t="shared" si="3"/>
        <v>1</v>
      </c>
      <c r="AB32" s="1354">
        <f t="shared" si="4"/>
        <v>1</v>
      </c>
      <c r="AC32" s="2338">
        <f t="shared" si="5"/>
        <v>1</v>
      </c>
    </row>
    <row r="33" spans="1:29" ht="15">
      <c r="A33" s="155" t="s">
        <v>1090</v>
      </c>
      <c r="B33" s="62" t="s">
        <v>1091</v>
      </c>
      <c r="C33" s="197"/>
      <c r="D33" s="809">
        <v>100</v>
      </c>
      <c r="E33" s="197"/>
      <c r="F33" s="804">
        <f>SUMIF(101:101,E33,102:102)-SUMIF(101:101,C33,102:102)+100</f>
        <v>100</v>
      </c>
      <c r="G33" s="197"/>
      <c r="H33" s="778">
        <f>SUMIF(101:101,G33,102:102)-SUMIF(101:101,C33,102:102)+100</f>
        <v>100</v>
      </c>
      <c r="I33" s="197"/>
      <c r="J33" s="809">
        <f>SUMIF(101:101,I33,102:102)-SUMIF(101:101,C33,102:102)+100</f>
        <v>100</v>
      </c>
      <c r="K33" s="954"/>
      <c r="L33" s="2302"/>
      <c r="M33" s="2297"/>
      <c r="N33" s="2297"/>
      <c r="O33" s="2297"/>
      <c r="P33" s="3594" t="s">
        <v>1092</v>
      </c>
      <c r="Q33" s="2220" t="str">
        <f t="shared" si="11"/>
        <v>建筑类型</v>
      </c>
      <c r="R33" s="1351" t="s">
        <v>65</v>
      </c>
      <c r="S33" s="1352">
        <f t="shared" si="12"/>
        <v>100</v>
      </c>
      <c r="T33" s="1351" t="s">
        <v>65</v>
      </c>
      <c r="U33" s="1352">
        <f t="shared" si="13"/>
        <v>100</v>
      </c>
      <c r="V33" s="1351" t="s">
        <v>65</v>
      </c>
      <c r="W33" s="1352">
        <f t="shared" si="14"/>
        <v>100</v>
      </c>
      <c r="X33" s="2222"/>
      <c r="Y33" s="3597" t="s">
        <v>1092</v>
      </c>
      <c r="Z33" s="2221" t="str">
        <f t="shared" si="15"/>
        <v>建筑类型</v>
      </c>
      <c r="AA33" s="1354">
        <f t="shared" si="3"/>
        <v>1</v>
      </c>
      <c r="AB33" s="1354">
        <f t="shared" si="4"/>
        <v>1</v>
      </c>
      <c r="AC33" s="2338">
        <f t="shared" si="5"/>
        <v>1</v>
      </c>
    </row>
    <row r="34" spans="1:29" s="1038" customFormat="1" ht="14.25">
      <c r="A34" s="1042"/>
      <c r="B34" s="12" t="s">
        <v>76</v>
      </c>
      <c r="C34" s="811"/>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595"/>
      <c r="Q34" s="1358" t="str">
        <f t="shared" si="11"/>
        <v>项目建筑规模</v>
      </c>
      <c r="R34" s="1359" t="s">
        <v>65</v>
      </c>
      <c r="S34" s="1360" t="e">
        <f t="shared" si="12"/>
        <v>#N/A</v>
      </c>
      <c r="T34" s="1359" t="s">
        <v>65</v>
      </c>
      <c r="U34" s="1360" t="e">
        <f t="shared" si="13"/>
        <v>#N/A</v>
      </c>
      <c r="V34" s="1359" t="s">
        <v>65</v>
      </c>
      <c r="W34" s="1360" t="e">
        <f t="shared" si="14"/>
        <v>#N/A</v>
      </c>
      <c r="X34" s="1361"/>
      <c r="Y34" s="3597"/>
      <c r="Z34" s="1362" t="str">
        <f t="shared" si="15"/>
        <v>项目建筑规模</v>
      </c>
      <c r="AA34" s="1354" t="e">
        <f t="shared" si="3"/>
        <v>#N/A</v>
      </c>
      <c r="AB34" s="1354"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4"/>
      <c r="L35" s="2302"/>
      <c r="M35" s="2297"/>
      <c r="N35" s="2297"/>
      <c r="O35" s="2297"/>
      <c r="P35" s="3595"/>
      <c r="Q35" s="2220" t="str">
        <f t="shared" si="11"/>
        <v>建筑结构</v>
      </c>
      <c r="R35" s="1351" t="s">
        <v>65</v>
      </c>
      <c r="S35" s="1352">
        <f t="shared" si="12"/>
        <v>100</v>
      </c>
      <c r="T35" s="1351" t="s">
        <v>65</v>
      </c>
      <c r="U35" s="1352">
        <f t="shared" si="13"/>
        <v>100</v>
      </c>
      <c r="V35" s="1351" t="s">
        <v>65</v>
      </c>
      <c r="W35" s="1352">
        <f t="shared" si="14"/>
        <v>100</v>
      </c>
      <c r="X35" s="2222"/>
      <c r="Y35" s="3597"/>
      <c r="Z35" s="2221" t="str">
        <f t="shared" si="15"/>
        <v>建筑结构</v>
      </c>
      <c r="AA35" s="1354">
        <f t="shared" si="3"/>
        <v>1</v>
      </c>
      <c r="AB35" s="1354">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4"/>
      <c r="L36" s="2302"/>
      <c r="M36" s="2297"/>
      <c r="N36" s="2297"/>
      <c r="O36" s="2297"/>
      <c r="P36" s="3595"/>
      <c r="Q36" s="2220" t="str">
        <f t="shared" si="11"/>
        <v>公共部分装修</v>
      </c>
      <c r="R36" s="1351" t="s">
        <v>65</v>
      </c>
      <c r="S36" s="1352">
        <f t="shared" si="12"/>
        <v>100</v>
      </c>
      <c r="T36" s="1351" t="s">
        <v>65</v>
      </c>
      <c r="U36" s="1352">
        <f t="shared" si="13"/>
        <v>100</v>
      </c>
      <c r="V36" s="1351" t="s">
        <v>65</v>
      </c>
      <c r="W36" s="1352">
        <f t="shared" si="14"/>
        <v>100</v>
      </c>
      <c r="X36" s="2222"/>
      <c r="Y36" s="3597"/>
      <c r="Z36" s="2221" t="str">
        <f t="shared" si="15"/>
        <v>公共部分装修</v>
      </c>
      <c r="AA36" s="1354">
        <f t="shared" si="3"/>
        <v>1</v>
      </c>
      <c r="AB36" s="1354">
        <f t="shared" si="4"/>
        <v>1</v>
      </c>
      <c r="AC36" s="2338">
        <f t="shared" si="5"/>
        <v>1</v>
      </c>
    </row>
    <row r="37" spans="1:29" ht="15">
      <c r="A37" s="161"/>
      <c r="B37" s="12" t="s">
        <v>134</v>
      </c>
      <c r="C37" s="816"/>
      <c r="D37" s="778">
        <v>100</v>
      </c>
      <c r="E37" s="816"/>
      <c r="F37" s="804" t="e">
        <f>LOOKUP(E37,111:111,112:112)-LOOKUP(C37,111:111,112:112)+100</f>
        <v>#N/A</v>
      </c>
      <c r="G37" s="816"/>
      <c r="H37" s="804" t="e">
        <f>LOOKUP(G37,111:111,112:112)-LOOKUP(C37,111:111,112:112)+100</f>
        <v>#N/A</v>
      </c>
      <c r="I37" s="816"/>
      <c r="J37" s="778" t="e">
        <f>LOOKUP(I37,111:111,112:112)-LOOKUP(C37,111:111,112:112)+100</f>
        <v>#N/A</v>
      </c>
      <c r="K37" s="954"/>
      <c r="L37" s="2302"/>
      <c r="M37" s="2297"/>
      <c r="N37" s="2297"/>
      <c r="O37" s="2297"/>
      <c r="P37" s="3595"/>
      <c r="Q37" s="2220" t="str">
        <f t="shared" si="11"/>
        <v>成新度</v>
      </c>
      <c r="R37" s="1351" t="s">
        <v>65</v>
      </c>
      <c r="S37" s="1352" t="e">
        <f t="shared" si="12"/>
        <v>#N/A</v>
      </c>
      <c r="T37" s="1351" t="s">
        <v>65</v>
      </c>
      <c r="U37" s="1352" t="e">
        <f t="shared" si="13"/>
        <v>#N/A</v>
      </c>
      <c r="V37" s="1351" t="s">
        <v>65</v>
      </c>
      <c r="W37" s="1352" t="e">
        <f t="shared" si="14"/>
        <v>#N/A</v>
      </c>
      <c r="X37" s="2222"/>
      <c r="Y37" s="3597"/>
      <c r="Z37" s="2221" t="str">
        <f t="shared" si="15"/>
        <v>成新度</v>
      </c>
      <c r="AA37" s="1354" t="e">
        <f t="shared" si="3"/>
        <v>#N/A</v>
      </c>
      <c r="AB37" s="1354" t="e">
        <f t="shared" si="4"/>
        <v>#N/A</v>
      </c>
      <c r="AC37" s="2338" t="e">
        <f t="shared" si="5"/>
        <v>#N/A</v>
      </c>
    </row>
    <row r="38" spans="1:29" s="40" customFormat="1" ht="15">
      <c r="A38" s="1040"/>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4"/>
      <c r="L38" s="2298"/>
      <c r="M38" s="2260"/>
      <c r="N38" s="2260"/>
      <c r="O38" s="2260"/>
      <c r="P38" s="3595"/>
      <c r="Q38" s="2213" t="str">
        <f t="shared" si="11"/>
        <v>写字楼等级</v>
      </c>
      <c r="R38" s="1341" t="s">
        <v>65</v>
      </c>
      <c r="S38" s="1342">
        <f t="shared" si="12"/>
        <v>100</v>
      </c>
      <c r="T38" s="1341" t="s">
        <v>65</v>
      </c>
      <c r="U38" s="1342">
        <f t="shared" si="13"/>
        <v>100</v>
      </c>
      <c r="V38" s="1341" t="s">
        <v>65</v>
      </c>
      <c r="W38" s="1342">
        <f t="shared" si="14"/>
        <v>100</v>
      </c>
      <c r="X38" s="287"/>
      <c r="Y38" s="3597"/>
      <c r="Z38" s="2212" t="str">
        <f t="shared" si="15"/>
        <v>写字楼等级</v>
      </c>
      <c r="AA38" s="1343">
        <f t="shared" si="3"/>
        <v>1</v>
      </c>
      <c r="AB38" s="1343">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4"/>
      <c r="L39" s="2302"/>
      <c r="M39" s="2297"/>
      <c r="N39" s="2297"/>
      <c r="O39" s="2297"/>
      <c r="P39" s="3595" t="s">
        <v>70</v>
      </c>
      <c r="Q39" s="2220" t="str">
        <f t="shared" si="11"/>
        <v>物业管理</v>
      </c>
      <c r="R39" s="1351" t="s">
        <v>65</v>
      </c>
      <c r="S39" s="1352">
        <f t="shared" si="12"/>
        <v>100</v>
      </c>
      <c r="T39" s="1351" t="s">
        <v>65</v>
      </c>
      <c r="U39" s="1352">
        <f t="shared" si="13"/>
        <v>100</v>
      </c>
      <c r="V39" s="1351" t="s">
        <v>65</v>
      </c>
      <c r="W39" s="1352">
        <f t="shared" si="14"/>
        <v>100</v>
      </c>
      <c r="X39" s="2222"/>
      <c r="Y39" s="3597" t="s">
        <v>70</v>
      </c>
      <c r="Z39" s="2221" t="str">
        <f t="shared" si="15"/>
        <v>物业管理</v>
      </c>
      <c r="AA39" s="1354">
        <f t="shared" si="3"/>
        <v>1</v>
      </c>
      <c r="AB39" s="1354">
        <f t="shared" si="4"/>
        <v>1</v>
      </c>
      <c r="AC39" s="2338">
        <f t="shared" si="5"/>
        <v>1</v>
      </c>
    </row>
    <row r="40" spans="1:29" ht="15">
      <c r="A40" s="161"/>
      <c r="B40" s="12" t="s">
        <v>2657</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4"/>
      <c r="L40" s="2302"/>
      <c r="M40" s="2297"/>
      <c r="N40" s="2297"/>
      <c r="O40" s="2297"/>
      <c r="P40" s="3595"/>
      <c r="Q40" s="2220" t="str">
        <f t="shared" si="11"/>
        <v>市政基础设施</v>
      </c>
      <c r="R40" s="1351" t="s">
        <v>65</v>
      </c>
      <c r="S40" s="1352">
        <f t="shared" si="12"/>
        <v>100</v>
      </c>
      <c r="T40" s="1351" t="s">
        <v>65</v>
      </c>
      <c r="U40" s="1352">
        <f t="shared" si="13"/>
        <v>100</v>
      </c>
      <c r="V40" s="1351" t="s">
        <v>65</v>
      </c>
      <c r="W40" s="1352">
        <f t="shared" si="14"/>
        <v>100</v>
      </c>
      <c r="X40" s="2222"/>
      <c r="Y40" s="3597"/>
      <c r="Z40" s="2221" t="str">
        <f t="shared" si="15"/>
        <v>市政基础设施</v>
      </c>
      <c r="AA40" s="1354">
        <f t="shared" si="3"/>
        <v>1</v>
      </c>
      <c r="AB40" s="1354">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4"/>
      <c r="L41" s="2302"/>
      <c r="M41" s="2297"/>
      <c r="N41" s="2297"/>
      <c r="O41" s="2297"/>
      <c r="P41" s="3595"/>
      <c r="Q41" s="2220" t="str">
        <f t="shared" si="11"/>
        <v>层高</v>
      </c>
      <c r="R41" s="1351" t="s">
        <v>65</v>
      </c>
      <c r="S41" s="1352">
        <f t="shared" si="12"/>
        <v>100</v>
      </c>
      <c r="T41" s="1351" t="s">
        <v>65</v>
      </c>
      <c r="U41" s="1352">
        <f t="shared" si="13"/>
        <v>100</v>
      </c>
      <c r="V41" s="1351" t="s">
        <v>65</v>
      </c>
      <c r="W41" s="1352">
        <f t="shared" si="14"/>
        <v>100</v>
      </c>
      <c r="X41" s="2222"/>
      <c r="Y41" s="3597"/>
      <c r="Z41" s="2221" t="str">
        <f t="shared" si="15"/>
        <v>层高</v>
      </c>
      <c r="AA41" s="1354">
        <f t="shared" si="3"/>
        <v>1</v>
      </c>
      <c r="AB41" s="1354">
        <f t="shared" si="4"/>
        <v>1</v>
      </c>
      <c r="AC41" s="2338">
        <f t="shared" si="5"/>
        <v>1</v>
      </c>
    </row>
    <row r="42" spans="1:29" s="1038" customFormat="1" ht="14.25">
      <c r="A42" s="1042"/>
      <c r="B42" s="191" t="s">
        <v>1093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595"/>
      <c r="Q42" s="1358" t="str">
        <f t="shared" si="11"/>
        <v>单套建筑面积</v>
      </c>
      <c r="R42" s="1359" t="s">
        <v>65</v>
      </c>
      <c r="S42" s="1360">
        <f t="shared" si="12"/>
        <v>100</v>
      </c>
      <c r="T42" s="1359" t="s">
        <v>65</v>
      </c>
      <c r="U42" s="1360">
        <f t="shared" si="13"/>
        <v>100</v>
      </c>
      <c r="V42" s="1359" t="s">
        <v>65</v>
      </c>
      <c r="W42" s="1360">
        <f t="shared" si="14"/>
        <v>100</v>
      </c>
      <c r="X42" s="1361"/>
      <c r="Y42" s="3597"/>
      <c r="Z42" s="1362" t="str">
        <f t="shared" si="15"/>
        <v>单套建筑面积</v>
      </c>
      <c r="AA42" s="1354">
        <f t="shared" si="3"/>
        <v>1</v>
      </c>
      <c r="AB42" s="1354">
        <f t="shared" si="4"/>
        <v>1</v>
      </c>
      <c r="AC42" s="2338">
        <f t="shared" si="5"/>
        <v>1</v>
      </c>
    </row>
    <row r="43" spans="1:29" ht="15">
      <c r="A43" s="161"/>
      <c r="B43" s="12" t="s">
        <v>1094</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4"/>
      <c r="L43" s="2302"/>
      <c r="M43" s="2297"/>
      <c r="N43" s="2297"/>
      <c r="O43" s="2297"/>
      <c r="P43" s="3595"/>
      <c r="Q43" s="2220" t="str">
        <f t="shared" si="11"/>
        <v>内部装修</v>
      </c>
      <c r="R43" s="1351" t="s">
        <v>65</v>
      </c>
      <c r="S43" s="1352">
        <f t="shared" si="12"/>
        <v>100</v>
      </c>
      <c r="T43" s="1351" t="s">
        <v>65</v>
      </c>
      <c r="U43" s="1352">
        <f t="shared" si="13"/>
        <v>100</v>
      </c>
      <c r="V43" s="1351" t="s">
        <v>65</v>
      </c>
      <c r="W43" s="1352">
        <f t="shared" si="14"/>
        <v>100</v>
      </c>
      <c r="X43" s="2222"/>
      <c r="Y43" s="3597"/>
      <c r="Z43" s="2221" t="str">
        <f t="shared" si="15"/>
        <v>内部装修</v>
      </c>
      <c r="AA43" s="1354">
        <f t="shared" si="3"/>
        <v>1</v>
      </c>
      <c r="AB43" s="1354">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4"/>
      <c r="L44" s="2302"/>
      <c r="M44" s="2297"/>
      <c r="N44" s="2297"/>
      <c r="O44" s="2297"/>
      <c r="P44" s="3595"/>
      <c r="Q44" s="2220" t="str">
        <f t="shared" si="11"/>
        <v>内部装修维护情况</v>
      </c>
      <c r="R44" s="1351" t="s">
        <v>65</v>
      </c>
      <c r="S44" s="1352">
        <f t="shared" si="12"/>
        <v>100</v>
      </c>
      <c r="T44" s="1351" t="s">
        <v>65</v>
      </c>
      <c r="U44" s="1352">
        <f t="shared" si="13"/>
        <v>100</v>
      </c>
      <c r="V44" s="1351" t="s">
        <v>65</v>
      </c>
      <c r="W44" s="1352">
        <f t="shared" si="14"/>
        <v>100</v>
      </c>
      <c r="X44" s="2222"/>
      <c r="Y44" s="3597"/>
      <c r="Z44" s="2221" t="str">
        <f t="shared" si="15"/>
        <v>内部装修维护情况</v>
      </c>
      <c r="AA44" s="1354">
        <f t="shared" si="3"/>
        <v>1</v>
      </c>
      <c r="AB44" s="1354">
        <f t="shared" si="4"/>
        <v>1</v>
      </c>
      <c r="AC44" s="2338">
        <f t="shared" si="5"/>
        <v>1</v>
      </c>
    </row>
    <row r="45" spans="1:29" s="40" customFormat="1" ht="14.25">
      <c r="A45" s="1040"/>
      <c r="B45" s="1356">
        <v>111</v>
      </c>
      <c r="C45" s="1357"/>
      <c r="D45" s="426">
        <v>100</v>
      </c>
      <c r="E45" s="1023"/>
      <c r="F45" s="768">
        <f>SUMIF(127:127,E45,128:128)-SUMIF(127:127,C45,128:128)+100</f>
        <v>100</v>
      </c>
      <c r="G45" s="1023"/>
      <c r="H45" s="426">
        <f>SUMIF(127:127,G45,128:128)-SUMIF(127:127,C45,128:128)+100</f>
        <v>100</v>
      </c>
      <c r="I45" s="1023"/>
      <c r="J45" s="426">
        <f>SUMIF(127:127,I45,128:128)-SUMIF(127:127,C45,128:128)+100</f>
        <v>100</v>
      </c>
      <c r="K45" s="188"/>
      <c r="L45" s="2298"/>
      <c r="M45" s="2260"/>
      <c r="N45" s="2260"/>
      <c r="O45" s="2260"/>
      <c r="P45" s="3595"/>
      <c r="Q45" s="2213">
        <f t="shared" si="11"/>
        <v>111</v>
      </c>
      <c r="R45" s="1341" t="s">
        <v>65</v>
      </c>
      <c r="S45" s="1342">
        <f t="shared" si="12"/>
        <v>100</v>
      </c>
      <c r="T45" s="1341" t="s">
        <v>65</v>
      </c>
      <c r="U45" s="1342">
        <f t="shared" si="13"/>
        <v>100</v>
      </c>
      <c r="V45" s="1341" t="s">
        <v>65</v>
      </c>
      <c r="W45" s="1342">
        <f t="shared" si="14"/>
        <v>100</v>
      </c>
      <c r="X45" s="287"/>
      <c r="Y45" s="3597"/>
      <c r="Z45" s="2212">
        <f t="shared" si="15"/>
        <v>111</v>
      </c>
      <c r="AA45" s="1343">
        <f t="shared" si="3"/>
        <v>1</v>
      </c>
      <c r="AB45" s="1343">
        <f t="shared" si="4"/>
        <v>1</v>
      </c>
      <c r="AC45" s="2337">
        <f t="shared" si="5"/>
        <v>1</v>
      </c>
    </row>
    <row r="46" spans="1:29" ht="14.25">
      <c r="A46" s="161"/>
      <c r="B46" s="1356">
        <v>111</v>
      </c>
      <c r="C46" s="93"/>
      <c r="D46" s="778">
        <v>100</v>
      </c>
      <c r="E46" s="1023"/>
      <c r="F46" s="804">
        <f>SUMIF(129:129,E46,130:130)-SUMIF(129:129,C46,130:130)+100</f>
        <v>100</v>
      </c>
      <c r="G46" s="1023"/>
      <c r="H46" s="778">
        <f>SUMIF(129:129,G46,130:130)-SUMIF(129:129,C46,130:130)+100</f>
        <v>100</v>
      </c>
      <c r="I46" s="1023"/>
      <c r="J46" s="778">
        <f>SUMIF(129:129,I46,130:130)-SUMIF(129:129,C46,130:130)+100</f>
        <v>100</v>
      </c>
      <c r="K46" s="188"/>
      <c r="L46" s="2302"/>
      <c r="M46" s="2297"/>
      <c r="N46" s="2297"/>
      <c r="O46" s="2297"/>
      <c r="P46" s="3595"/>
      <c r="Q46" s="2220">
        <f t="shared" si="11"/>
        <v>111</v>
      </c>
      <c r="R46" s="1351" t="s">
        <v>65</v>
      </c>
      <c r="S46" s="1352">
        <f t="shared" si="12"/>
        <v>100</v>
      </c>
      <c r="T46" s="1351" t="s">
        <v>65</v>
      </c>
      <c r="U46" s="1352">
        <f t="shared" si="13"/>
        <v>100</v>
      </c>
      <c r="V46" s="1351" t="s">
        <v>65</v>
      </c>
      <c r="W46" s="1352">
        <f t="shared" si="14"/>
        <v>100</v>
      </c>
      <c r="X46" s="2222"/>
      <c r="Y46" s="3597"/>
      <c r="Z46" s="2221">
        <f t="shared" si="15"/>
        <v>111</v>
      </c>
      <c r="AA46" s="1354">
        <f t="shared" si="3"/>
        <v>1</v>
      </c>
      <c r="AB46" s="1354">
        <f t="shared" si="4"/>
        <v>1</v>
      </c>
      <c r="AC46" s="2338">
        <f t="shared" si="5"/>
        <v>1</v>
      </c>
    </row>
    <row r="47" spans="1:29" ht="15" thickBot="1">
      <c r="A47" s="162"/>
      <c r="B47" s="1031">
        <v>111</v>
      </c>
      <c r="C47" s="94"/>
      <c r="D47" s="781">
        <v>100</v>
      </c>
      <c r="E47" s="1023"/>
      <c r="F47" s="782">
        <f>SUMIF(131:131,E47,132:132)-SUMIF(131:131,C47,132:132)+100</f>
        <v>100</v>
      </c>
      <c r="G47" s="1023"/>
      <c r="H47" s="781">
        <f>SUMIF(131:131,G47,132:132)-SUMIF(131:131,C47,132:132)+100</f>
        <v>100</v>
      </c>
      <c r="I47" s="1023"/>
      <c r="J47" s="781">
        <f>SUMIF(131:131,I47,132:132)-SUMIF(131:131,C47,132:132)+100</f>
        <v>100</v>
      </c>
      <c r="K47" s="188"/>
      <c r="L47" s="2302"/>
      <c r="M47" s="2297"/>
      <c r="N47" s="2297"/>
      <c r="O47" s="2297"/>
      <c r="P47" s="3596"/>
      <c r="Q47" s="2220">
        <f t="shared" si="11"/>
        <v>111</v>
      </c>
      <c r="R47" s="1351" t="s">
        <v>65</v>
      </c>
      <c r="S47" s="1352">
        <f t="shared" si="12"/>
        <v>100</v>
      </c>
      <c r="T47" s="1351" t="s">
        <v>65</v>
      </c>
      <c r="U47" s="1352">
        <f t="shared" si="13"/>
        <v>100</v>
      </c>
      <c r="V47" s="1351" t="s">
        <v>65</v>
      </c>
      <c r="W47" s="1352">
        <f t="shared" si="14"/>
        <v>100</v>
      </c>
      <c r="X47" s="2222"/>
      <c r="Y47" s="3598"/>
      <c r="Z47" s="2221">
        <f t="shared" si="15"/>
        <v>111</v>
      </c>
      <c r="AA47" s="1354">
        <f t="shared" si="3"/>
        <v>1</v>
      </c>
      <c r="AB47" s="1354">
        <f t="shared" si="4"/>
        <v>1</v>
      </c>
      <c r="AC47" s="2338">
        <f t="shared" si="5"/>
        <v>1</v>
      </c>
    </row>
    <row r="48" spans="1:29" ht="15">
      <c r="A48" s="163" t="s">
        <v>1035</v>
      </c>
      <c r="B48" s="164"/>
      <c r="C48" s="2837" t="s">
        <v>23</v>
      </c>
      <c r="D48" s="2838"/>
      <c r="E48" s="2839"/>
      <c r="F48" s="2840"/>
      <c r="G48" s="2841"/>
      <c r="H48" s="2842"/>
      <c r="I48" s="2839"/>
      <c r="J48" s="827"/>
      <c r="K48" s="1392"/>
      <c r="L48" s="2304"/>
      <c r="M48" s="2297"/>
      <c r="N48" s="2297"/>
      <c r="O48" s="2297"/>
      <c r="P48" s="3572" t="str">
        <f>A48</f>
        <v>成交单价（元/平方米）</v>
      </c>
      <c r="Q48" s="3590"/>
      <c r="R48" s="3591">
        <f>E48</f>
        <v>0</v>
      </c>
      <c r="S48" s="3591"/>
      <c r="T48" s="3591">
        <f>G48</f>
        <v>0</v>
      </c>
      <c r="U48" s="3591"/>
      <c r="V48" s="3591">
        <f>I48</f>
        <v>0</v>
      </c>
      <c r="W48" s="3591"/>
      <c r="X48" s="156"/>
      <c r="Y48" s="1365"/>
      <c r="Z48" s="156"/>
      <c r="AA48" s="156"/>
      <c r="AB48" s="156"/>
      <c r="AC48" s="209"/>
    </row>
    <row r="49" spans="1:29" ht="15.75" thickBot="1">
      <c r="A49" s="165" t="s">
        <v>1036</v>
      </c>
      <c r="B49" s="166"/>
      <c r="C49" s="2843" t="e">
        <f>R50</f>
        <v>#DIV/0!</v>
      </c>
      <c r="D49" s="2844"/>
      <c r="E49" s="2845" t="e">
        <f>R49</f>
        <v>#DIV/0!</v>
      </c>
      <c r="F49" s="2845"/>
      <c r="G49" s="2843" t="e">
        <f>T49</f>
        <v>#DIV/0!</v>
      </c>
      <c r="H49" s="2844"/>
      <c r="I49" s="2845" t="e">
        <f>V49</f>
        <v>#DIV/0!</v>
      </c>
      <c r="J49" s="831"/>
      <c r="K49" s="1393"/>
      <c r="L49" s="2304"/>
      <c r="M49" s="2297"/>
      <c r="N49" s="2297"/>
      <c r="O49" s="2297"/>
      <c r="P49" s="3572"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56"/>
      <c r="Y49" s="156"/>
      <c r="Z49" s="156"/>
      <c r="AA49" s="156"/>
      <c r="AB49" s="156"/>
      <c r="AC49" s="209"/>
    </row>
    <row r="50" spans="1:29" ht="15.75" thickBot="1">
      <c r="A50" s="115" t="s">
        <v>3022</v>
      </c>
      <c r="B50" s="116"/>
      <c r="C50" s="2847" t="e">
        <f>R50</f>
        <v>#DIV/0!</v>
      </c>
      <c r="D50" s="2847"/>
      <c r="E50" s="2847"/>
      <c r="F50" s="2847"/>
      <c r="G50" s="2847"/>
      <c r="H50" s="2847"/>
      <c r="I50" s="2847"/>
      <c r="J50" s="836"/>
      <c r="K50" s="1394"/>
      <c r="L50" s="2304"/>
      <c r="M50" s="2297"/>
      <c r="N50" s="2297"/>
      <c r="O50" s="2297"/>
      <c r="P50" s="3613" t="str">
        <f>A50</f>
        <v>估价对象XX用房的比较价值（楼面单价，元/平方米）</v>
      </c>
      <c r="Q50" s="3614"/>
      <c r="R50" s="3615" t="e">
        <f>IF(F1="售价",ROUND(AVERAGE(R49:V49),0),ROUND(AVERAGE(R49:V49),1))</f>
        <v>#DIV/0!</v>
      </c>
      <c r="S50" s="3615"/>
      <c r="T50" s="3615"/>
      <c r="U50" s="3615"/>
      <c r="V50" s="3615"/>
      <c r="W50" s="3615"/>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39" t="s">
        <v>1005</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6"/>
      <c r="L53" s="2307"/>
      <c r="M53" s="2305"/>
      <c r="N53" s="2305"/>
      <c r="O53" s="2305"/>
    </row>
    <row r="54" spans="1:29" ht="13.5" customHeight="1">
      <c r="A54" s="2305"/>
      <c r="B54" s="2305"/>
      <c r="C54" s="839" t="s">
        <v>1006</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6"/>
      <c r="L54" s="2307"/>
      <c r="M54" s="2305"/>
      <c r="N54" s="2305"/>
      <c r="O54" s="2305"/>
    </row>
    <row r="55" spans="1:29" s="119" customFormat="1" ht="13.5" customHeight="1">
      <c r="A55" s="2310"/>
      <c r="B55" s="2310"/>
      <c r="C55" s="839" t="s">
        <v>1007</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1" t="s">
        <v>1037</v>
      </c>
      <c r="B58" s="1364"/>
      <c r="C58" s="1372"/>
      <c r="D58" s="1372"/>
      <c r="E58" s="1372"/>
      <c r="F58" s="1373"/>
      <c r="G58" s="1373"/>
      <c r="H58" s="1372"/>
      <c r="I58" s="1372"/>
      <c r="J58" s="1372"/>
      <c r="K58" s="1374"/>
      <c r="L58" s="2312"/>
      <c r="M58" s="2313"/>
      <c r="N58" s="2313"/>
      <c r="O58" s="2313"/>
      <c r="P58" s="2327"/>
      <c r="Q58" s="121"/>
    </row>
    <row r="59" spans="1:29" s="850" customFormat="1" ht="15">
      <c r="A59" s="847" t="s">
        <v>2797</v>
      </c>
      <c r="B59" s="848"/>
      <c r="C59" s="3046" t="str">
        <f>YEAR(C7)&amp;"-"&amp;MONTH(C7)</f>
        <v>2017-7</v>
      </c>
      <c r="D59" s="3047">
        <f>EDATE(C59,-1)</f>
        <v>42887</v>
      </c>
      <c r="E59" s="3047">
        <f>EDATE(D59,-1)</f>
        <v>42856</v>
      </c>
      <c r="F59" s="3047">
        <f t="shared" ref="F59:O59" si="16">EDATE(E59,-1)</f>
        <v>42826</v>
      </c>
      <c r="G59" s="3047">
        <f t="shared" si="16"/>
        <v>42795</v>
      </c>
      <c r="H59" s="3047">
        <f t="shared" si="16"/>
        <v>42767</v>
      </c>
      <c r="I59" s="3047">
        <f t="shared" si="16"/>
        <v>42736</v>
      </c>
      <c r="J59" s="3047">
        <f t="shared" si="16"/>
        <v>42705</v>
      </c>
      <c r="K59" s="3047">
        <f t="shared" si="16"/>
        <v>42675</v>
      </c>
      <c r="L59" s="3047">
        <f t="shared" si="16"/>
        <v>42644</v>
      </c>
      <c r="M59" s="3047">
        <f t="shared" si="16"/>
        <v>42614</v>
      </c>
      <c r="N59" s="3047">
        <f t="shared" si="16"/>
        <v>42583</v>
      </c>
      <c r="O59" s="3047">
        <f t="shared" si="16"/>
        <v>42552</v>
      </c>
      <c r="P59" s="3041"/>
    </row>
    <row r="60" spans="1:29" s="40" customFormat="1" ht="14.25">
      <c r="A60" s="1044"/>
      <c r="B60" s="1045"/>
      <c r="C60" s="3044">
        <v>100</v>
      </c>
      <c r="D60" s="854"/>
      <c r="E60" s="854"/>
      <c r="F60" s="854"/>
      <c r="G60" s="854"/>
      <c r="H60" s="854"/>
      <c r="I60" s="854"/>
      <c r="J60" s="854"/>
      <c r="K60" s="854"/>
      <c r="L60" s="854"/>
      <c r="M60" s="855"/>
      <c r="N60" s="854"/>
      <c r="O60" s="855"/>
      <c r="P60" s="2328"/>
    </row>
    <row r="61" spans="1:29" s="40" customFormat="1" ht="15" thickBot="1">
      <c r="A61" s="1046" t="s">
        <v>1038</v>
      </c>
      <c r="B61" s="1047"/>
      <c r="C61" s="859"/>
      <c r="D61" s="860"/>
      <c r="E61" s="860"/>
      <c r="F61" s="860"/>
      <c r="G61" s="860"/>
      <c r="H61" s="860"/>
      <c r="I61" s="860"/>
      <c r="J61" s="860"/>
      <c r="K61" s="860"/>
      <c r="L61" s="860"/>
      <c r="M61" s="861"/>
      <c r="N61" s="860"/>
      <c r="O61" s="861"/>
      <c r="P61" s="2328"/>
      <c r="Q61" s="121"/>
    </row>
    <row r="62" spans="1:29" s="40" customFormat="1">
      <c r="A62" s="1048" t="s">
        <v>1039</v>
      </c>
      <c r="B62" s="1045"/>
      <c r="C62" s="1049" t="s">
        <v>1040</v>
      </c>
      <c r="D62" s="140"/>
      <c r="E62" s="140"/>
      <c r="F62" s="140"/>
      <c r="G62" s="140"/>
      <c r="H62" s="140"/>
      <c r="I62" s="140"/>
      <c r="J62" s="140"/>
      <c r="K62" s="140"/>
      <c r="L62" s="141"/>
      <c r="M62" s="1050"/>
      <c r="N62" s="1387"/>
      <c r="O62" s="1387"/>
      <c r="P62" s="2329"/>
      <c r="Q62" s="121"/>
    </row>
    <row r="63" spans="1:29" s="40" customFormat="1" ht="15" thickBot="1">
      <c r="A63" s="1048"/>
      <c r="B63" s="1045"/>
      <c r="C63" s="853">
        <v>100</v>
      </c>
      <c r="D63" s="854"/>
      <c r="E63" s="854"/>
      <c r="F63" s="854"/>
      <c r="G63" s="854"/>
      <c r="H63" s="854"/>
      <c r="I63" s="854"/>
      <c r="J63" s="854"/>
      <c r="K63" s="854"/>
      <c r="L63" s="854"/>
      <c r="M63" s="856"/>
      <c r="N63" s="1387"/>
      <c r="O63" s="1387"/>
      <c r="P63" s="2328"/>
      <c r="Q63" s="121"/>
    </row>
    <row r="64" spans="1:29">
      <c r="A64" s="172" t="s">
        <v>1041</v>
      </c>
      <c r="B64" s="286" t="s">
        <v>1042</v>
      </c>
      <c r="C64" s="176">
        <f>C9</f>
        <v>0</v>
      </c>
      <c r="D64" s="122"/>
      <c r="E64" s="122"/>
      <c r="F64" s="122"/>
      <c r="G64" s="122"/>
      <c r="H64" s="122"/>
      <c r="I64" s="122"/>
      <c r="J64" s="122"/>
      <c r="K64" s="123"/>
      <c r="L64" s="124"/>
      <c r="M64" s="125"/>
      <c r="N64" s="1388"/>
      <c r="O64" s="1388"/>
      <c r="P64" s="2330"/>
      <c r="Q64" s="121"/>
    </row>
    <row r="65" spans="1:17" ht="15" thickBot="1">
      <c r="A65" s="173"/>
      <c r="B65" s="1052"/>
      <c r="C65" s="878">
        <v>100</v>
      </c>
      <c r="D65" s="878"/>
      <c r="E65" s="878"/>
      <c r="F65" s="878"/>
      <c r="G65" s="878"/>
      <c r="H65" s="878"/>
      <c r="I65" s="878"/>
      <c r="J65" s="878"/>
      <c r="K65" s="878"/>
      <c r="L65" s="878"/>
      <c r="M65" s="879"/>
      <c r="N65" s="1389"/>
      <c r="O65" s="1389"/>
      <c r="P65" s="2330"/>
      <c r="Q65" s="121"/>
    </row>
    <row r="66" spans="1:17" ht="27.75" thickTop="1">
      <c r="A66" s="173"/>
      <c r="B66" s="1053" t="s">
        <v>1043</v>
      </c>
      <c r="C66" s="881" t="s">
        <v>1008</v>
      </c>
      <c r="D66" s="881" t="s">
        <v>1009</v>
      </c>
      <c r="E66" s="881" t="s">
        <v>1010</v>
      </c>
      <c r="F66" s="881" t="s">
        <v>1011</v>
      </c>
      <c r="G66" s="881" t="s">
        <v>1012</v>
      </c>
      <c r="H66" s="881" t="s">
        <v>1013</v>
      </c>
      <c r="I66" s="881" t="s">
        <v>1014</v>
      </c>
      <c r="J66" s="881"/>
      <c r="K66" s="882"/>
      <c r="L66" s="883"/>
      <c r="M66" s="884"/>
      <c r="N66" s="1388"/>
      <c r="O66" s="1388"/>
      <c r="P66" s="2330"/>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30"/>
      <c r="Q67" s="121"/>
    </row>
    <row r="68" spans="1:17" ht="15" thickTop="1">
      <c r="A68" s="173"/>
      <c r="B68" s="1055" t="s">
        <v>1044</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1" t="str">
        <f>M69&amp;"（含）"&amp;"-"&amp;P69</f>
        <v>（含）-</v>
      </c>
      <c r="N68" s="1389"/>
      <c r="O68" s="1389"/>
      <c r="P68" s="2330"/>
      <c r="Q68" s="121"/>
    </row>
    <row r="69" spans="1:17" ht="14.25">
      <c r="A69" s="173"/>
      <c r="B69" s="1056"/>
      <c r="C69" s="891"/>
      <c r="D69" s="891"/>
      <c r="E69" s="891"/>
      <c r="F69" s="891"/>
      <c r="G69" s="891"/>
      <c r="H69" s="891"/>
      <c r="I69" s="891"/>
      <c r="J69" s="891"/>
      <c r="K69" s="892"/>
      <c r="L69" s="893"/>
      <c r="M69" s="894"/>
      <c r="N69" s="1388"/>
      <c r="O69" s="1388"/>
      <c r="P69" s="2330"/>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30"/>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1"/>
      <c r="Q71" s="1062"/>
    </row>
    <row r="72" spans="1:17" s="1038" customFormat="1" ht="15" thickBot="1">
      <c r="A72" s="1057"/>
      <c r="B72" s="1054"/>
      <c r="C72" s="902"/>
      <c r="D72" s="878"/>
      <c r="E72" s="878"/>
      <c r="F72" s="878"/>
      <c r="G72" s="878"/>
      <c r="H72" s="878"/>
      <c r="I72" s="878"/>
      <c r="J72" s="878"/>
      <c r="K72" s="878"/>
      <c r="L72" s="878"/>
      <c r="M72" s="879"/>
      <c r="N72" s="1389"/>
      <c r="O72" s="1389"/>
      <c r="P72" s="2331"/>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2"/>
      <c r="Q73" s="1064"/>
    </row>
    <row r="74" spans="1:17" s="1038" customFormat="1" ht="15" thickBot="1">
      <c r="A74" s="1057"/>
      <c r="B74" s="1054"/>
      <c r="C74" s="902"/>
      <c r="D74" s="902"/>
      <c r="E74" s="902"/>
      <c r="F74" s="902"/>
      <c r="G74" s="902"/>
      <c r="H74" s="904"/>
      <c r="I74" s="904"/>
      <c r="J74" s="904"/>
      <c r="K74" s="904"/>
      <c r="L74" s="904"/>
      <c r="M74" s="905"/>
      <c r="N74" s="1390"/>
      <c r="O74" s="1390"/>
      <c r="P74" s="2331"/>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3"/>
      <c r="Q75" s="1062"/>
    </row>
    <row r="76" spans="1:17" s="1038" customFormat="1" ht="15" thickBot="1">
      <c r="A76" s="1069"/>
      <c r="B76" s="1070"/>
      <c r="C76" s="912"/>
      <c r="D76" s="912"/>
      <c r="E76" s="912"/>
      <c r="F76" s="912"/>
      <c r="G76" s="912"/>
      <c r="H76" s="913"/>
      <c r="I76" s="913"/>
      <c r="J76" s="913"/>
      <c r="K76" s="913"/>
      <c r="L76" s="913"/>
      <c r="M76" s="914"/>
      <c r="N76" s="1390"/>
      <c r="O76" s="1390"/>
      <c r="P76" s="2331"/>
      <c r="Q76" s="1062"/>
    </row>
    <row r="77" spans="1:17" ht="14.25">
      <c r="A77" s="172" t="s">
        <v>1045</v>
      </c>
      <c r="B77" s="286" t="s">
        <v>1095</v>
      </c>
      <c r="C77" s="915" t="s">
        <v>1015</v>
      </c>
      <c r="D77" s="915" t="s">
        <v>1016</v>
      </c>
      <c r="E77" s="915" t="s">
        <v>1017</v>
      </c>
      <c r="F77" s="915" t="s">
        <v>1018</v>
      </c>
      <c r="G77" s="915" t="s">
        <v>1019</v>
      </c>
      <c r="H77" s="871"/>
      <c r="I77" s="871"/>
      <c r="J77" s="871"/>
      <c r="K77" s="916"/>
      <c r="L77" s="917"/>
      <c r="M77" s="918"/>
      <c r="N77" s="1388"/>
      <c r="O77" s="1388"/>
      <c r="P77" s="2334"/>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30"/>
      <c r="Q78" s="121"/>
    </row>
    <row r="79" spans="1:17" ht="15" thickTop="1">
      <c r="A79" s="173"/>
      <c r="B79" s="1053" t="s">
        <v>1052</v>
      </c>
      <c r="C79" s="920" t="s">
        <v>1015</v>
      </c>
      <c r="D79" s="920" t="s">
        <v>1016</v>
      </c>
      <c r="E79" s="920" t="s">
        <v>1017</v>
      </c>
      <c r="F79" s="920" t="s">
        <v>1104</v>
      </c>
      <c r="G79" s="920" t="s">
        <v>1019</v>
      </c>
      <c r="H79" s="881"/>
      <c r="I79" s="881"/>
      <c r="J79" s="881"/>
      <c r="K79" s="882"/>
      <c r="L79" s="883"/>
      <c r="M79" s="884"/>
      <c r="N79" s="1388"/>
      <c r="O79" s="1388"/>
      <c r="P79" s="2330"/>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30"/>
      <c r="Q80" s="121"/>
    </row>
    <row r="81" spans="1:17" ht="15" thickTop="1">
      <c r="A81" s="173"/>
      <c r="B81" s="1053" t="s">
        <v>31</v>
      </c>
      <c r="C81" s="920" t="s">
        <v>1015</v>
      </c>
      <c r="D81" s="920" t="s">
        <v>1016</v>
      </c>
      <c r="E81" s="920" t="s">
        <v>1017</v>
      </c>
      <c r="F81" s="920" t="s">
        <v>1018</v>
      </c>
      <c r="G81" s="920" t="s">
        <v>1019</v>
      </c>
      <c r="H81" s="881"/>
      <c r="I81" s="881"/>
      <c r="J81" s="881"/>
      <c r="K81" s="882"/>
      <c r="L81" s="883"/>
      <c r="M81" s="884"/>
      <c r="N81" s="1388"/>
      <c r="O81" s="1388"/>
      <c r="P81" s="2330"/>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30"/>
      <c r="Q82" s="121"/>
    </row>
    <row r="83" spans="1:17" ht="15" thickTop="1">
      <c r="A83" s="173"/>
      <c r="B83" s="1055" t="s">
        <v>2666</v>
      </c>
      <c r="C83" s="213" t="s">
        <v>2659</v>
      </c>
      <c r="D83" s="213" t="s">
        <v>2660</v>
      </c>
      <c r="E83" s="213" t="s">
        <v>2661</v>
      </c>
      <c r="F83" s="213" t="s">
        <v>2662</v>
      </c>
      <c r="G83" s="213" t="s">
        <v>2663</v>
      </c>
      <c r="H83" s="881"/>
      <c r="I83" s="881"/>
      <c r="J83" s="881"/>
      <c r="K83" s="881"/>
      <c r="L83" s="881"/>
      <c r="M83" s="2766"/>
      <c r="N83" s="1389"/>
      <c r="O83" s="1389"/>
      <c r="P83" s="2330"/>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3"/>
      <c r="N84" s="1389"/>
      <c r="O84" s="1389"/>
      <c r="P84" s="2330"/>
      <c r="Q84" s="121"/>
    </row>
    <row r="85" spans="1:17" ht="15" thickTop="1">
      <c r="A85" s="173"/>
      <c r="B85" s="1053" t="s">
        <v>1096</v>
      </c>
      <c r="C85" s="920" t="s">
        <v>1015</v>
      </c>
      <c r="D85" s="920" t="s">
        <v>1016</v>
      </c>
      <c r="E85" s="920" t="s">
        <v>1017</v>
      </c>
      <c r="F85" s="920" t="s">
        <v>1018</v>
      </c>
      <c r="G85" s="920" t="s">
        <v>1019</v>
      </c>
      <c r="H85" s="881"/>
      <c r="I85" s="881"/>
      <c r="J85" s="881"/>
      <c r="K85" s="882"/>
      <c r="L85" s="883"/>
      <c r="M85" s="884"/>
      <c r="N85" s="1388"/>
      <c r="O85" s="1388"/>
      <c r="P85" s="2330"/>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30"/>
      <c r="Q86" s="121"/>
    </row>
    <row r="87" spans="1:17" s="40" customFormat="1" ht="27.75" thickTop="1">
      <c r="A87" s="1071"/>
      <c r="B87" s="1053" t="s">
        <v>1097</v>
      </c>
      <c r="C87" s="139"/>
      <c r="D87" s="139"/>
      <c r="E87" s="139"/>
      <c r="F87" s="139"/>
      <c r="G87" s="139"/>
      <c r="H87" s="139"/>
      <c r="I87" s="139"/>
      <c r="J87" s="139"/>
      <c r="K87" s="139"/>
      <c r="L87" s="1383"/>
      <c r="M87" s="1384"/>
      <c r="N87" s="1387"/>
      <c r="O87" s="1387"/>
      <c r="P87" s="2330"/>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30"/>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30"/>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30"/>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1"/>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1"/>
      <c r="Q92" s="1062"/>
    </row>
    <row r="93" spans="1:17" ht="14.25" thickTop="1">
      <c r="A93" s="173"/>
      <c r="B93" s="1053">
        <f>B29</f>
        <v>111</v>
      </c>
      <c r="C93" s="139"/>
      <c r="D93" s="139"/>
      <c r="E93" s="139"/>
      <c r="F93" s="139"/>
      <c r="G93" s="139"/>
      <c r="H93" s="139"/>
      <c r="I93" s="139"/>
      <c r="J93" s="139"/>
      <c r="K93" s="139"/>
      <c r="L93" s="1383"/>
      <c r="M93" s="1384"/>
      <c r="N93" s="1388"/>
      <c r="O93" s="1388"/>
      <c r="P93" s="2330"/>
      <c r="Q93" s="121"/>
    </row>
    <row r="94" spans="1:17" ht="15" thickBot="1">
      <c r="A94" s="173"/>
      <c r="B94" s="1054"/>
      <c r="C94" s="902"/>
      <c r="D94" s="878"/>
      <c r="E94" s="878"/>
      <c r="F94" s="878"/>
      <c r="G94" s="878"/>
      <c r="H94" s="878"/>
      <c r="I94" s="878"/>
      <c r="J94" s="878"/>
      <c r="K94" s="878"/>
      <c r="L94" s="878"/>
      <c r="M94" s="879"/>
      <c r="N94" s="1389"/>
      <c r="O94" s="1389"/>
      <c r="P94" s="2330"/>
      <c r="Q94" s="121"/>
    </row>
    <row r="95" spans="1:17" ht="14.25" thickTop="1">
      <c r="A95" s="173"/>
      <c r="B95" s="1053">
        <f>B30</f>
        <v>111</v>
      </c>
      <c r="C95" s="139"/>
      <c r="D95" s="139"/>
      <c r="E95" s="139"/>
      <c r="F95" s="139"/>
      <c r="G95" s="131"/>
      <c r="H95" s="131"/>
      <c r="I95" s="131"/>
      <c r="J95" s="131"/>
      <c r="K95" s="132"/>
      <c r="L95" s="133"/>
      <c r="M95" s="134"/>
      <c r="N95" s="1388"/>
      <c r="O95" s="1388"/>
      <c r="P95" s="2330"/>
      <c r="Q95" s="121"/>
    </row>
    <row r="96" spans="1:17" ht="15" thickBot="1">
      <c r="A96" s="173"/>
      <c r="B96" s="1054"/>
      <c r="C96" s="902"/>
      <c r="D96" s="902"/>
      <c r="E96" s="902"/>
      <c r="F96" s="902"/>
      <c r="G96" s="878"/>
      <c r="H96" s="878"/>
      <c r="I96" s="878"/>
      <c r="J96" s="878"/>
      <c r="K96" s="878"/>
      <c r="L96" s="878"/>
      <c r="M96" s="879"/>
      <c r="N96" s="1389"/>
      <c r="O96" s="1389"/>
      <c r="P96" s="2330"/>
      <c r="Q96" s="121"/>
    </row>
    <row r="97" spans="1:17" ht="14.25" thickTop="1">
      <c r="A97" s="173"/>
      <c r="B97" s="1053">
        <f>B31</f>
        <v>111</v>
      </c>
      <c r="C97" s="139"/>
      <c r="D97" s="139"/>
      <c r="E97" s="139"/>
      <c r="F97" s="139"/>
      <c r="G97" s="131"/>
      <c r="H97" s="131"/>
      <c r="I97" s="131"/>
      <c r="J97" s="131"/>
      <c r="K97" s="132"/>
      <c r="L97" s="133"/>
      <c r="M97" s="134"/>
      <c r="N97" s="1388"/>
      <c r="O97" s="1388"/>
      <c r="P97" s="2330"/>
      <c r="Q97" s="121"/>
    </row>
    <row r="98" spans="1:17" ht="15" thickBot="1">
      <c r="A98" s="173"/>
      <c r="B98" s="1054"/>
      <c r="C98" s="902"/>
      <c r="D98" s="878"/>
      <c r="E98" s="878"/>
      <c r="F98" s="878"/>
      <c r="G98" s="878"/>
      <c r="H98" s="878"/>
      <c r="I98" s="878"/>
      <c r="J98" s="878"/>
      <c r="K98" s="878"/>
      <c r="L98" s="878"/>
      <c r="M98" s="879"/>
      <c r="N98" s="1389"/>
      <c r="O98" s="1389"/>
      <c r="P98" s="2330"/>
      <c r="Q98" s="121"/>
    </row>
    <row r="99" spans="1:17" ht="14.25" thickTop="1">
      <c r="A99" s="173"/>
      <c r="B99" s="1055">
        <f>B32</f>
        <v>111</v>
      </c>
      <c r="C99" s="140"/>
      <c r="D99" s="140"/>
      <c r="E99" s="140"/>
      <c r="F99" s="140"/>
      <c r="G99" s="135"/>
      <c r="H99" s="135"/>
      <c r="I99" s="135"/>
      <c r="J99" s="135"/>
      <c r="K99" s="136"/>
      <c r="L99" s="137"/>
      <c r="M99" s="138"/>
      <c r="N99" s="1388"/>
      <c r="O99" s="1388"/>
      <c r="P99" s="2330"/>
      <c r="Q99" s="121"/>
    </row>
    <row r="100" spans="1:17" ht="15" thickBot="1">
      <c r="A100" s="174"/>
      <c r="B100" s="1070"/>
      <c r="C100" s="912"/>
      <c r="D100" s="912"/>
      <c r="E100" s="912"/>
      <c r="F100" s="912"/>
      <c r="G100" s="933"/>
      <c r="H100" s="933"/>
      <c r="I100" s="933"/>
      <c r="J100" s="933"/>
      <c r="K100" s="933"/>
      <c r="L100" s="933"/>
      <c r="M100" s="934"/>
      <c r="N100" s="1389"/>
      <c r="O100" s="1389"/>
      <c r="P100" s="2330"/>
      <c r="Q100" s="121"/>
    </row>
    <row r="101" spans="1:17">
      <c r="A101" s="172" t="s">
        <v>1055</v>
      </c>
      <c r="B101" s="286" t="s">
        <v>1098</v>
      </c>
      <c r="C101" s="122"/>
      <c r="D101" s="122"/>
      <c r="E101" s="122"/>
      <c r="F101" s="122"/>
      <c r="G101" s="122"/>
      <c r="H101" s="122"/>
      <c r="I101" s="122"/>
      <c r="J101" s="122"/>
      <c r="K101" s="123"/>
      <c r="L101" s="124"/>
      <c r="M101" s="125"/>
      <c r="N101" s="1388"/>
      <c r="O101" s="1388"/>
      <c r="P101" s="2330"/>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30"/>
      <c r="Q102" s="121"/>
    </row>
    <row r="103" spans="1:17" ht="15" thickTop="1">
      <c r="A103" s="173"/>
      <c r="B103" s="1053" t="s">
        <v>1057</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30"/>
      <c r="Q103" s="121"/>
    </row>
    <row r="104" spans="1:17" s="1038" customFormat="1" ht="14.25">
      <c r="A104" s="1072"/>
      <c r="B104" s="1073"/>
      <c r="C104" s="937"/>
      <c r="D104" s="937"/>
      <c r="E104" s="937"/>
      <c r="F104" s="937"/>
      <c r="G104" s="937"/>
      <c r="H104" s="937"/>
      <c r="I104" s="937"/>
      <c r="J104" s="938"/>
      <c r="K104" s="938"/>
      <c r="L104" s="939"/>
      <c r="M104" s="940"/>
      <c r="N104" s="1390"/>
      <c r="O104" s="1390"/>
      <c r="P104" s="2331"/>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1"/>
      <c r="Q105" s="1062"/>
    </row>
    <row r="106" spans="1:17" ht="14.25" thickTop="1">
      <c r="A106" s="175"/>
      <c r="B106" s="1053" t="s">
        <v>1058</v>
      </c>
      <c r="C106" s="139"/>
      <c r="D106" s="139"/>
      <c r="E106" s="131"/>
      <c r="F106" s="131"/>
      <c r="G106" s="131"/>
      <c r="H106" s="131"/>
      <c r="I106" s="131"/>
      <c r="J106" s="131"/>
      <c r="K106" s="132"/>
      <c r="L106" s="133"/>
      <c r="M106" s="134"/>
      <c r="N106" s="1388"/>
      <c r="O106" s="1388"/>
      <c r="P106" s="2330"/>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30"/>
      <c r="Q107" s="121"/>
    </row>
    <row r="108" spans="1:17" ht="14.25" thickTop="1">
      <c r="A108" s="175"/>
      <c r="B108" s="1053" t="s">
        <v>1059</v>
      </c>
      <c r="C108" s="139"/>
      <c r="D108" s="139"/>
      <c r="E108" s="139"/>
      <c r="F108" s="131"/>
      <c r="G108" s="131"/>
      <c r="H108" s="131"/>
      <c r="I108" s="131"/>
      <c r="J108" s="131"/>
      <c r="K108" s="132"/>
      <c r="L108" s="133"/>
      <c r="M108" s="134"/>
      <c r="N108" s="1388"/>
      <c r="O108" s="1388"/>
      <c r="P108" s="2330"/>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30"/>
      <c r="Q109" s="121"/>
    </row>
    <row r="110" spans="1:17" ht="15" thickTop="1">
      <c r="A110" s="175"/>
      <c r="B110" s="1053" t="s">
        <v>1060</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30"/>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30"/>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30"/>
      <c r="Q112" s="121"/>
    </row>
    <row r="113" spans="1:17" s="1038" customFormat="1" ht="14.25" thickTop="1">
      <c r="A113" s="1072"/>
      <c r="B113" s="1053" t="s">
        <v>1099</v>
      </c>
      <c r="C113" s="139"/>
      <c r="D113" s="139"/>
      <c r="E113" s="139"/>
      <c r="F113" s="139"/>
      <c r="G113" s="139"/>
      <c r="H113" s="131"/>
      <c r="I113" s="131"/>
      <c r="J113" s="131"/>
      <c r="K113" s="132"/>
      <c r="L113" s="133"/>
      <c r="M113" s="134"/>
      <c r="N113" s="1390"/>
      <c r="O113" s="1390"/>
      <c r="P113" s="2331"/>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1"/>
      <c r="Q114" s="1062"/>
    </row>
    <row r="115" spans="1:17" ht="14.25" thickTop="1">
      <c r="A115" s="175"/>
      <c r="B115" s="1053" t="s">
        <v>1100</v>
      </c>
      <c r="C115" s="139"/>
      <c r="D115" s="139"/>
      <c r="E115" s="131"/>
      <c r="F115" s="131"/>
      <c r="G115" s="131"/>
      <c r="H115" s="131"/>
      <c r="I115" s="131"/>
      <c r="J115" s="131"/>
      <c r="K115" s="132"/>
      <c r="L115" s="133"/>
      <c r="M115" s="134"/>
      <c r="N115" s="1388"/>
      <c r="O115" s="1388"/>
      <c r="P115" s="2330"/>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30"/>
      <c r="Q116" s="121"/>
    </row>
    <row r="117" spans="1:17" ht="14.25" thickTop="1">
      <c r="A117" s="175"/>
      <c r="B117" s="1053" t="s">
        <v>2641</v>
      </c>
      <c r="C117" s="139"/>
      <c r="D117" s="139"/>
      <c r="E117" s="139"/>
      <c r="F117" s="139"/>
      <c r="G117" s="139"/>
      <c r="H117" s="131"/>
      <c r="I117" s="131"/>
      <c r="J117" s="131"/>
      <c r="K117" s="132"/>
      <c r="L117" s="133"/>
      <c r="M117" s="134"/>
      <c r="N117" s="1388"/>
      <c r="O117" s="1388"/>
      <c r="P117" s="2330"/>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30"/>
      <c r="Q118" s="121"/>
    </row>
    <row r="119" spans="1:17" ht="14.25" thickTop="1">
      <c r="A119" s="175"/>
      <c r="B119" s="211" t="s">
        <v>1062</v>
      </c>
      <c r="C119" s="131"/>
      <c r="D119" s="131"/>
      <c r="E119" s="131"/>
      <c r="F119" s="131"/>
      <c r="G119" s="131"/>
      <c r="H119" s="131"/>
      <c r="I119" s="131"/>
      <c r="J119" s="131"/>
      <c r="K119" s="131"/>
      <c r="L119" s="198"/>
      <c r="M119" s="199"/>
      <c r="N119" s="1389"/>
      <c r="O119" s="1389"/>
      <c r="P119" s="2335"/>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30"/>
      <c r="Q120" s="121"/>
    </row>
    <row r="121" spans="1:17" s="1038" customFormat="1" ht="15" thickTop="1">
      <c r="A121" s="1072"/>
      <c r="B121" s="1053" t="s">
        <v>1063</v>
      </c>
      <c r="C121" s="896"/>
      <c r="D121" s="896"/>
      <c r="E121" s="896"/>
      <c r="F121" s="925"/>
      <c r="G121" s="897"/>
      <c r="H121" s="897"/>
      <c r="I121" s="897"/>
      <c r="J121" s="897"/>
      <c r="K121" s="897"/>
      <c r="L121" s="898"/>
      <c r="M121" s="899"/>
      <c r="N121" s="1390"/>
      <c r="O121" s="1390"/>
      <c r="P121" s="2331"/>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1"/>
      <c r="Q122" s="1062"/>
    </row>
    <row r="123" spans="1:17" ht="14.25" thickTop="1">
      <c r="A123" s="175"/>
      <c r="B123" s="1053" t="s">
        <v>1065</v>
      </c>
      <c r="C123" s="139"/>
      <c r="D123" s="139"/>
      <c r="E123" s="139"/>
      <c r="F123" s="131"/>
      <c r="G123" s="131"/>
      <c r="H123" s="131"/>
      <c r="I123" s="131"/>
      <c r="J123" s="131"/>
      <c r="K123" s="132"/>
      <c r="L123" s="133"/>
      <c r="M123" s="134"/>
      <c r="N123" s="1388"/>
      <c r="O123" s="1388"/>
      <c r="P123" s="2330"/>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30"/>
      <c r="Q124" s="121"/>
    </row>
    <row r="125" spans="1:17" ht="27.75" thickTop="1">
      <c r="A125" s="175"/>
      <c r="B125" s="1053" t="s">
        <v>1066</v>
      </c>
      <c r="C125" s="920" t="s">
        <v>1015</v>
      </c>
      <c r="D125" s="920" t="s">
        <v>1016</v>
      </c>
      <c r="E125" s="920" t="s">
        <v>1017</v>
      </c>
      <c r="F125" s="920" t="s">
        <v>1018</v>
      </c>
      <c r="G125" s="920" t="s">
        <v>1019</v>
      </c>
      <c r="H125" s="881"/>
      <c r="I125" s="881"/>
      <c r="J125" s="881"/>
      <c r="K125" s="882"/>
      <c r="L125" s="883"/>
      <c r="M125" s="884"/>
      <c r="N125" s="1388"/>
      <c r="O125" s="1388"/>
      <c r="P125" s="2331"/>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30"/>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1"/>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1"/>
      <c r="Q128" s="1062"/>
    </row>
    <row r="129" spans="1:17" ht="14.25" thickTop="1">
      <c r="A129" s="175"/>
      <c r="B129" s="1053">
        <f>B46</f>
        <v>111</v>
      </c>
      <c r="C129" s="139"/>
      <c r="D129" s="139"/>
      <c r="E129" s="139"/>
      <c r="F129" s="139"/>
      <c r="G129" s="131"/>
      <c r="H129" s="131"/>
      <c r="I129" s="131"/>
      <c r="J129" s="131"/>
      <c r="K129" s="132"/>
      <c r="L129" s="133"/>
      <c r="M129" s="134"/>
      <c r="N129" s="1388"/>
      <c r="O129" s="1388"/>
      <c r="P129" s="2330"/>
      <c r="Q129" s="121"/>
    </row>
    <row r="130" spans="1:17" ht="15" thickBot="1">
      <c r="A130" s="173"/>
      <c r="B130" s="1054"/>
      <c r="C130" s="902"/>
      <c r="D130" s="902"/>
      <c r="E130" s="902"/>
      <c r="F130" s="902"/>
      <c r="G130" s="878"/>
      <c r="H130" s="878"/>
      <c r="I130" s="878"/>
      <c r="J130" s="878"/>
      <c r="K130" s="878"/>
      <c r="L130" s="878"/>
      <c r="M130" s="879"/>
      <c r="N130" s="1389"/>
      <c r="O130" s="1389"/>
      <c r="P130" s="2330"/>
      <c r="Q130" s="121"/>
    </row>
    <row r="131" spans="1:17" ht="14.25" thickTop="1">
      <c r="A131" s="175"/>
      <c r="B131" s="1055">
        <f>B47</f>
        <v>111</v>
      </c>
      <c r="C131" s="140"/>
      <c r="D131" s="140"/>
      <c r="E131" s="140"/>
      <c r="F131" s="140"/>
      <c r="G131" s="135"/>
      <c r="H131" s="135"/>
      <c r="I131" s="135"/>
      <c r="J131" s="135"/>
      <c r="K131" s="140"/>
      <c r="L131" s="141"/>
      <c r="M131" s="138"/>
      <c r="N131" s="1388"/>
      <c r="O131" s="1388"/>
      <c r="P131" s="2330"/>
      <c r="Q131" s="121"/>
    </row>
    <row r="132" spans="1:17" ht="15" thickBot="1">
      <c r="A132" s="174"/>
      <c r="B132" s="1070"/>
      <c r="C132" s="912"/>
      <c r="D132" s="912"/>
      <c r="E132" s="912"/>
      <c r="F132" s="912"/>
      <c r="G132" s="933"/>
      <c r="H132" s="933"/>
      <c r="I132" s="933"/>
      <c r="J132" s="933"/>
      <c r="K132" s="933"/>
      <c r="L132" s="933"/>
      <c r="M132" s="934"/>
      <c r="N132" s="1389"/>
      <c r="O132" s="1389"/>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0" priority="16" stopIfTrue="1" operator="containsText" text="超过">
      <formula>NOT(ISERROR(SEARCH("超过",F53)))</formula>
    </cfRule>
  </conditionalFormatting>
  <conditionalFormatting sqref="H55">
    <cfRule type="containsText" dxfId="99" priority="15" stopIfTrue="1" operator="containsText" text="超过">
      <formula>NOT(ISERROR(SEARCH("超过",H55)))</formula>
    </cfRule>
  </conditionalFormatting>
  <conditionalFormatting sqref="F55">
    <cfRule type="containsText" dxfId="98" priority="14" stopIfTrue="1" operator="containsText" text="超过">
      <formula>NOT(ISERROR(SEARCH("超过",F55)))</formula>
    </cfRule>
  </conditionalFormatting>
  <conditionalFormatting sqref="F54 H54">
    <cfRule type="containsText" dxfId="97" priority="13" stopIfTrue="1" operator="containsText" text="超过">
      <formula>NOT(ISERROR(SEARCH("超过",F54)))</formula>
    </cfRule>
  </conditionalFormatting>
  <conditionalFormatting sqref="E53">
    <cfRule type="expression" dxfId="96" priority="12" stopIfTrue="1">
      <formula>$F$53="超过30%"</formula>
    </cfRule>
  </conditionalFormatting>
  <conditionalFormatting sqref="E54">
    <cfRule type="expression" dxfId="95" priority="11" stopIfTrue="1">
      <formula>$F$54="超过20%"</formula>
    </cfRule>
  </conditionalFormatting>
  <conditionalFormatting sqref="E55">
    <cfRule type="expression" dxfId="94" priority="10" stopIfTrue="1">
      <formula>$F$55="超过30%"</formula>
    </cfRule>
  </conditionalFormatting>
  <conditionalFormatting sqref="G55">
    <cfRule type="expression" dxfId="93" priority="9" stopIfTrue="1">
      <formula>$H$55="超过30%"</formula>
    </cfRule>
  </conditionalFormatting>
  <conditionalFormatting sqref="G53">
    <cfRule type="expression" dxfId="92" priority="8" stopIfTrue="1">
      <formula>$H$53="超过30%"</formula>
    </cfRule>
  </conditionalFormatting>
  <conditionalFormatting sqref="G54">
    <cfRule type="expression" dxfId="91" priority="7" stopIfTrue="1">
      <formula>$H$54="超过20%"</formula>
    </cfRule>
  </conditionalFormatting>
  <conditionalFormatting sqref="J53">
    <cfRule type="containsText" dxfId="90" priority="6" stopIfTrue="1" operator="containsText" text="超过">
      <formula>NOT(ISERROR(SEARCH("超过",J53)))</formula>
    </cfRule>
  </conditionalFormatting>
  <conditionalFormatting sqref="J55">
    <cfRule type="containsText" dxfId="89" priority="5" stopIfTrue="1" operator="containsText" text="超过">
      <formula>NOT(ISERROR(SEARCH("超过",J55)))</formula>
    </cfRule>
  </conditionalFormatting>
  <conditionalFormatting sqref="J54">
    <cfRule type="containsText" dxfId="88" priority="4" stopIfTrue="1" operator="containsText" text="超过">
      <formula>NOT(ISERROR(SEARCH("超过",J54)))</formula>
    </cfRule>
  </conditionalFormatting>
  <conditionalFormatting sqref="I53">
    <cfRule type="expression" dxfId="87" priority="3" stopIfTrue="1">
      <formula>$J$53="超过30%"</formula>
    </cfRule>
  </conditionalFormatting>
  <conditionalFormatting sqref="I54">
    <cfRule type="expression" dxfId="86" priority="2" stopIfTrue="1">
      <formula>$J$53+$J$54="超过20%"</formula>
    </cfRule>
  </conditionalFormatting>
  <conditionalFormatting sqref="I55">
    <cfRule type="expression" dxfId="85"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9" customFormat="1" ht="28.5" customHeight="1" thickBot="1">
      <c r="A1" s="3105" t="s">
        <v>1105</v>
      </c>
      <c r="B1" s="3123" t="s">
        <v>1106</v>
      </c>
      <c r="C1" s="3117" t="s">
        <v>1107</v>
      </c>
      <c r="D1" s="3108"/>
      <c r="E1" s="3113"/>
      <c r="F1" s="3110"/>
      <c r="G1" s="3112" t="s">
        <v>1108</v>
      </c>
      <c r="H1" s="3113"/>
      <c r="I1" s="3113"/>
      <c r="J1" s="3113"/>
      <c r="K1" s="3114"/>
      <c r="L1" s="3115"/>
      <c r="M1" s="3107"/>
      <c r="N1" s="3107"/>
      <c r="O1" s="3107"/>
      <c r="P1" s="3117"/>
      <c r="Q1" s="3117"/>
      <c r="R1" s="3117"/>
      <c r="S1" s="3117"/>
      <c r="T1" s="3117"/>
      <c r="U1" s="3117"/>
      <c r="V1" s="3117"/>
      <c r="W1" s="3117"/>
      <c r="X1" s="3117"/>
      <c r="Y1" s="3117"/>
      <c r="Z1" s="3117"/>
      <c r="AA1" s="3117"/>
      <c r="AB1" s="3117"/>
      <c r="AC1" s="3118"/>
    </row>
    <row r="2" spans="1:29" s="90" customFormat="1" ht="28.5" customHeight="1" thickTop="1">
      <c r="A2" s="3101" t="s">
        <v>1109</v>
      </c>
      <c r="B2" s="2848" t="e">
        <f ca="1">IF(C2="——",ROUND(C43*D3/10000,0),ROUND(C43*D3/10000,0)-D2)</f>
        <v>#DIV/0!</v>
      </c>
      <c r="C2" s="3102"/>
      <c r="D2" s="2343" t="e">
        <f ca="1">SUMIF(INDIRECT("'"&amp;F2&amp;"'"&amp;"!A:A"),"承租人权益价值",INDIRECT("'"&amp;F2&amp;"'"&amp;"!c:c"))</f>
        <v>#REF!</v>
      </c>
      <c r="E2" s="3103" t="s">
        <v>867</v>
      </c>
      <c r="F2" s="3104"/>
      <c r="G2" s="2319"/>
      <c r="H2" s="2319"/>
      <c r="I2" s="2319"/>
      <c r="J2" s="2319"/>
      <c r="K2" s="2319"/>
      <c r="L2" s="2320"/>
      <c r="M2" s="2321"/>
      <c r="N2" s="2321"/>
      <c r="O2" s="2321"/>
      <c r="P2" s="1333"/>
      <c r="Q2" s="1333"/>
      <c r="R2" s="1333"/>
      <c r="S2" s="1333"/>
      <c r="T2" s="1333"/>
      <c r="U2" s="1333"/>
      <c r="V2" s="1333"/>
      <c r="W2" s="1333"/>
      <c r="X2" s="1333"/>
      <c r="Y2" s="1333"/>
      <c r="Z2" s="1333"/>
      <c r="AA2" s="1333"/>
      <c r="AB2" s="1333"/>
      <c r="AC2" s="1391"/>
    </row>
    <row r="3" spans="1:29" s="90" customFormat="1" ht="28.5" customHeight="1" thickBot="1">
      <c r="A3" s="87" t="s">
        <v>1110</v>
      </c>
      <c r="B3" s="951" t="e">
        <f ca="1">IF(C2="——",C43,ROUND(B2*10000/D3,0))</f>
        <v>#DIV/0!</v>
      </c>
      <c r="C3" s="142" t="s">
        <v>1111</v>
      </c>
      <c r="D3" s="742">
        <f>IF(D1="",'数据-汇总表'!E3,SUMIF('数据-汇总表'!$C19:$C33,D1,'数据-汇总表'!$E19:$E33))</f>
        <v>7148.0899999999992</v>
      </c>
      <c r="E3" s="2319"/>
      <c r="F3" s="2318"/>
      <c r="G3" s="2319"/>
      <c r="H3" s="2319"/>
      <c r="I3" s="2319"/>
      <c r="J3" s="2319"/>
      <c r="K3" s="2322"/>
      <c r="L3" s="2320"/>
      <c r="M3" s="2321"/>
      <c r="N3" s="2321"/>
      <c r="O3" s="2321"/>
      <c r="P3" s="1333"/>
      <c r="Q3" s="1333"/>
      <c r="R3" s="1333"/>
      <c r="S3" s="1333"/>
      <c r="T3" s="1333"/>
      <c r="U3" s="1333"/>
      <c r="V3" s="1333"/>
      <c r="W3" s="1333"/>
      <c r="X3" s="1333"/>
      <c r="Y3" s="1333"/>
      <c r="Z3" s="1333"/>
      <c r="AA3" s="1333"/>
      <c r="AB3" s="1409"/>
      <c r="AC3" s="1391"/>
    </row>
    <row r="4" spans="1:29">
      <c r="A4" s="143" t="s">
        <v>1112</v>
      </c>
      <c r="B4" s="144"/>
      <c r="C4" s="3573" t="s">
        <v>1113</v>
      </c>
      <c r="D4" s="3574"/>
      <c r="E4" s="3575" t="s">
        <v>1114</v>
      </c>
      <c r="F4" s="3576"/>
      <c r="G4" s="3573" t="s">
        <v>1115</v>
      </c>
      <c r="H4" s="3574"/>
      <c r="I4" s="3573" t="s">
        <v>1116</v>
      </c>
      <c r="J4" s="3574"/>
      <c r="K4" s="187" t="s">
        <v>1117</v>
      </c>
      <c r="L4" s="2296"/>
      <c r="M4" s="2297"/>
      <c r="N4" s="2297"/>
      <c r="O4" s="2297"/>
      <c r="P4" s="3577" t="s">
        <v>1112</v>
      </c>
      <c r="Q4" s="3578"/>
      <c r="R4" s="3560" t="s">
        <v>1114</v>
      </c>
      <c r="S4" s="3561"/>
      <c r="T4" s="3560" t="s">
        <v>1115</v>
      </c>
      <c r="U4" s="3561"/>
      <c r="V4" s="3585" t="s">
        <v>1116</v>
      </c>
      <c r="W4" s="3585"/>
      <c r="X4" s="1339"/>
      <c r="Y4" s="3560" t="s">
        <v>1112</v>
      </c>
      <c r="Z4" s="3561"/>
      <c r="AA4" s="3555" t="s">
        <v>1114</v>
      </c>
      <c r="AB4" s="3556" t="s">
        <v>1115</v>
      </c>
      <c r="AC4" s="3555" t="s">
        <v>1116</v>
      </c>
    </row>
    <row r="5" spans="1:29">
      <c r="A5" s="146"/>
      <c r="B5" s="147"/>
      <c r="C5" s="3566" t="s">
        <v>1118</v>
      </c>
      <c r="D5" s="3567"/>
      <c r="E5" s="3564" t="s">
        <v>1119</v>
      </c>
      <c r="F5" s="3565"/>
      <c r="G5" s="3566" t="s">
        <v>1120</v>
      </c>
      <c r="H5" s="3567"/>
      <c r="I5" s="3566" t="s">
        <v>1121</v>
      </c>
      <c r="J5" s="3567"/>
      <c r="K5" s="187"/>
      <c r="L5" s="2296"/>
      <c r="M5" s="2297"/>
      <c r="N5" s="2297"/>
      <c r="O5" s="2297"/>
      <c r="P5" s="3579"/>
      <c r="Q5" s="3580"/>
      <c r="R5" s="3562"/>
      <c r="S5" s="3563"/>
      <c r="T5" s="3562"/>
      <c r="U5" s="3563"/>
      <c r="V5" s="3585"/>
      <c r="W5" s="3585"/>
      <c r="X5" s="1339"/>
      <c r="Y5" s="3562"/>
      <c r="Z5" s="3563"/>
      <c r="AA5" s="3556"/>
      <c r="AB5" s="3556"/>
      <c r="AC5" s="3556"/>
    </row>
    <row r="6" spans="1:29" ht="14.25" thickBot="1">
      <c r="A6" s="148"/>
      <c r="B6" s="149"/>
      <c r="C6" s="3568" t="s">
        <v>1122</v>
      </c>
      <c r="D6" s="3569"/>
      <c r="E6" s="3570" t="s">
        <v>1122</v>
      </c>
      <c r="F6" s="3571"/>
      <c r="G6" s="3568" t="s">
        <v>1122</v>
      </c>
      <c r="H6" s="3569"/>
      <c r="I6" s="3568" t="s">
        <v>1122</v>
      </c>
      <c r="J6" s="3569"/>
      <c r="K6" s="187" t="s">
        <v>1123</v>
      </c>
      <c r="L6" s="2296"/>
      <c r="M6" s="2297"/>
      <c r="N6" s="2297"/>
      <c r="O6" s="2297"/>
      <c r="P6" s="3581"/>
      <c r="Q6" s="3582"/>
      <c r="R6" s="3562"/>
      <c r="S6" s="3563"/>
      <c r="T6" s="3583"/>
      <c r="U6" s="3584"/>
      <c r="V6" s="3585"/>
      <c r="W6" s="3585"/>
      <c r="X6" s="1339"/>
      <c r="Y6" s="3583"/>
      <c r="Z6" s="3584"/>
      <c r="AA6" s="3557"/>
      <c r="AB6" s="3557"/>
      <c r="AC6" s="3557"/>
    </row>
    <row r="7" spans="1:29" s="40" customFormat="1" ht="15" thickBot="1">
      <c r="A7" s="1013" t="s">
        <v>1124</v>
      </c>
      <c r="B7" s="1014"/>
      <c r="C7" s="753">
        <f>'数据-取费表'!B2</f>
        <v>42928</v>
      </c>
      <c r="D7" s="754">
        <v>100</v>
      </c>
      <c r="E7" s="1016"/>
      <c r="F7" s="756">
        <f>SUMIF(52:52,YEAR(E7)&amp;"-"&amp;MONTH(E7),53:53)</f>
        <v>0</v>
      </c>
      <c r="G7" s="1016"/>
      <c r="H7" s="754">
        <f>SUMIF(52:52,YEAR(G7)&amp;"-"&amp;MONTH(G7),53:53)</f>
        <v>0</v>
      </c>
      <c r="I7" s="1016"/>
      <c r="J7" s="754">
        <f>SUMIF(52:52,YEAR(I7)&amp;"-"&amp;MONTH(I7),53:53)</f>
        <v>0</v>
      </c>
      <c r="K7" s="1018"/>
      <c r="L7" s="2298"/>
      <c r="M7" s="2260"/>
      <c r="N7" s="2260"/>
      <c r="O7" s="2260"/>
      <c r="P7" s="3558" t="s">
        <v>1124</v>
      </c>
      <c r="Q7" s="3586"/>
      <c r="R7" s="1341" t="s">
        <v>65</v>
      </c>
      <c r="S7" s="1342">
        <f t="shared" ref="S7:S15" si="0">F7</f>
        <v>0</v>
      </c>
      <c r="T7" s="1341" t="s">
        <v>65</v>
      </c>
      <c r="U7" s="1342">
        <f t="shared" ref="U7:U15" si="1">H7</f>
        <v>0</v>
      </c>
      <c r="V7" s="1341" t="s">
        <v>65</v>
      </c>
      <c r="W7" s="1342">
        <f t="shared" ref="W7:W15" si="2">J7</f>
        <v>0</v>
      </c>
      <c r="X7" s="287"/>
      <c r="Y7" s="3558" t="s">
        <v>1124</v>
      </c>
      <c r="Z7" s="3559"/>
      <c r="AA7" s="1343" t="e">
        <f>D7/F7</f>
        <v>#DIV/0!</v>
      </c>
      <c r="AB7" s="1343" t="e">
        <f>D7/H7</f>
        <v>#DIV/0!</v>
      </c>
      <c r="AC7" s="1343" t="e">
        <f>D7/J7</f>
        <v>#DIV/0!</v>
      </c>
    </row>
    <row r="8" spans="1:29" s="40" customFormat="1" ht="15" thickBot="1">
      <c r="A8" s="1013" t="s">
        <v>1125</v>
      </c>
      <c r="B8" s="1014"/>
      <c r="C8" s="1019" t="s">
        <v>155</v>
      </c>
      <c r="D8" s="754">
        <v>100</v>
      </c>
      <c r="E8" s="1019"/>
      <c r="F8" s="756">
        <f>SUMIF(55:55,E8,56:56)-SUMIF(55:55,C8,56:56)+100</f>
        <v>0</v>
      </c>
      <c r="G8" s="1019"/>
      <c r="H8" s="754">
        <f>SUMIF(55:55,G8,56:56)-SUMIF(55:55,C8,56:56)+100</f>
        <v>0</v>
      </c>
      <c r="I8" s="1019"/>
      <c r="J8" s="754">
        <f>SUMIF(55:55,I8,56:56)-SUMIF(55:55,C8,56:56)+100</f>
        <v>0</v>
      </c>
      <c r="K8" s="1018"/>
      <c r="L8" s="2298"/>
      <c r="M8" s="2260"/>
      <c r="N8" s="2260"/>
      <c r="O8" s="2260"/>
      <c r="P8" s="3558" t="s">
        <v>1020</v>
      </c>
      <c r="Q8" s="3559"/>
      <c r="R8" s="1341" t="s">
        <v>65</v>
      </c>
      <c r="S8" s="1342">
        <f t="shared" si="0"/>
        <v>0</v>
      </c>
      <c r="T8" s="1341" t="s">
        <v>65</v>
      </c>
      <c r="U8" s="1342">
        <f t="shared" si="1"/>
        <v>0</v>
      </c>
      <c r="V8" s="1341" t="s">
        <v>65</v>
      </c>
      <c r="W8" s="1342">
        <f t="shared" si="2"/>
        <v>0</v>
      </c>
      <c r="X8" s="287"/>
      <c r="Y8" s="3558" t="s">
        <v>1020</v>
      </c>
      <c r="Z8" s="3559"/>
      <c r="AA8" s="1343" t="e">
        <f t="shared" ref="AA8:AA40" si="3">D8/F8</f>
        <v>#DIV/0!</v>
      </c>
      <c r="AB8" s="1343" t="e">
        <f t="shared" ref="AB8:AB40" si="4">D8/H8</f>
        <v>#DIV/0!</v>
      </c>
      <c r="AC8" s="1343" t="e">
        <f t="shared" ref="AC8:AC40" si="5">D8/J8</f>
        <v>#DIV/0!</v>
      </c>
    </row>
    <row r="9" spans="1:29" s="40" customFormat="1" ht="14.25">
      <c r="A9" s="1020" t="s">
        <v>1021</v>
      </c>
      <c r="B9" s="62" t="s">
        <v>1022</v>
      </c>
      <c r="C9" s="1345"/>
      <c r="D9" s="425">
        <v>100</v>
      </c>
      <c r="E9" s="1347"/>
      <c r="F9" s="425">
        <f>SUMIF(57:57,E9,58:58)-SUMIF(57:57,C9,58:58)+100</f>
        <v>100</v>
      </c>
      <c r="G9" s="1346"/>
      <c r="H9" s="425">
        <f>SUMIF(57:57,G9,58:58)-SUMIF(57:57,C9,58:58)+100</f>
        <v>100</v>
      </c>
      <c r="I9" s="1346"/>
      <c r="J9" s="425">
        <f>SUMIF(57:57,I9,58:58)-SUMIF(57:57,C9,58:58)+100</f>
        <v>100</v>
      </c>
      <c r="K9" s="1018"/>
      <c r="L9" s="2298"/>
      <c r="M9" s="2260"/>
      <c r="N9" s="2260"/>
      <c r="O9" s="2339"/>
      <c r="P9" s="3590" t="s">
        <v>67</v>
      </c>
      <c r="Q9" s="7" t="str">
        <f t="shared" ref="Q9:Q15" si="6">B9</f>
        <v>用途</v>
      </c>
      <c r="R9" s="1341" t="s">
        <v>65</v>
      </c>
      <c r="S9" s="1342">
        <f t="shared" si="0"/>
        <v>100</v>
      </c>
      <c r="T9" s="1341" t="s">
        <v>65</v>
      </c>
      <c r="U9" s="1342">
        <f t="shared" si="1"/>
        <v>100</v>
      </c>
      <c r="V9" s="1341" t="s">
        <v>65</v>
      </c>
      <c r="W9" s="1342">
        <f t="shared" si="2"/>
        <v>100</v>
      </c>
      <c r="X9" s="287"/>
      <c r="Y9" s="3400" t="s">
        <v>67</v>
      </c>
      <c r="Z9" s="288" t="str">
        <f t="shared" ref="Z9:Z15" si="7">Q9</f>
        <v>用途</v>
      </c>
      <c r="AA9" s="1343">
        <f t="shared" si="3"/>
        <v>1</v>
      </c>
      <c r="AB9" s="1343">
        <f t="shared" si="4"/>
        <v>1</v>
      </c>
      <c r="AC9" s="1343">
        <f t="shared" si="5"/>
        <v>1</v>
      </c>
    </row>
    <row r="10" spans="1:29" s="92" customFormat="1" ht="27">
      <c r="A10" s="150"/>
      <c r="B10" s="12" t="s">
        <v>106</v>
      </c>
      <c r="C10" s="1348"/>
      <c r="D10" s="426">
        <v>100</v>
      </c>
      <c r="E10" s="1348"/>
      <c r="F10" s="426">
        <f>SUMIF(59:59,E10,60:60)-SUMIF(59:59,C10,60:60)+100</f>
        <v>100</v>
      </c>
      <c r="G10" s="1349"/>
      <c r="H10" s="426">
        <f>SUMIF(59:59,G10,60:60)-SUMIF(59:59,C10,60:60)+100</f>
        <v>100</v>
      </c>
      <c r="I10" s="1348"/>
      <c r="J10" s="426">
        <f>SUMIF(59:59,I10,60:60)-SUMIF(59:59,C10,60:60)+100</f>
        <v>100</v>
      </c>
      <c r="K10" s="954"/>
      <c r="L10" s="2299"/>
      <c r="M10" s="2300"/>
      <c r="N10" s="2300"/>
      <c r="O10" s="2340"/>
      <c r="P10" s="3590"/>
      <c r="Q10" s="7" t="str">
        <f t="shared" si="6"/>
        <v>土地使用年限（年）</v>
      </c>
      <c r="R10" s="1341" t="s">
        <v>65</v>
      </c>
      <c r="S10" s="1342">
        <f t="shared" si="0"/>
        <v>100</v>
      </c>
      <c r="T10" s="1341" t="s">
        <v>65</v>
      </c>
      <c r="U10" s="1342">
        <f t="shared" si="1"/>
        <v>100</v>
      </c>
      <c r="V10" s="1341" t="s">
        <v>65</v>
      </c>
      <c r="W10" s="1342">
        <f t="shared" si="2"/>
        <v>100</v>
      </c>
      <c r="X10" s="287"/>
      <c r="Y10" s="3400"/>
      <c r="Z10" s="288" t="str">
        <f t="shared" si="7"/>
        <v>土地使用年限（年）</v>
      </c>
      <c r="AA10" s="1343">
        <f t="shared" si="3"/>
        <v>1</v>
      </c>
      <c r="AB10" s="1343">
        <f t="shared" si="4"/>
        <v>1</v>
      </c>
      <c r="AC10" s="1343">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4"/>
      <c r="L11" s="2301"/>
      <c r="M11" s="2297"/>
      <c r="N11" s="2297"/>
      <c r="O11" s="2341"/>
      <c r="P11" s="3590"/>
      <c r="Q11" s="7" t="str">
        <f t="shared" si="6"/>
        <v>容积率</v>
      </c>
      <c r="R11" s="1341" t="s">
        <v>65</v>
      </c>
      <c r="S11" s="1342" t="e">
        <f t="shared" si="0"/>
        <v>#N/A</v>
      </c>
      <c r="T11" s="1341" t="s">
        <v>65</v>
      </c>
      <c r="U11" s="1342" t="e">
        <f t="shared" si="1"/>
        <v>#N/A</v>
      </c>
      <c r="V11" s="1341" t="s">
        <v>65</v>
      </c>
      <c r="W11" s="1342" t="e">
        <f t="shared" si="2"/>
        <v>#N/A</v>
      </c>
      <c r="X11" s="287"/>
      <c r="Y11" s="3400"/>
      <c r="Z11" s="288" t="str">
        <f t="shared" si="7"/>
        <v>容积率</v>
      </c>
      <c r="AA11" s="1343" t="e">
        <f t="shared" si="3"/>
        <v>#N/A</v>
      </c>
      <c r="AB11" s="1343" t="e">
        <f t="shared" si="4"/>
        <v>#N/A</v>
      </c>
      <c r="AC11" s="1343" t="e">
        <f t="shared" si="5"/>
        <v>#N/A</v>
      </c>
    </row>
    <row r="12" spans="1:29" s="40" customFormat="1" ht="14.25">
      <c r="A12" s="1029"/>
      <c r="B12" s="1030">
        <v>111</v>
      </c>
      <c r="C12" s="1023"/>
      <c r="D12" s="776">
        <v>100</v>
      </c>
      <c r="E12" s="93"/>
      <c r="F12" s="426">
        <f>SUMIF(64:64,E12,65:65)-SUMIF(64:64,C12,65:65)+100</f>
        <v>100</v>
      </c>
      <c r="G12" s="1410"/>
      <c r="H12" s="426">
        <f>SUMIF(64:64,G12,65:65)-SUMIF(64:64,C12,65:65)+100</f>
        <v>100</v>
      </c>
      <c r="I12" s="1357"/>
      <c r="J12" s="426">
        <f>SUMIF(64:64,I12,65:65)-SUMIF(64:64,C12,65:65)+100</f>
        <v>100</v>
      </c>
      <c r="K12" s="188"/>
      <c r="L12" s="2298"/>
      <c r="M12" s="2260"/>
      <c r="N12" s="2260"/>
      <c r="O12" s="2339"/>
      <c r="P12" s="3590"/>
      <c r="Q12" s="7">
        <f t="shared" si="6"/>
        <v>111</v>
      </c>
      <c r="R12" s="1341" t="s">
        <v>65</v>
      </c>
      <c r="S12" s="1342">
        <f t="shared" si="0"/>
        <v>100</v>
      </c>
      <c r="T12" s="1341" t="s">
        <v>65</v>
      </c>
      <c r="U12" s="1342">
        <f t="shared" si="1"/>
        <v>100</v>
      </c>
      <c r="V12" s="1341" t="s">
        <v>65</v>
      </c>
      <c r="W12" s="1342">
        <f t="shared" si="2"/>
        <v>100</v>
      </c>
      <c r="X12" s="287"/>
      <c r="Y12" s="3400"/>
      <c r="Z12" s="288">
        <f t="shared" si="7"/>
        <v>111</v>
      </c>
      <c r="AA12" s="1343">
        <f>D12/F12</f>
        <v>1</v>
      </c>
      <c r="AB12" s="1343">
        <f>D12/H12</f>
        <v>1</v>
      </c>
      <c r="AC12" s="1343">
        <f>D12/J12</f>
        <v>1</v>
      </c>
    </row>
    <row r="13" spans="1:29" ht="14.25">
      <c r="A13" s="151"/>
      <c r="B13" s="1030">
        <v>111</v>
      </c>
      <c r="C13" s="93"/>
      <c r="D13" s="778">
        <v>100</v>
      </c>
      <c r="E13" s="93"/>
      <c r="F13" s="426">
        <f>SUMIF(66:66,E13,67:67)-SUMIF(66:66,C13,67:67)+100</f>
        <v>100</v>
      </c>
      <c r="G13" s="1410"/>
      <c r="H13" s="778">
        <f>SUMIF(66:66,G13,67:67)-SUMIF(66:66,C13,67:67)+100</f>
        <v>100</v>
      </c>
      <c r="I13" s="1357"/>
      <c r="J13" s="778">
        <f>SUMIF(66:66,I13,67:67)-SUMIF(66:66,C13,67:67)+100</f>
        <v>100</v>
      </c>
      <c r="K13" s="188"/>
      <c r="L13" s="2302"/>
      <c r="M13" s="2297"/>
      <c r="N13" s="2297"/>
      <c r="O13" s="2341"/>
      <c r="P13" s="3590"/>
      <c r="Q13" s="7">
        <f t="shared" si="6"/>
        <v>111</v>
      </c>
      <c r="R13" s="1341" t="s">
        <v>65</v>
      </c>
      <c r="S13" s="1342">
        <f t="shared" si="0"/>
        <v>100</v>
      </c>
      <c r="T13" s="1341" t="s">
        <v>65</v>
      </c>
      <c r="U13" s="1342">
        <f t="shared" si="1"/>
        <v>100</v>
      </c>
      <c r="V13" s="1341" t="s">
        <v>65</v>
      </c>
      <c r="W13" s="1342">
        <f t="shared" si="2"/>
        <v>100</v>
      </c>
      <c r="X13" s="287"/>
      <c r="Y13" s="3400"/>
      <c r="Z13" s="288">
        <f t="shared" si="7"/>
        <v>111</v>
      </c>
      <c r="AA13" s="1343">
        <f t="shared" si="3"/>
        <v>1</v>
      </c>
      <c r="AB13" s="1343">
        <f t="shared" si="4"/>
        <v>1</v>
      </c>
      <c r="AC13" s="1343">
        <f t="shared" si="5"/>
        <v>1</v>
      </c>
    </row>
    <row r="14" spans="1:29" ht="15" thickBot="1">
      <c r="A14" s="154"/>
      <c r="B14" s="1031">
        <v>111</v>
      </c>
      <c r="C14" s="94"/>
      <c r="D14" s="781">
        <v>100</v>
      </c>
      <c r="E14" s="94"/>
      <c r="F14" s="781">
        <f>SUMIF(68:68,E14,69:69)-SUMIF(68:68,C14,69:69)+100</f>
        <v>100</v>
      </c>
      <c r="G14" s="1410"/>
      <c r="H14" s="781">
        <f>SUMIF(68:68,G14,69:69)-SUMIF(68:68,C14,69:69)+100</f>
        <v>100</v>
      </c>
      <c r="I14" s="1357"/>
      <c r="J14" s="781">
        <f>SUMIF(68:68,I14,69:69)-SUMIF(68:68,C14,69:69)+100</f>
        <v>100</v>
      </c>
      <c r="K14" s="188"/>
      <c r="L14" s="2302"/>
      <c r="M14" s="2297"/>
      <c r="N14" s="2297"/>
      <c r="O14" s="2341"/>
      <c r="P14" s="3590"/>
      <c r="Q14" s="7">
        <f t="shared" si="6"/>
        <v>111</v>
      </c>
      <c r="R14" s="1341" t="s">
        <v>65</v>
      </c>
      <c r="S14" s="1342">
        <f t="shared" si="0"/>
        <v>100</v>
      </c>
      <c r="T14" s="1341" t="s">
        <v>65</v>
      </c>
      <c r="U14" s="1342">
        <f t="shared" si="1"/>
        <v>100</v>
      </c>
      <c r="V14" s="1341" t="s">
        <v>65</v>
      </c>
      <c r="W14" s="1342">
        <f t="shared" si="2"/>
        <v>100</v>
      </c>
      <c r="X14" s="287"/>
      <c r="Y14" s="3400"/>
      <c r="Z14" s="288">
        <f t="shared" si="7"/>
        <v>111</v>
      </c>
      <c r="AA14" s="1343">
        <f t="shared" si="3"/>
        <v>1</v>
      </c>
      <c r="AB14" s="1343">
        <f t="shared" si="4"/>
        <v>1</v>
      </c>
      <c r="AC14" s="1343">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6"/>
      <c r="L15" s="2302"/>
      <c r="M15" s="2297"/>
      <c r="N15" s="2297"/>
      <c r="O15" s="2341"/>
      <c r="P15" s="3592" t="s">
        <v>69</v>
      </c>
      <c r="Q15" s="1350" t="str">
        <f t="shared" si="6"/>
        <v>产业集聚程度</v>
      </c>
      <c r="R15" s="1351" t="s">
        <v>65</v>
      </c>
      <c r="S15" s="1352">
        <f t="shared" si="0"/>
        <v>100</v>
      </c>
      <c r="T15" s="1351" t="s">
        <v>65</v>
      </c>
      <c r="U15" s="1352">
        <f t="shared" si="1"/>
        <v>100</v>
      </c>
      <c r="V15" s="1351" t="s">
        <v>65</v>
      </c>
      <c r="W15" s="1352">
        <f t="shared" si="2"/>
        <v>100</v>
      </c>
      <c r="X15" s="1339"/>
      <c r="Y15" s="3592" t="s">
        <v>69</v>
      </c>
      <c r="Z15" s="1353" t="str">
        <f t="shared" si="7"/>
        <v>产业集聚程度</v>
      </c>
      <c r="AA15" s="1354">
        <f t="shared" si="3"/>
        <v>1</v>
      </c>
      <c r="AB15" s="1354">
        <f t="shared" si="4"/>
        <v>1</v>
      </c>
      <c r="AC15" s="1354">
        <f t="shared" si="5"/>
        <v>1</v>
      </c>
    </row>
    <row r="16" spans="1:29" ht="14.25">
      <c r="A16" s="151"/>
      <c r="B16" s="156"/>
      <c r="C16" s="97"/>
      <c r="D16" s="791"/>
      <c r="E16" s="97"/>
      <c r="F16" s="792"/>
      <c r="G16" s="97"/>
      <c r="H16" s="793"/>
      <c r="I16" s="97"/>
      <c r="J16" s="791"/>
      <c r="K16" s="189"/>
      <c r="L16" s="2302"/>
      <c r="M16" s="2297"/>
      <c r="N16" s="2297"/>
      <c r="O16" s="2341"/>
      <c r="P16" s="3593"/>
      <c r="Q16" s="1350"/>
      <c r="R16" s="1351"/>
      <c r="S16" s="1352"/>
      <c r="T16" s="1351"/>
      <c r="U16" s="1352"/>
      <c r="V16" s="1351"/>
      <c r="W16" s="1352"/>
      <c r="X16" s="1339"/>
      <c r="Y16" s="3593"/>
      <c r="Z16" s="1353"/>
      <c r="AA16" s="1354">
        <v>1</v>
      </c>
      <c r="AB16" s="1354">
        <v>1</v>
      </c>
      <c r="AC16" s="1354">
        <v>1</v>
      </c>
    </row>
    <row r="17" spans="1:29" ht="94.5">
      <c r="A17" s="151"/>
      <c r="B17" s="1355"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6"/>
      <c r="L17" s="2302"/>
      <c r="M17" s="2297"/>
      <c r="N17" s="2297"/>
      <c r="O17" s="2341"/>
      <c r="P17" s="3593"/>
      <c r="Q17" s="1350" t="str">
        <f>B17</f>
        <v>交通便捷度</v>
      </c>
      <c r="R17" s="1351" t="s">
        <v>65</v>
      </c>
      <c r="S17" s="1352">
        <f>F17</f>
        <v>100</v>
      </c>
      <c r="T17" s="1351" t="s">
        <v>65</v>
      </c>
      <c r="U17" s="1352">
        <f>H17</f>
        <v>100</v>
      </c>
      <c r="V17" s="1351" t="s">
        <v>65</v>
      </c>
      <c r="W17" s="1352">
        <f>J17</f>
        <v>100</v>
      </c>
      <c r="X17" s="1339"/>
      <c r="Y17" s="3593"/>
      <c r="Z17" s="1353" t="str">
        <f>Q17</f>
        <v>交通便捷度</v>
      </c>
      <c r="AA17" s="1354">
        <f t="shared" si="3"/>
        <v>1</v>
      </c>
      <c r="AB17" s="1354">
        <f t="shared" si="4"/>
        <v>1</v>
      </c>
      <c r="AC17" s="1354">
        <f t="shared" si="5"/>
        <v>1</v>
      </c>
    </row>
    <row r="18" spans="1:29" ht="14.25">
      <c r="A18" s="151"/>
      <c r="B18" s="1039"/>
      <c r="C18" s="102"/>
      <c r="D18" s="793"/>
      <c r="E18" s="103"/>
      <c r="F18" s="796"/>
      <c r="G18" s="104"/>
      <c r="H18" s="791"/>
      <c r="I18" s="103"/>
      <c r="J18" s="791"/>
      <c r="K18" s="189"/>
      <c r="L18" s="2302"/>
      <c r="M18" s="2297"/>
      <c r="N18" s="2297"/>
      <c r="O18" s="2341"/>
      <c r="P18" s="3593"/>
      <c r="Q18" s="1350"/>
      <c r="R18" s="1351"/>
      <c r="S18" s="1352"/>
      <c r="T18" s="1351"/>
      <c r="U18" s="1352"/>
      <c r="V18" s="1351"/>
      <c r="W18" s="1352"/>
      <c r="X18" s="1339"/>
      <c r="Y18" s="3593"/>
      <c r="Z18" s="1353"/>
      <c r="AA18" s="1354">
        <v>1</v>
      </c>
      <c r="AB18" s="1354">
        <v>1</v>
      </c>
      <c r="AC18" s="1354">
        <v>1</v>
      </c>
    </row>
    <row r="19" spans="1:29" ht="40.5">
      <c r="A19" s="151"/>
      <c r="B19" s="1355" t="s">
        <v>2664</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6"/>
      <c r="L19" s="2302"/>
      <c r="M19" s="2297"/>
      <c r="N19" s="2297"/>
      <c r="O19" s="2341"/>
      <c r="P19" s="3593"/>
      <c r="Q19" s="1350" t="str">
        <f>B19</f>
        <v>公共配套设施</v>
      </c>
      <c r="R19" s="1351" t="s">
        <v>65</v>
      </c>
      <c r="S19" s="1352">
        <f>F19</f>
        <v>100</v>
      </c>
      <c r="T19" s="1351" t="s">
        <v>65</v>
      </c>
      <c r="U19" s="1352">
        <f>H19</f>
        <v>100</v>
      </c>
      <c r="V19" s="1351" t="s">
        <v>65</v>
      </c>
      <c r="W19" s="1352">
        <f>J19</f>
        <v>100</v>
      </c>
      <c r="X19" s="1339"/>
      <c r="Y19" s="3593"/>
      <c r="Z19" s="1353" t="str">
        <f>Q19</f>
        <v>公共配套设施</v>
      </c>
      <c r="AA19" s="1354">
        <f t="shared" si="3"/>
        <v>1</v>
      </c>
      <c r="AB19" s="1354">
        <f t="shared" si="4"/>
        <v>1</v>
      </c>
      <c r="AC19" s="1354">
        <f t="shared" si="5"/>
        <v>1</v>
      </c>
    </row>
    <row r="20" spans="1:29" ht="14.25">
      <c r="A20" s="151"/>
      <c r="B20" s="1039"/>
      <c r="C20" s="97"/>
      <c r="D20" s="791"/>
      <c r="E20" s="98"/>
      <c r="F20" s="792"/>
      <c r="G20" s="99"/>
      <c r="H20" s="791"/>
      <c r="I20" s="98"/>
      <c r="J20" s="791"/>
      <c r="K20" s="189"/>
      <c r="L20" s="2302"/>
      <c r="M20" s="2297"/>
      <c r="N20" s="2297"/>
      <c r="O20" s="2341"/>
      <c r="P20" s="3593"/>
      <c r="Q20" s="1350"/>
      <c r="R20" s="1351"/>
      <c r="S20" s="1352"/>
      <c r="T20" s="1351"/>
      <c r="U20" s="1352"/>
      <c r="V20" s="1351"/>
      <c r="W20" s="1352"/>
      <c r="X20" s="1339"/>
      <c r="Y20" s="3593"/>
      <c r="Z20" s="1353"/>
      <c r="AA20" s="1354">
        <v>1</v>
      </c>
      <c r="AB20" s="1354">
        <v>1</v>
      </c>
      <c r="AC20" s="1354">
        <v>1</v>
      </c>
    </row>
    <row r="21" spans="1:29" ht="40.5">
      <c r="A21" s="151"/>
      <c r="B21" s="1411" t="s">
        <v>2667</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6"/>
      <c r="L21" s="2302"/>
      <c r="M21" s="2297"/>
      <c r="N21" s="2297"/>
      <c r="O21" s="2341"/>
      <c r="P21" s="3593"/>
      <c r="Q21" s="2747" t="str">
        <f>B21</f>
        <v>基础设施水平</v>
      </c>
      <c r="R21" s="1351" t="s">
        <v>65</v>
      </c>
      <c r="S21" s="1352">
        <f>F21</f>
        <v>100</v>
      </c>
      <c r="T21" s="1351" t="s">
        <v>65</v>
      </c>
      <c r="U21" s="1352">
        <f>H21</f>
        <v>100</v>
      </c>
      <c r="V21" s="1351" t="s">
        <v>65</v>
      </c>
      <c r="W21" s="1352">
        <f>J21</f>
        <v>100</v>
      </c>
      <c r="X21" s="2749"/>
      <c r="Y21" s="3593"/>
      <c r="Z21" s="2748" t="str">
        <f>Q21</f>
        <v>基础设施水平</v>
      </c>
      <c r="AA21" s="1354">
        <f t="shared" ref="AA21" si="8">D21/F21</f>
        <v>1</v>
      </c>
      <c r="AB21" s="1354">
        <f t="shared" ref="AB21" si="9">D21/H21</f>
        <v>1</v>
      </c>
      <c r="AC21" s="1354">
        <f t="shared" ref="AC21" si="10">D21/J21</f>
        <v>1</v>
      </c>
    </row>
    <row r="22" spans="1:29" ht="14.25">
      <c r="A22" s="151"/>
      <c r="B22" s="1411"/>
      <c r="C22" s="102"/>
      <c r="D22" s="791"/>
      <c r="E22" s="97"/>
      <c r="F22" s="792"/>
      <c r="G22" s="97"/>
      <c r="H22" s="791"/>
      <c r="I22" s="97"/>
      <c r="J22" s="791"/>
      <c r="K22" s="2767"/>
      <c r="L22" s="2302"/>
      <c r="M22" s="2297"/>
      <c r="N22" s="2297"/>
      <c r="O22" s="2341"/>
      <c r="P22" s="3593"/>
      <c r="Q22" s="2747"/>
      <c r="R22" s="1351"/>
      <c r="S22" s="1352"/>
      <c r="T22" s="1351"/>
      <c r="U22" s="1352"/>
      <c r="V22" s="1351"/>
      <c r="W22" s="1352"/>
      <c r="X22" s="2749"/>
      <c r="Y22" s="3593"/>
      <c r="Z22" s="2748"/>
      <c r="AA22" s="1354">
        <v>1</v>
      </c>
      <c r="AB22" s="1354">
        <v>1</v>
      </c>
      <c r="AC22" s="1354">
        <v>1</v>
      </c>
    </row>
    <row r="23" spans="1:29" ht="81">
      <c r="A23" s="151"/>
      <c r="B23" s="1355"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6"/>
      <c r="L23" s="2302"/>
      <c r="M23" s="2297"/>
      <c r="N23" s="2297"/>
      <c r="O23" s="2341"/>
      <c r="P23" s="3593"/>
      <c r="Q23" s="1350" t="str">
        <f>B23</f>
        <v>环境质量</v>
      </c>
      <c r="R23" s="1351" t="s">
        <v>65</v>
      </c>
      <c r="S23" s="1352">
        <f>F23</f>
        <v>100</v>
      </c>
      <c r="T23" s="1351" t="s">
        <v>65</v>
      </c>
      <c r="U23" s="1352">
        <f>H23</f>
        <v>100</v>
      </c>
      <c r="V23" s="1351" t="s">
        <v>65</v>
      </c>
      <c r="W23" s="1352">
        <f>J23</f>
        <v>100</v>
      </c>
      <c r="X23" s="1339"/>
      <c r="Y23" s="3593"/>
      <c r="Z23" s="1353" t="str">
        <f>Q23</f>
        <v>环境质量</v>
      </c>
      <c r="AA23" s="1354">
        <f t="shared" si="3"/>
        <v>1</v>
      </c>
      <c r="AB23" s="1354">
        <f t="shared" si="4"/>
        <v>1</v>
      </c>
      <c r="AC23" s="1354">
        <f t="shared" si="5"/>
        <v>1</v>
      </c>
    </row>
    <row r="24" spans="1:29" ht="14.25">
      <c r="A24" s="151"/>
      <c r="B24" s="1411"/>
      <c r="C24" s="97"/>
      <c r="D24" s="791"/>
      <c r="E24" s="98"/>
      <c r="F24" s="792"/>
      <c r="G24" s="99"/>
      <c r="H24" s="791"/>
      <c r="I24" s="98"/>
      <c r="J24" s="791"/>
      <c r="K24" s="189"/>
      <c r="L24" s="2302"/>
      <c r="M24" s="2297"/>
      <c r="N24" s="2297"/>
      <c r="O24" s="2341"/>
      <c r="P24" s="3593"/>
      <c r="Q24" s="1350"/>
      <c r="R24" s="1351"/>
      <c r="S24" s="1352"/>
      <c r="T24" s="1351"/>
      <c r="U24" s="1352"/>
      <c r="V24" s="1351"/>
      <c r="W24" s="1352"/>
      <c r="X24" s="1339"/>
      <c r="Y24" s="3593"/>
      <c r="Z24" s="1353"/>
      <c r="AA24" s="1354">
        <v>1</v>
      </c>
      <c r="AB24" s="1354">
        <v>1</v>
      </c>
      <c r="AC24" s="1354">
        <v>1</v>
      </c>
    </row>
    <row r="25" spans="1:29" ht="14.25">
      <c r="A25" s="146"/>
      <c r="B25" s="1356">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593"/>
      <c r="Q25" s="1350">
        <f>B25</f>
        <v>111</v>
      </c>
      <c r="R25" s="1351" t="s">
        <v>65</v>
      </c>
      <c r="S25" s="1352">
        <f>F25</f>
        <v>100</v>
      </c>
      <c r="T25" s="1351" t="s">
        <v>65</v>
      </c>
      <c r="U25" s="1352">
        <f>H25</f>
        <v>100</v>
      </c>
      <c r="V25" s="1351" t="s">
        <v>65</v>
      </c>
      <c r="W25" s="1352">
        <f>J25</f>
        <v>100</v>
      </c>
      <c r="X25" s="1339"/>
      <c r="Y25" s="3593"/>
      <c r="Z25" s="1353">
        <f>Q25</f>
        <v>111</v>
      </c>
      <c r="AA25" s="1354">
        <f t="shared" si="3"/>
        <v>1</v>
      </c>
      <c r="AB25" s="1354">
        <f t="shared" si="4"/>
        <v>1</v>
      </c>
      <c r="AC25" s="1354">
        <f t="shared" si="5"/>
        <v>1</v>
      </c>
    </row>
    <row r="26" spans="1:29" ht="14.25">
      <c r="A26" s="151"/>
      <c r="B26" s="1356">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593"/>
      <c r="Q26" s="1350">
        <f t="shared" ref="Q26:Q40" si="11">B26</f>
        <v>111</v>
      </c>
      <c r="R26" s="1351" t="s">
        <v>65</v>
      </c>
      <c r="S26" s="1352">
        <f>F26</f>
        <v>100</v>
      </c>
      <c r="T26" s="1351" t="s">
        <v>65</v>
      </c>
      <c r="U26" s="1352">
        <f>H26</f>
        <v>100</v>
      </c>
      <c r="V26" s="1351" t="s">
        <v>65</v>
      </c>
      <c r="W26" s="1352">
        <f>J26</f>
        <v>100</v>
      </c>
      <c r="X26" s="1339"/>
      <c r="Y26" s="3593"/>
      <c r="Z26" s="1353">
        <f>Q26</f>
        <v>111</v>
      </c>
      <c r="AA26" s="1354">
        <f t="shared" si="3"/>
        <v>1</v>
      </c>
      <c r="AB26" s="1354">
        <f t="shared" si="4"/>
        <v>1</v>
      </c>
      <c r="AC26" s="1354">
        <f t="shared" si="5"/>
        <v>1</v>
      </c>
    </row>
    <row r="27" spans="1:29" s="40" customFormat="1" ht="14.25">
      <c r="A27" s="1029"/>
      <c r="B27" s="1356">
        <v>111</v>
      </c>
      <c r="C27" s="93">
        <v>111</v>
      </c>
      <c r="D27" s="805">
        <v>100</v>
      </c>
      <c r="E27" s="93"/>
      <c r="F27" s="806">
        <f>SUMIF(84:84,E27,85:85)-SUMIF(84:84,C27,85:85)+100</f>
        <v>100</v>
      </c>
      <c r="G27" s="93"/>
      <c r="H27" s="805">
        <f>SUMIF(84:84,G27,85:85)-SUMIF(84:84,C27,85:85)+100</f>
        <v>100</v>
      </c>
      <c r="I27" s="93"/>
      <c r="J27" s="805">
        <f>SUMIF(84:84,I27,85:85)-SUMIF(84:84,C27,85:85)+100</f>
        <v>100</v>
      </c>
      <c r="K27" s="188"/>
      <c r="L27" s="2298"/>
      <c r="M27" s="2260"/>
      <c r="N27" s="2260"/>
      <c r="O27" s="2339"/>
      <c r="P27" s="3593"/>
      <c r="Q27" s="7">
        <f t="shared" si="11"/>
        <v>111</v>
      </c>
      <c r="R27" s="1341" t="s">
        <v>65</v>
      </c>
      <c r="S27" s="1342">
        <f>F27</f>
        <v>100</v>
      </c>
      <c r="T27" s="1341" t="s">
        <v>65</v>
      </c>
      <c r="U27" s="1342">
        <f>H27</f>
        <v>100</v>
      </c>
      <c r="V27" s="1341" t="s">
        <v>65</v>
      </c>
      <c r="W27" s="1342">
        <f>J27</f>
        <v>100</v>
      </c>
      <c r="X27" s="287"/>
      <c r="Y27" s="3593"/>
      <c r="Z27" s="288">
        <f>Q27</f>
        <v>111</v>
      </c>
      <c r="AA27" s="1354">
        <f>D27/F27</f>
        <v>1</v>
      </c>
      <c r="AB27" s="1354">
        <f>D27/H27</f>
        <v>1</v>
      </c>
      <c r="AC27" s="1354">
        <f>D27/J27</f>
        <v>1</v>
      </c>
    </row>
    <row r="28" spans="1:29" ht="15" thickBot="1">
      <c r="A28" s="154"/>
      <c r="B28" s="1356">
        <v>111</v>
      </c>
      <c r="C28" s="94">
        <v>111</v>
      </c>
      <c r="D28" s="781">
        <v>100</v>
      </c>
      <c r="E28" s="93"/>
      <c r="F28" s="782">
        <f>SUMIF(86:86,E28,87:87)-SUMIF(86:86,C28,87:87)+100</f>
        <v>100</v>
      </c>
      <c r="G28" s="1357"/>
      <c r="H28" s="781">
        <f>SUMIF(86:86,G28,87:87)-SUMIF(86:86,C28,87:87)+100</f>
        <v>100</v>
      </c>
      <c r="I28" s="1357"/>
      <c r="J28" s="781">
        <f>SUMIF(86:86,I28,87:87)-SUMIF(86:86,C28,87:87)+100</f>
        <v>100</v>
      </c>
      <c r="K28" s="188"/>
      <c r="L28" s="2302"/>
      <c r="M28" s="2297"/>
      <c r="N28" s="2297"/>
      <c r="O28" s="2341"/>
      <c r="P28" s="3593"/>
      <c r="Q28" s="1350">
        <f t="shared" si="11"/>
        <v>111</v>
      </c>
      <c r="R28" s="1351" t="s">
        <v>65</v>
      </c>
      <c r="S28" s="1352">
        <f t="shared" ref="S28:S40" si="12">F28</f>
        <v>100</v>
      </c>
      <c r="T28" s="1351" t="s">
        <v>65</v>
      </c>
      <c r="U28" s="1352">
        <f t="shared" ref="U28:U40" si="13">H28</f>
        <v>100</v>
      </c>
      <c r="V28" s="1351" t="s">
        <v>65</v>
      </c>
      <c r="W28" s="1352">
        <f t="shared" ref="W28:W40" si="14">J28</f>
        <v>100</v>
      </c>
      <c r="X28" s="1339"/>
      <c r="Y28" s="3593"/>
      <c r="Z28" s="1353">
        <f t="shared" ref="Z28:Z40" si="15">Q28</f>
        <v>111</v>
      </c>
      <c r="AA28" s="1354">
        <f t="shared" si="3"/>
        <v>1</v>
      </c>
      <c r="AB28" s="1354">
        <f t="shared" si="4"/>
        <v>1</v>
      </c>
      <c r="AC28" s="1354">
        <f t="shared" si="5"/>
        <v>1</v>
      </c>
    </row>
    <row r="29" spans="1:29" ht="15">
      <c r="A29" s="160" t="s">
        <v>70</v>
      </c>
      <c r="B29" s="62" t="s">
        <v>146</v>
      </c>
      <c r="C29" s="197"/>
      <c r="D29" s="809">
        <v>100</v>
      </c>
      <c r="E29" s="197"/>
      <c r="F29" s="804">
        <f>SUMIF(88:88,E29,89:89)-SUMIF(88:88,C29,89:89)+100</f>
        <v>100</v>
      </c>
      <c r="G29" s="197"/>
      <c r="H29" s="778">
        <f>SUMIF(88:88,G29,89:89)-SUMIF(88:88,C29,89:89)+100</f>
        <v>100</v>
      </c>
      <c r="I29" s="197"/>
      <c r="J29" s="809">
        <f>SUMIF(88:88,I29,89:89)-SUMIF(88:88,C29,89:89)+100</f>
        <v>100</v>
      </c>
      <c r="K29" s="954"/>
      <c r="L29" s="2302"/>
      <c r="M29" s="2297"/>
      <c r="N29" s="2297"/>
      <c r="O29" s="2341"/>
      <c r="P29" s="3616" t="s">
        <v>1126</v>
      </c>
      <c r="Q29" s="1350" t="str">
        <f t="shared" si="11"/>
        <v>建筑类型</v>
      </c>
      <c r="R29" s="1351" t="s">
        <v>65</v>
      </c>
      <c r="S29" s="1352">
        <f t="shared" si="12"/>
        <v>100</v>
      </c>
      <c r="T29" s="1351" t="s">
        <v>65</v>
      </c>
      <c r="U29" s="1352">
        <f t="shared" si="13"/>
        <v>100</v>
      </c>
      <c r="V29" s="1351" t="s">
        <v>65</v>
      </c>
      <c r="W29" s="1352">
        <f t="shared" si="14"/>
        <v>100</v>
      </c>
      <c r="X29" s="1339"/>
      <c r="Y29" s="3597" t="s">
        <v>1126</v>
      </c>
      <c r="Z29" s="1353" t="str">
        <f t="shared" si="15"/>
        <v>建筑类型</v>
      </c>
      <c r="AA29" s="1354">
        <f t="shared" si="3"/>
        <v>1</v>
      </c>
      <c r="AB29" s="1354">
        <f t="shared" si="4"/>
        <v>1</v>
      </c>
      <c r="AC29" s="1354">
        <f t="shared" si="5"/>
        <v>1</v>
      </c>
    </row>
    <row r="30" spans="1:29" s="1038" customFormat="1" ht="14.25">
      <c r="A30" s="1042"/>
      <c r="B30" s="12" t="s">
        <v>76</v>
      </c>
      <c r="C30" s="811"/>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597"/>
      <c r="Q30" s="1358" t="str">
        <f t="shared" si="11"/>
        <v>项目建筑规模</v>
      </c>
      <c r="R30" s="1359" t="s">
        <v>65</v>
      </c>
      <c r="S30" s="1360" t="e">
        <f t="shared" si="12"/>
        <v>#N/A</v>
      </c>
      <c r="T30" s="1359" t="s">
        <v>65</v>
      </c>
      <c r="U30" s="1360" t="e">
        <f t="shared" si="13"/>
        <v>#N/A</v>
      </c>
      <c r="V30" s="1359" t="s">
        <v>65</v>
      </c>
      <c r="W30" s="1360" t="e">
        <f t="shared" si="14"/>
        <v>#N/A</v>
      </c>
      <c r="X30" s="1361"/>
      <c r="Y30" s="3597"/>
      <c r="Z30" s="1362" t="str">
        <f t="shared" si="15"/>
        <v>项目建筑规模</v>
      </c>
      <c r="AA30" s="1354" t="e">
        <f t="shared" si="3"/>
        <v>#N/A</v>
      </c>
      <c r="AB30" s="1354" t="e">
        <f t="shared" si="4"/>
        <v>#N/A</v>
      </c>
      <c r="AC30" s="1354"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4"/>
      <c r="L31" s="2302"/>
      <c r="M31" s="2297"/>
      <c r="N31" s="2297"/>
      <c r="O31" s="2341"/>
      <c r="P31" s="3597"/>
      <c r="Q31" s="1350" t="str">
        <f t="shared" si="11"/>
        <v>建筑结构</v>
      </c>
      <c r="R31" s="1351" t="s">
        <v>65</v>
      </c>
      <c r="S31" s="1352">
        <f t="shared" si="12"/>
        <v>100</v>
      </c>
      <c r="T31" s="1351" t="s">
        <v>65</v>
      </c>
      <c r="U31" s="1352">
        <f t="shared" si="13"/>
        <v>100</v>
      </c>
      <c r="V31" s="1351" t="s">
        <v>65</v>
      </c>
      <c r="W31" s="1352">
        <f t="shared" si="14"/>
        <v>100</v>
      </c>
      <c r="X31" s="1339"/>
      <c r="Y31" s="3597"/>
      <c r="Z31" s="1353" t="str">
        <f t="shared" si="15"/>
        <v>建筑结构</v>
      </c>
      <c r="AA31" s="1354">
        <f t="shared" si="3"/>
        <v>1</v>
      </c>
      <c r="AB31" s="1354">
        <f t="shared" si="4"/>
        <v>1</v>
      </c>
      <c r="AC31" s="1354">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4"/>
      <c r="L32" s="2302"/>
      <c r="M32" s="2297"/>
      <c r="N32" s="2297"/>
      <c r="O32" s="2341"/>
      <c r="P32" s="3597"/>
      <c r="Q32" s="1350" t="str">
        <f t="shared" si="11"/>
        <v>公共部分装修</v>
      </c>
      <c r="R32" s="1351" t="s">
        <v>65</v>
      </c>
      <c r="S32" s="1352">
        <f t="shared" si="12"/>
        <v>100</v>
      </c>
      <c r="T32" s="1351" t="s">
        <v>65</v>
      </c>
      <c r="U32" s="1352">
        <f t="shared" si="13"/>
        <v>100</v>
      </c>
      <c r="V32" s="1351" t="s">
        <v>65</v>
      </c>
      <c r="W32" s="1352">
        <f t="shared" si="14"/>
        <v>100</v>
      </c>
      <c r="X32" s="1339"/>
      <c r="Y32" s="3597"/>
      <c r="Z32" s="1353" t="str">
        <f t="shared" si="15"/>
        <v>公共部分装修</v>
      </c>
      <c r="AA32" s="1354">
        <f t="shared" si="3"/>
        <v>1</v>
      </c>
      <c r="AB32" s="1354">
        <f t="shared" si="4"/>
        <v>1</v>
      </c>
      <c r="AC32" s="1354">
        <f t="shared" si="5"/>
        <v>1</v>
      </c>
    </row>
    <row r="33" spans="1:29" ht="15">
      <c r="A33" s="161"/>
      <c r="B33" s="12" t="s">
        <v>1029</v>
      </c>
      <c r="C33" s="811"/>
      <c r="D33" s="778">
        <v>100</v>
      </c>
      <c r="E33" s="816"/>
      <c r="F33" s="804" t="e">
        <f>LOOKUP(E33,98:98,99:99)-LOOKUP(C33,98:98,99:99)+100</f>
        <v>#N/A</v>
      </c>
      <c r="G33" s="816"/>
      <c r="H33" s="804" t="e">
        <f>LOOKUP(G33,98:98,99:99)-LOOKUP(C33,98:98,99:99)+100</f>
        <v>#N/A</v>
      </c>
      <c r="I33" s="816"/>
      <c r="J33" s="778" t="e">
        <f>LOOKUP(I33,98:98,99:99)-LOOKUP(C33,98:98,99:99)+100</f>
        <v>#N/A</v>
      </c>
      <c r="K33" s="954"/>
      <c r="L33" s="2302"/>
      <c r="M33" s="2297"/>
      <c r="N33" s="2297"/>
      <c r="O33" s="2341"/>
      <c r="P33" s="3597"/>
      <c r="Q33" s="1350" t="str">
        <f t="shared" si="11"/>
        <v>成新度</v>
      </c>
      <c r="R33" s="1351" t="s">
        <v>65</v>
      </c>
      <c r="S33" s="1352" t="e">
        <f t="shared" si="12"/>
        <v>#N/A</v>
      </c>
      <c r="T33" s="1351" t="s">
        <v>65</v>
      </c>
      <c r="U33" s="1352" t="e">
        <f t="shared" si="13"/>
        <v>#N/A</v>
      </c>
      <c r="V33" s="1351" t="s">
        <v>65</v>
      </c>
      <c r="W33" s="1352" t="e">
        <f t="shared" si="14"/>
        <v>#N/A</v>
      </c>
      <c r="X33" s="1339"/>
      <c r="Y33" s="3597"/>
      <c r="Z33" s="1353" t="str">
        <f t="shared" si="15"/>
        <v>成新度</v>
      </c>
      <c r="AA33" s="1354" t="e">
        <f t="shared" si="3"/>
        <v>#N/A</v>
      </c>
      <c r="AB33" s="1354" t="e">
        <f t="shared" si="4"/>
        <v>#N/A</v>
      </c>
      <c r="AC33" s="1354" t="e">
        <f t="shared" si="5"/>
        <v>#N/A</v>
      </c>
    </row>
    <row r="34" spans="1:29" s="40" customFormat="1" ht="15">
      <c r="A34" s="1040"/>
      <c r="B34" s="12" t="s">
        <v>1127</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4"/>
      <c r="L34" s="2298"/>
      <c r="M34" s="2260"/>
      <c r="N34" s="2260"/>
      <c r="O34" s="2339"/>
      <c r="P34" s="3597"/>
      <c r="Q34" s="7" t="str">
        <f t="shared" si="11"/>
        <v>物业管理</v>
      </c>
      <c r="R34" s="1341" t="s">
        <v>65</v>
      </c>
      <c r="S34" s="1342">
        <f t="shared" si="12"/>
        <v>100</v>
      </c>
      <c r="T34" s="1341" t="s">
        <v>65</v>
      </c>
      <c r="U34" s="1342">
        <f t="shared" si="13"/>
        <v>100</v>
      </c>
      <c r="V34" s="1341" t="s">
        <v>65</v>
      </c>
      <c r="W34" s="1342">
        <f t="shared" si="14"/>
        <v>100</v>
      </c>
      <c r="X34" s="287"/>
      <c r="Y34" s="3597"/>
      <c r="Z34" s="288" t="str">
        <f t="shared" si="15"/>
        <v>物业管理</v>
      </c>
      <c r="AA34" s="1343">
        <f t="shared" si="3"/>
        <v>1</v>
      </c>
      <c r="AB34" s="1343">
        <f t="shared" si="4"/>
        <v>1</v>
      </c>
      <c r="AC34" s="1343">
        <f t="shared" si="5"/>
        <v>1</v>
      </c>
    </row>
    <row r="35" spans="1:29" ht="15">
      <c r="A35" s="161"/>
      <c r="B35" s="12" t="s">
        <v>2657</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4"/>
      <c r="L35" s="2302"/>
      <c r="M35" s="2297"/>
      <c r="N35" s="2297"/>
      <c r="O35" s="2341"/>
      <c r="P35" s="3597" t="s">
        <v>70</v>
      </c>
      <c r="Q35" s="1350" t="str">
        <f t="shared" si="11"/>
        <v>市政基础设施</v>
      </c>
      <c r="R35" s="1351" t="s">
        <v>65</v>
      </c>
      <c r="S35" s="1352">
        <f t="shared" si="12"/>
        <v>100</v>
      </c>
      <c r="T35" s="1351" t="s">
        <v>65</v>
      </c>
      <c r="U35" s="1352">
        <f t="shared" si="13"/>
        <v>100</v>
      </c>
      <c r="V35" s="1351" t="s">
        <v>65</v>
      </c>
      <c r="W35" s="1352">
        <f t="shared" si="14"/>
        <v>100</v>
      </c>
      <c r="X35" s="1339"/>
      <c r="Y35" s="3597" t="s">
        <v>70</v>
      </c>
      <c r="Z35" s="1353" t="str">
        <f t="shared" si="15"/>
        <v>市政基础设施</v>
      </c>
      <c r="AA35" s="1354">
        <f t="shared" si="3"/>
        <v>1</v>
      </c>
      <c r="AB35" s="1354">
        <f t="shared" si="4"/>
        <v>1</v>
      </c>
      <c r="AC35" s="1354">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4"/>
      <c r="L36" s="2302"/>
      <c r="M36" s="2297"/>
      <c r="N36" s="2297"/>
      <c r="O36" s="2341"/>
      <c r="P36" s="3597"/>
      <c r="Q36" s="1350" t="str">
        <f t="shared" si="11"/>
        <v>内部装修</v>
      </c>
      <c r="R36" s="1351" t="s">
        <v>65</v>
      </c>
      <c r="S36" s="1352">
        <f t="shared" si="12"/>
        <v>100</v>
      </c>
      <c r="T36" s="1351" t="s">
        <v>65</v>
      </c>
      <c r="U36" s="1352">
        <f t="shared" si="13"/>
        <v>100</v>
      </c>
      <c r="V36" s="1351" t="s">
        <v>65</v>
      </c>
      <c r="W36" s="1352">
        <f t="shared" si="14"/>
        <v>100</v>
      </c>
      <c r="X36" s="1339"/>
      <c r="Y36" s="3597"/>
      <c r="Z36" s="1353" t="str">
        <f t="shared" si="15"/>
        <v>内部装修</v>
      </c>
      <c r="AA36" s="1354">
        <f t="shared" si="3"/>
        <v>1</v>
      </c>
      <c r="AB36" s="1354">
        <f t="shared" si="4"/>
        <v>1</v>
      </c>
      <c r="AC36" s="1354">
        <f t="shared" si="5"/>
        <v>1</v>
      </c>
    </row>
    <row r="37" spans="1:29" ht="15">
      <c r="A37" s="161"/>
      <c r="B37" s="12" t="s">
        <v>1128</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4"/>
      <c r="L37" s="2302"/>
      <c r="M37" s="2297"/>
      <c r="N37" s="2297"/>
      <c r="O37" s="2341"/>
      <c r="P37" s="3597"/>
      <c r="Q37" s="1350" t="str">
        <f t="shared" si="11"/>
        <v>内部装修状况</v>
      </c>
      <c r="R37" s="1351" t="s">
        <v>65</v>
      </c>
      <c r="S37" s="1352">
        <f t="shared" si="12"/>
        <v>100</v>
      </c>
      <c r="T37" s="1351" t="s">
        <v>65</v>
      </c>
      <c r="U37" s="1352">
        <f t="shared" si="13"/>
        <v>100</v>
      </c>
      <c r="V37" s="1351" t="s">
        <v>65</v>
      </c>
      <c r="W37" s="1352">
        <f t="shared" si="14"/>
        <v>100</v>
      </c>
      <c r="X37" s="1339"/>
      <c r="Y37" s="3597"/>
      <c r="Z37" s="1353" t="str">
        <f t="shared" si="15"/>
        <v>内部装修状况</v>
      </c>
      <c r="AA37" s="1354">
        <f t="shared" si="3"/>
        <v>1</v>
      </c>
      <c r="AB37" s="1354">
        <f t="shared" si="4"/>
        <v>1</v>
      </c>
      <c r="AC37" s="1354">
        <f t="shared" si="5"/>
        <v>1</v>
      </c>
    </row>
    <row r="38" spans="1:29" s="1038" customFormat="1" ht="14.25">
      <c r="A38" s="1042"/>
      <c r="B38" s="1356">
        <v>111</v>
      </c>
      <c r="C38" s="1357"/>
      <c r="D38" s="778">
        <v>100</v>
      </c>
      <c r="E38" s="93"/>
      <c r="F38" s="804">
        <f>SUMIF(108:108,E38,109:109)-SUMIF(108:108,C38,109:109)+100</f>
        <v>100</v>
      </c>
      <c r="G38" s="1357"/>
      <c r="H38" s="778">
        <f>SUMIF(108:108,G38,109:109)-SUMIF(108:108,C38,109:109)+100</f>
        <v>100</v>
      </c>
      <c r="I38" s="1357"/>
      <c r="J38" s="778">
        <f>SUMIF(108:108,I38,109:1038)-SUMIF(108:108,C38,109:109)+100</f>
        <v>100</v>
      </c>
      <c r="K38" s="188"/>
      <c r="L38" s="2301"/>
      <c r="M38" s="2303"/>
      <c r="N38" s="2303"/>
      <c r="O38" s="2342"/>
      <c r="P38" s="3597"/>
      <c r="Q38" s="1358">
        <f t="shared" si="11"/>
        <v>111</v>
      </c>
      <c r="R38" s="1359" t="s">
        <v>65</v>
      </c>
      <c r="S38" s="1360">
        <f t="shared" si="12"/>
        <v>100</v>
      </c>
      <c r="T38" s="1359" t="s">
        <v>65</v>
      </c>
      <c r="U38" s="1360">
        <f t="shared" si="13"/>
        <v>100</v>
      </c>
      <c r="V38" s="1359" t="s">
        <v>65</v>
      </c>
      <c r="W38" s="1360">
        <f t="shared" si="14"/>
        <v>100</v>
      </c>
      <c r="X38" s="1361"/>
      <c r="Y38" s="3597"/>
      <c r="Z38" s="1362">
        <f t="shared" si="15"/>
        <v>111</v>
      </c>
      <c r="AA38" s="1354">
        <f t="shared" si="3"/>
        <v>1</v>
      </c>
      <c r="AB38" s="1354">
        <f t="shared" si="4"/>
        <v>1</v>
      </c>
      <c r="AC38" s="1354">
        <f t="shared" si="5"/>
        <v>1</v>
      </c>
    </row>
    <row r="39" spans="1:29" ht="14.25">
      <c r="A39" s="161"/>
      <c r="B39" s="1356">
        <v>111</v>
      </c>
      <c r="C39" s="1357"/>
      <c r="D39" s="778">
        <v>100</v>
      </c>
      <c r="E39" s="93"/>
      <c r="F39" s="804">
        <f>SUMIF(110:110,E39,111:111)-SUMIF(110:110,C39,111:111)+100</f>
        <v>100</v>
      </c>
      <c r="G39" s="1357"/>
      <c r="H39" s="778">
        <f>SUMIF(110:110,G39,111:111)-SUMIF(110:110,C39,111:111)+100</f>
        <v>100</v>
      </c>
      <c r="I39" s="1357"/>
      <c r="J39" s="778">
        <f>SUMIF(110:110,I39,111:111)-SUMIF(110:110,C39,111:111)+100</f>
        <v>100</v>
      </c>
      <c r="K39" s="188"/>
      <c r="L39" s="2302"/>
      <c r="M39" s="2297"/>
      <c r="N39" s="2297"/>
      <c r="O39" s="2341"/>
      <c r="P39" s="3597"/>
      <c r="Q39" s="1350">
        <f t="shared" si="11"/>
        <v>111</v>
      </c>
      <c r="R39" s="1351" t="s">
        <v>65</v>
      </c>
      <c r="S39" s="1352">
        <f t="shared" si="12"/>
        <v>100</v>
      </c>
      <c r="T39" s="1351" t="s">
        <v>65</v>
      </c>
      <c r="U39" s="1352">
        <f t="shared" si="13"/>
        <v>100</v>
      </c>
      <c r="V39" s="1351" t="s">
        <v>65</v>
      </c>
      <c r="W39" s="1352">
        <f t="shared" si="14"/>
        <v>100</v>
      </c>
      <c r="X39" s="1339"/>
      <c r="Y39" s="3597"/>
      <c r="Z39" s="1353">
        <f t="shared" si="15"/>
        <v>111</v>
      </c>
      <c r="AA39" s="1354">
        <f t="shared" si="3"/>
        <v>1</v>
      </c>
      <c r="AB39" s="1354">
        <f t="shared" si="4"/>
        <v>1</v>
      </c>
      <c r="AC39" s="1354">
        <f t="shared" si="5"/>
        <v>1</v>
      </c>
    </row>
    <row r="40" spans="1:29" ht="15" thickBot="1">
      <c r="A40" s="162"/>
      <c r="B40" s="1031">
        <v>111</v>
      </c>
      <c r="C40" s="94"/>
      <c r="D40" s="781">
        <v>100</v>
      </c>
      <c r="E40" s="93"/>
      <c r="F40" s="782">
        <f>SUMIF(112:112,E40,113:113)-SUMIF(112:112,C40,113:113)+100</f>
        <v>100</v>
      </c>
      <c r="G40" s="1357"/>
      <c r="H40" s="781">
        <f>SUMIF(112:112,G40,113:113)-SUMIF(112:112,C40,113:113)+100</f>
        <v>100</v>
      </c>
      <c r="I40" s="1357"/>
      <c r="J40" s="781">
        <f>SUMIF(112:112,I40,113:113)-SUMIF(112:112,C40,113:113)+100</f>
        <v>100</v>
      </c>
      <c r="K40" s="188"/>
      <c r="L40" s="2302"/>
      <c r="M40" s="2297"/>
      <c r="N40" s="2297"/>
      <c r="O40" s="2341"/>
      <c r="P40" s="3598"/>
      <c r="Q40" s="1350">
        <f t="shared" si="11"/>
        <v>111</v>
      </c>
      <c r="R40" s="1351" t="s">
        <v>65</v>
      </c>
      <c r="S40" s="1352">
        <f t="shared" si="12"/>
        <v>100</v>
      </c>
      <c r="T40" s="1351" t="s">
        <v>65</v>
      </c>
      <c r="U40" s="1352">
        <f t="shared" si="13"/>
        <v>100</v>
      </c>
      <c r="V40" s="1351" t="s">
        <v>65</v>
      </c>
      <c r="W40" s="1352">
        <f t="shared" si="14"/>
        <v>100</v>
      </c>
      <c r="X40" s="1339"/>
      <c r="Y40" s="3598"/>
      <c r="Z40" s="1353">
        <f t="shared" si="15"/>
        <v>111</v>
      </c>
      <c r="AA40" s="1354">
        <f t="shared" si="3"/>
        <v>1</v>
      </c>
      <c r="AB40" s="1354">
        <f t="shared" si="4"/>
        <v>1</v>
      </c>
      <c r="AC40" s="1354">
        <f t="shared" si="5"/>
        <v>1</v>
      </c>
    </row>
    <row r="41" spans="1:29" ht="15">
      <c r="A41" s="163" t="s">
        <v>102</v>
      </c>
      <c r="B41" s="164"/>
      <c r="C41" s="2837" t="s">
        <v>23</v>
      </c>
      <c r="D41" s="2838"/>
      <c r="E41" s="2839"/>
      <c r="F41" s="2840"/>
      <c r="G41" s="2841"/>
      <c r="H41" s="2842"/>
      <c r="I41" s="2839"/>
      <c r="J41" s="2842"/>
      <c r="K41" s="1392"/>
      <c r="L41" s="2304"/>
      <c r="M41" s="2305"/>
      <c r="N41" s="2297"/>
      <c r="O41" s="2305"/>
      <c r="P41" s="3590" t="str">
        <f>A41</f>
        <v>成交单价（元/平方米）</v>
      </c>
      <c r="Q41" s="3590"/>
      <c r="R41" s="3591">
        <f>E41</f>
        <v>0</v>
      </c>
      <c r="S41" s="3591"/>
      <c r="T41" s="3591">
        <f>G41</f>
        <v>0</v>
      </c>
      <c r="U41" s="3591"/>
      <c r="V41" s="3591">
        <f>I41</f>
        <v>0</v>
      </c>
      <c r="W41" s="3591"/>
      <c r="X41" s="1364"/>
      <c r="Y41" s="1365"/>
      <c r="Z41" s="1364"/>
      <c r="AA41" s="1364"/>
      <c r="AB41" s="1364"/>
      <c r="AC41" s="1364"/>
    </row>
    <row r="42" spans="1:29" ht="15.75" thickBot="1">
      <c r="A42" s="165" t="s">
        <v>100</v>
      </c>
      <c r="B42" s="166"/>
      <c r="C42" s="2843" t="e">
        <f>R43</f>
        <v>#DIV/0!</v>
      </c>
      <c r="D42" s="2844"/>
      <c r="E42" s="2845" t="e">
        <f>R42</f>
        <v>#DIV/0!</v>
      </c>
      <c r="F42" s="2845"/>
      <c r="G42" s="2843" t="e">
        <f>T42</f>
        <v>#DIV/0!</v>
      </c>
      <c r="H42" s="2844"/>
      <c r="I42" s="2845" t="e">
        <f>V42</f>
        <v>#DIV/0!</v>
      </c>
      <c r="J42" s="2844"/>
      <c r="K42" s="1393"/>
      <c r="L42" s="2304"/>
      <c r="M42" s="2305"/>
      <c r="N42" s="2297"/>
      <c r="O42" s="2305"/>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364"/>
      <c r="Y42" s="1364"/>
      <c r="Z42" s="1364"/>
      <c r="AA42" s="1364"/>
      <c r="AB42" s="1364"/>
      <c r="AC42" s="1364"/>
    </row>
    <row r="43" spans="1:29" ht="15.75" thickBot="1">
      <c r="A43" s="115" t="s">
        <v>3022</v>
      </c>
      <c r="B43" s="116"/>
      <c r="C43" s="2847" t="e">
        <f>R43</f>
        <v>#DIV/0!</v>
      </c>
      <c r="D43" s="2847"/>
      <c r="E43" s="2847"/>
      <c r="F43" s="2847"/>
      <c r="G43" s="2847"/>
      <c r="H43" s="2847"/>
      <c r="I43" s="2847"/>
      <c r="J43" s="2847"/>
      <c r="K43" s="1394"/>
      <c r="L43" s="2304"/>
      <c r="M43" s="2305"/>
      <c r="N43" s="2305"/>
      <c r="O43" s="2305"/>
      <c r="P43" s="3587" t="str">
        <f>A43</f>
        <v>估价对象XX用房的比较价值（楼面单价，元/平方米）</v>
      </c>
      <c r="Q43" s="3588"/>
      <c r="R43" s="3589" t="e">
        <f>IF(F1="售价",ROUND(AVERAGE(R42:V42),0),ROUND(AVERAGE(R42:V42),1))</f>
        <v>#DIV/0!</v>
      </c>
      <c r="S43" s="3589"/>
      <c r="T43" s="3589"/>
      <c r="U43" s="3589"/>
      <c r="V43" s="3589"/>
      <c r="W43" s="3589"/>
      <c r="X43" s="1364"/>
      <c r="Y43" s="1364"/>
      <c r="Z43" s="1364"/>
      <c r="AA43" s="1364"/>
      <c r="AB43" s="1364"/>
      <c r="AC43" s="1364"/>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1" t="s">
        <v>127</v>
      </c>
      <c r="B51" s="1364"/>
      <c r="C51" s="1372"/>
      <c r="D51" s="1372"/>
      <c r="E51" s="1372"/>
      <c r="F51" s="1373"/>
      <c r="G51" s="1373"/>
      <c r="H51" s="1372"/>
      <c r="I51" s="1372"/>
      <c r="J51" s="1372"/>
      <c r="K51" s="2311"/>
      <c r="L51" s="2312"/>
      <c r="M51" s="2313"/>
      <c r="N51" s="2313"/>
      <c r="O51" s="2313"/>
      <c r="P51" s="120"/>
      <c r="Q51" s="121"/>
    </row>
    <row r="52" spans="1:17" s="850" customFormat="1" ht="15">
      <c r="A52" s="847" t="s">
        <v>2797</v>
      </c>
      <c r="B52" s="848"/>
      <c r="C52" s="3046" t="str">
        <f>YEAR(C7)&amp;"-"&amp;MONTH(C7)</f>
        <v>2017-7</v>
      </c>
      <c r="D52" s="3047">
        <f>EDATE(C52,-1)</f>
        <v>42887</v>
      </c>
      <c r="E52" s="3047">
        <f t="shared" ref="E52:O52" si="16">EDATE(D52,-1)</f>
        <v>42856</v>
      </c>
      <c r="F52" s="3047">
        <f t="shared" si="16"/>
        <v>42826</v>
      </c>
      <c r="G52" s="3047">
        <f t="shared" si="16"/>
        <v>42795</v>
      </c>
      <c r="H52" s="3047">
        <f t="shared" si="16"/>
        <v>42767</v>
      </c>
      <c r="I52" s="3047">
        <f t="shared" si="16"/>
        <v>42736</v>
      </c>
      <c r="J52" s="3047">
        <f t="shared" si="16"/>
        <v>42705</v>
      </c>
      <c r="K52" s="3047">
        <f t="shared" si="16"/>
        <v>42675</v>
      </c>
      <c r="L52" s="3047">
        <f t="shared" si="16"/>
        <v>42644</v>
      </c>
      <c r="M52" s="3047">
        <f t="shared" si="16"/>
        <v>42614</v>
      </c>
      <c r="N52" s="3047">
        <f t="shared" si="16"/>
        <v>42583</v>
      </c>
      <c r="O52" s="3047">
        <f t="shared" si="16"/>
        <v>42552</v>
      </c>
      <c r="P52" s="849"/>
    </row>
    <row r="53" spans="1:17" s="40" customFormat="1" ht="14.25">
      <c r="A53" s="1044"/>
      <c r="B53" s="1045"/>
      <c r="C53" s="3044">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1008</v>
      </c>
      <c r="D59" s="881" t="s">
        <v>1009</v>
      </c>
      <c r="E59" s="881" t="s">
        <v>1010</v>
      </c>
      <c r="F59" s="881" t="s">
        <v>1011</v>
      </c>
      <c r="G59" s="881" t="s">
        <v>1012</v>
      </c>
      <c r="H59" s="881" t="s">
        <v>1013</v>
      </c>
      <c r="I59" s="881" t="s">
        <v>1014</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1"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1015</v>
      </c>
      <c r="D70" s="915" t="s">
        <v>1016</v>
      </c>
      <c r="E70" s="915" t="s">
        <v>1017</v>
      </c>
      <c r="F70" s="915" t="s">
        <v>1018</v>
      </c>
      <c r="G70" s="915" t="s">
        <v>1019</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1015</v>
      </c>
      <c r="D72" s="920" t="s">
        <v>1016</v>
      </c>
      <c r="E72" s="920" t="s">
        <v>1017</v>
      </c>
      <c r="F72" s="920" t="s">
        <v>1018</v>
      </c>
      <c r="G72" s="920" t="s">
        <v>1019</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2639</v>
      </c>
      <c r="C74" s="920" t="s">
        <v>1015</v>
      </c>
      <c r="D74" s="920" t="s">
        <v>1016</v>
      </c>
      <c r="E74" s="920" t="s">
        <v>1017</v>
      </c>
      <c r="F74" s="920" t="s">
        <v>1018</v>
      </c>
      <c r="G74" s="920" t="s">
        <v>1019</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2667</v>
      </c>
      <c r="C76" s="213" t="s">
        <v>2659</v>
      </c>
      <c r="D76" s="213" t="s">
        <v>2660</v>
      </c>
      <c r="E76" s="213" t="s">
        <v>2661</v>
      </c>
      <c r="F76" s="213" t="s">
        <v>2662</v>
      </c>
      <c r="G76" s="213" t="s">
        <v>2663</v>
      </c>
      <c r="H76" s="881"/>
      <c r="I76" s="881"/>
      <c r="J76" s="881"/>
      <c r="K76" s="881"/>
      <c r="L76" s="881"/>
      <c r="M76" s="2766"/>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3"/>
      <c r="N77" s="1389"/>
      <c r="O77" s="1389"/>
      <c r="P77" s="1"/>
      <c r="Q77" s="121"/>
    </row>
    <row r="78" spans="1:17" ht="15" thickTop="1">
      <c r="A78" s="173"/>
      <c r="B78" s="1053" t="s">
        <v>149</v>
      </c>
      <c r="C78" s="920" t="s">
        <v>1015</v>
      </c>
      <c r="D78" s="920" t="s">
        <v>1016</v>
      </c>
      <c r="E78" s="920" t="s">
        <v>1017</v>
      </c>
      <c r="F78" s="920" t="s">
        <v>1018</v>
      </c>
      <c r="G78" s="920" t="s">
        <v>1019</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2641</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1015</v>
      </c>
      <c r="D106" s="920" t="s">
        <v>1016</v>
      </c>
      <c r="E106" s="920" t="s">
        <v>1017</v>
      </c>
      <c r="F106" s="920" t="s">
        <v>1018</v>
      </c>
      <c r="G106" s="920" t="s">
        <v>1019</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4" priority="16" stopIfTrue="1" operator="containsText" text="超过">
      <formula>NOT(ISERROR(SEARCH("超过",F46)))</formula>
    </cfRule>
  </conditionalFormatting>
  <conditionalFormatting sqref="H48">
    <cfRule type="containsText" dxfId="83" priority="15" stopIfTrue="1" operator="containsText" text="超过">
      <formula>NOT(ISERROR(SEARCH("超过",H48)))</formula>
    </cfRule>
  </conditionalFormatting>
  <conditionalFormatting sqref="F48">
    <cfRule type="containsText" dxfId="82" priority="14" stopIfTrue="1" operator="containsText" text="超过">
      <formula>NOT(ISERROR(SEARCH("超过",F48)))</formula>
    </cfRule>
  </conditionalFormatting>
  <conditionalFormatting sqref="F47 H47">
    <cfRule type="containsText" dxfId="81" priority="13" stopIfTrue="1" operator="containsText" text="超过">
      <formula>NOT(ISERROR(SEARCH("超过",F47)))</formula>
    </cfRule>
  </conditionalFormatting>
  <conditionalFormatting sqref="E46">
    <cfRule type="expression" dxfId="80" priority="12" stopIfTrue="1">
      <formula>$F$46="超过30%"</formula>
    </cfRule>
  </conditionalFormatting>
  <conditionalFormatting sqref="E47">
    <cfRule type="expression" dxfId="79" priority="11" stopIfTrue="1">
      <formula>$F$47="超过20%"</formula>
    </cfRule>
  </conditionalFormatting>
  <conditionalFormatting sqref="E48">
    <cfRule type="expression" dxfId="78" priority="10" stopIfTrue="1">
      <formula>$F$48="超过30%"</formula>
    </cfRule>
  </conditionalFormatting>
  <conditionalFormatting sqref="G48">
    <cfRule type="expression" dxfId="77" priority="9" stopIfTrue="1">
      <formula>$H$48="超过30%"</formula>
    </cfRule>
  </conditionalFormatting>
  <conditionalFormatting sqref="G46">
    <cfRule type="expression" dxfId="76" priority="8" stopIfTrue="1">
      <formula>$H$46="超过30%"</formula>
    </cfRule>
  </conditionalFormatting>
  <conditionalFormatting sqref="G47">
    <cfRule type="expression" dxfId="75" priority="7" stopIfTrue="1">
      <formula>$H$47="超过20%"</formula>
    </cfRule>
  </conditionalFormatting>
  <conditionalFormatting sqref="J46">
    <cfRule type="containsText" dxfId="74" priority="6" stopIfTrue="1" operator="containsText" text="超过">
      <formula>NOT(ISERROR(SEARCH("超过",J46)))</formula>
    </cfRule>
  </conditionalFormatting>
  <conditionalFormatting sqref="J48">
    <cfRule type="containsText" dxfId="73" priority="5" stopIfTrue="1" operator="containsText" text="超过">
      <formula>NOT(ISERROR(SEARCH("超过",J48)))</formula>
    </cfRule>
  </conditionalFormatting>
  <conditionalFormatting sqref="J47">
    <cfRule type="containsText" dxfId="72" priority="4" stopIfTrue="1" operator="containsText" text="超过">
      <formula>NOT(ISERROR(SEARCH("超过",J47)))</formula>
    </cfRule>
  </conditionalFormatting>
  <conditionalFormatting sqref="I46">
    <cfRule type="expression" dxfId="71" priority="3" stopIfTrue="1">
      <formula>$J$46="超过30%"</formula>
    </cfRule>
  </conditionalFormatting>
  <conditionalFormatting sqref="I47">
    <cfRule type="expression" dxfId="70" priority="2" stopIfTrue="1">
      <formula>$J$47="超过20%"</formula>
    </cfRule>
  </conditionalFormatting>
  <conditionalFormatting sqref="I48">
    <cfRule type="expression" dxfId="69"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2012</v>
      </c>
    </row>
    <row r="2" spans="1:1">
      <c r="A2" s="1947"/>
    </row>
    <row r="3" spans="1:1" ht="18.75">
      <c r="A3" s="2890" t="str">
        <f>项目基本情况!B5&amp;"："</f>
        <v>：</v>
      </c>
    </row>
    <row r="4" spans="1:1" ht="18.75">
      <c r="A4" s="1948" t="str">
        <f>"受贵公司委托，我公司对"&amp;项目基本情况!S1&amp;"进行了预评估。"</f>
        <v>受贵公司委托，我公司对房地产抵押价值进行了预评估。</v>
      </c>
    </row>
    <row r="5" spans="1:1" ht="18.75">
      <c r="A5" s="1949" t="s">
        <v>2013</v>
      </c>
    </row>
    <row r="6" spans="1:1" ht="18.75">
      <c r="A6" s="3057" t="s">
        <v>2874</v>
      </c>
    </row>
    <row r="7" spans="1:1" ht="56.2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估价对象为房地产，为所有。根据《国有土地使用证》[]，估价对象（分摊）出让国有建设用地使用权面积为1927.24平方米，建筑面积为7148.09平方米。</v>
      </c>
    </row>
    <row r="8" spans="1:1" ht="56.25">
      <c r="A8" s="1992" t="s">
        <v>2867</v>
      </c>
    </row>
    <row r="9" spans="1:1" ht="18.75">
      <c r="A9" s="3057" t="s">
        <v>2875</v>
      </c>
    </row>
    <row r="10" spans="1:1" ht="56.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估价对象为房地产,属开发建设的，该项目尚在开发建设中。根据《国有土地使用证》[]，估价对象（分摊）出让国有建设用地使用权面积为1927.24平方米，规划建筑面积为7148.09平方米。</v>
      </c>
    </row>
    <row r="11" spans="1:1" ht="75">
      <c r="A11" s="1992" t="s">
        <v>2909</v>
      </c>
    </row>
    <row r="12" spans="1:1" ht="18.75">
      <c r="A12" s="1949" t="s">
        <v>2014</v>
      </c>
    </row>
    <row r="13" spans="1:1" ht="38.25" customHeight="1">
      <c r="A13" s="1950" t="str">
        <f>IF(项目基本情况!B8="抵押",IF(项目基本情况!B5=项目基本情况!B6,定义!C51,定义!B51),定义!D51)</f>
        <v>为估价委托人在向工行新街口支行办理贷款手续过程中，确定房地产抵押贷款额度提供参考依据而评估房地产抵押价值。</v>
      </c>
    </row>
    <row r="14" spans="1:1" ht="18.75">
      <c r="A14" s="1951" t="s">
        <v>2015</v>
      </c>
    </row>
    <row r="15" spans="1:1" ht="18.75">
      <c r="A15" s="1952" t="str">
        <f>TEXT(项目基本情况!D3,"yyyy年m月d日;;")&amp;IF(项目基本情况!D3=项目基本情况!B3,"（评估专业人员实地查勘之日）","")</f>
        <v>2017年7月12日（评估专业人员实地查勘之日）</v>
      </c>
    </row>
    <row r="16" spans="1:1" ht="18.75">
      <c r="A16" s="1951" t="s">
        <v>2017</v>
      </c>
    </row>
    <row r="17" spans="1:1" ht="75">
      <c r="A17" s="1948" t="s">
        <v>2868</v>
      </c>
    </row>
    <row r="18" spans="1:1" ht="56.2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2869</v>
      </c>
    </row>
    <row r="22" spans="1:1" ht="18.75">
      <c r="A22" s="1948" t="str">
        <f>IF(项目基本情况!E9="——","",定义!C57)</f>
        <v/>
      </c>
    </row>
    <row r="23" spans="1:1" ht="18.75">
      <c r="A23" s="1951" t="s">
        <v>2032</v>
      </c>
    </row>
    <row r="24" spans="1:1" ht="18.75">
      <c r="A24" s="1955" t="str">
        <f>"本次评估采用的主估价方法为"&amp;结果表!K4&amp;"和"&amp;结果表!L4&amp;"。"</f>
        <v>本次评估采用的主估价方法为成本法和收益法。</v>
      </c>
    </row>
    <row r="25" spans="1:1" ht="18.75">
      <c r="A25" s="1955"/>
    </row>
    <row r="26" spans="1:1" ht="18.75">
      <c r="A26" s="2084" t="s">
        <v>2112</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26"/>
      <c r="C1" s="3127" t="s">
        <v>445</v>
      </c>
      <c r="D1" s="3128"/>
      <c r="E1" s="3129"/>
      <c r="F1" s="3110"/>
      <c r="G1" s="3130" t="s">
        <v>446</v>
      </c>
      <c r="H1" s="3129"/>
      <c r="I1" s="3129"/>
      <c r="J1" s="3129"/>
      <c r="K1" s="3131"/>
      <c r="L1" s="3132"/>
      <c r="M1" s="3133"/>
      <c r="N1" s="3133"/>
      <c r="O1" s="3133"/>
      <c r="P1" s="3134"/>
      <c r="Q1" s="3127"/>
      <c r="R1" s="3127"/>
      <c r="S1" s="3127"/>
      <c r="T1" s="3127"/>
      <c r="U1" s="3127"/>
      <c r="V1" s="3127"/>
      <c r="W1" s="3127"/>
      <c r="X1" s="3127"/>
      <c r="Y1" s="3127"/>
      <c r="Z1" s="3127"/>
      <c r="AA1" s="3127"/>
      <c r="AB1" s="3127"/>
      <c r="AC1" s="3135"/>
    </row>
    <row r="2" spans="1:29" s="741" customFormat="1" ht="28.5" customHeight="1" thickTop="1">
      <c r="A2" s="3124" t="s">
        <v>447</v>
      </c>
      <c r="B2" s="2848" t="e">
        <f ca="1">IF(C2="——",IF(B37="元/平方米",ROUND(C39*D3/10000,0),ROUND(F3*C39/10000,0)),IF(B37="元/平方米",ROUND(C39*D3/10000,0),ROUND(F3*C39/10000,0))-D2)</f>
        <v>#DIV/0!</v>
      </c>
      <c r="C2" s="3102"/>
      <c r="D2" s="2343" t="e">
        <f ca="1">SUMIF(INDIRECT("'"&amp;F2&amp;"'"&amp;"!A:A"),"承租人权益价值",INDIRECT("'"&amp;F2&amp;"'"&amp;"!c:c"))</f>
        <v>#REF!</v>
      </c>
      <c r="E2" s="3103" t="s">
        <v>867</v>
      </c>
      <c r="F2" s="3104"/>
      <c r="G2" s="2344"/>
      <c r="H2" s="2344"/>
      <c r="I2" s="2344"/>
      <c r="J2" s="2344"/>
      <c r="K2" s="2346"/>
      <c r="L2" s="2347"/>
      <c r="M2" s="2348"/>
      <c r="N2" s="2348"/>
      <c r="O2" s="2348"/>
      <c r="P2" s="2849"/>
      <c r="Q2" s="1315"/>
      <c r="R2" s="1315"/>
      <c r="S2" s="1315"/>
      <c r="T2" s="1315"/>
      <c r="U2" s="1315"/>
      <c r="V2" s="1315"/>
      <c r="W2" s="1315"/>
      <c r="X2" s="1315"/>
      <c r="Y2" s="1315"/>
      <c r="Z2" s="1315"/>
      <c r="AA2" s="1315"/>
      <c r="AB2" s="1315"/>
      <c r="AC2" s="1316"/>
    </row>
    <row r="3" spans="1:29" s="741" customFormat="1" ht="28.5" customHeight="1" thickBot="1">
      <c r="A3" s="579" t="s">
        <v>448</v>
      </c>
      <c r="B3" s="951" t="e">
        <f ca="1">IF(AND(C2="——",B37="元/平方米"),C39,ROUND(B2*10000/D3,0))</f>
        <v>#DIV/0!</v>
      </c>
      <c r="C3" s="743" t="s">
        <v>449</v>
      </c>
      <c r="D3" s="742">
        <f>SUMIF('数据-汇总表'!$C19:$C33,D1,'数据-汇总表'!$E19:$E33)</f>
        <v>0</v>
      </c>
      <c r="E3" s="743" t="s">
        <v>2135</v>
      </c>
      <c r="F3" s="742">
        <f>SUMIF('数据-取费表'!A5:A15,D1,'数据-取费表'!AH5:AH15)</f>
        <v>0</v>
      </c>
      <c r="G3" s="2344"/>
      <c r="H3" s="2344"/>
      <c r="I3" s="2344"/>
      <c r="J3" s="2344"/>
      <c r="K3" s="2346"/>
      <c r="L3" s="2347"/>
      <c r="M3" s="2348"/>
      <c r="N3" s="2348"/>
      <c r="O3" s="2348"/>
      <c r="P3" s="2849"/>
      <c r="Q3" s="1315"/>
      <c r="R3" s="1315"/>
      <c r="S3" s="1315"/>
      <c r="T3" s="1315"/>
      <c r="U3" s="1315"/>
      <c r="V3" s="1315"/>
      <c r="W3" s="1315"/>
      <c r="X3" s="1315"/>
      <c r="Y3" s="1315"/>
      <c r="Z3" s="1315"/>
      <c r="AA3" s="1315"/>
      <c r="AB3" s="1408"/>
      <c r="AC3" s="1398"/>
    </row>
    <row r="4" spans="1:29" ht="15">
      <c r="A4" s="744" t="s">
        <v>450</v>
      </c>
      <c r="B4" s="745"/>
      <c r="C4" s="3635" t="s">
        <v>451</v>
      </c>
      <c r="D4" s="3636"/>
      <c r="E4" s="3637" t="s">
        <v>452</v>
      </c>
      <c r="F4" s="3638"/>
      <c r="G4" s="3635" t="s">
        <v>453</v>
      </c>
      <c r="H4" s="3636"/>
      <c r="I4" s="3635" t="s">
        <v>454</v>
      </c>
      <c r="J4" s="3636"/>
      <c r="K4" s="952" t="s">
        <v>455</v>
      </c>
      <c r="L4" s="2349"/>
      <c r="M4" s="2350"/>
      <c r="N4" s="2350"/>
      <c r="O4" s="2350"/>
      <c r="P4" s="3639" t="s">
        <v>456</v>
      </c>
      <c r="Q4" s="3640"/>
      <c r="R4" s="3622" t="s">
        <v>452</v>
      </c>
      <c r="S4" s="3623"/>
      <c r="T4" s="3622" t="s">
        <v>453</v>
      </c>
      <c r="U4" s="3623"/>
      <c r="V4" s="3647" t="s">
        <v>454</v>
      </c>
      <c r="W4" s="3647"/>
      <c r="X4" s="2834"/>
      <c r="Y4" s="3622" t="s">
        <v>456</v>
      </c>
      <c r="Z4" s="3623"/>
      <c r="AA4" s="3617" t="s">
        <v>452</v>
      </c>
      <c r="AB4" s="3618" t="s">
        <v>453</v>
      </c>
      <c r="AC4" s="3617" t="s">
        <v>454</v>
      </c>
    </row>
    <row r="5" spans="1:29" ht="15">
      <c r="A5" s="747"/>
      <c r="B5" s="748"/>
      <c r="C5" s="3628" t="s">
        <v>3023</v>
      </c>
      <c r="D5" s="3629"/>
      <c r="E5" s="3626" t="s">
        <v>3024</v>
      </c>
      <c r="F5" s="3627"/>
      <c r="G5" s="3628" t="s">
        <v>3025</v>
      </c>
      <c r="H5" s="3629"/>
      <c r="I5" s="3628" t="s">
        <v>3026</v>
      </c>
      <c r="J5" s="3629"/>
      <c r="K5" s="952"/>
      <c r="L5" s="2349"/>
      <c r="M5" s="2350"/>
      <c r="N5" s="2350"/>
      <c r="O5" s="2350"/>
      <c r="P5" s="3641"/>
      <c r="Q5" s="3642"/>
      <c r="R5" s="3624"/>
      <c r="S5" s="3625"/>
      <c r="T5" s="3624"/>
      <c r="U5" s="3625"/>
      <c r="V5" s="3647"/>
      <c r="W5" s="3647"/>
      <c r="X5" s="2834"/>
      <c r="Y5" s="3624"/>
      <c r="Z5" s="3625"/>
      <c r="AA5" s="3618"/>
      <c r="AB5" s="3618"/>
      <c r="AC5" s="3618"/>
    </row>
    <row r="6" spans="1:29" ht="15.75" thickBot="1">
      <c r="A6" s="749"/>
      <c r="B6" s="750"/>
      <c r="C6" s="3630" t="s">
        <v>3027</v>
      </c>
      <c r="D6" s="3631"/>
      <c r="E6" s="3632" t="s">
        <v>3027</v>
      </c>
      <c r="F6" s="3633"/>
      <c r="G6" s="3630" t="s">
        <v>3027</v>
      </c>
      <c r="H6" s="3631"/>
      <c r="I6" s="3630" t="s">
        <v>3027</v>
      </c>
      <c r="J6" s="3631"/>
      <c r="K6" s="952" t="s">
        <v>398</v>
      </c>
      <c r="L6" s="2349"/>
      <c r="M6" s="2350"/>
      <c r="N6" s="2350"/>
      <c r="O6" s="2350"/>
      <c r="P6" s="3643"/>
      <c r="Q6" s="3644"/>
      <c r="R6" s="3624"/>
      <c r="S6" s="3625"/>
      <c r="T6" s="3645"/>
      <c r="U6" s="3646"/>
      <c r="V6" s="3647"/>
      <c r="W6" s="3647"/>
      <c r="X6" s="2834"/>
      <c r="Y6" s="3645"/>
      <c r="Z6" s="3646"/>
      <c r="AA6" s="3619"/>
      <c r="AB6" s="3619"/>
      <c r="AC6" s="3619"/>
    </row>
    <row r="7" spans="1:29" s="407" customFormat="1" ht="15.75" thickBot="1">
      <c r="A7" s="751" t="s">
        <v>399</v>
      </c>
      <c r="B7" s="752"/>
      <c r="C7" s="753">
        <f>'数据-取费表'!B2</f>
        <v>42928</v>
      </c>
      <c r="D7" s="754">
        <v>100</v>
      </c>
      <c r="E7" s="755"/>
      <c r="F7" s="756">
        <f>SUMIF(48:48,YEAR(E7)&amp;"-"&amp;MONTH(E7),49:49)</f>
        <v>0</v>
      </c>
      <c r="G7" s="755"/>
      <c r="H7" s="754">
        <f>SUMIF(48:48,YEAR(G7)&amp;"-"&amp;MONTH(G7),49:49)</f>
        <v>0</v>
      </c>
      <c r="I7" s="755"/>
      <c r="J7" s="754">
        <f>SUMIF(48:48,YEAR(I7)&amp;"-"&amp;MONTH(I7),49:49)</f>
        <v>0</v>
      </c>
      <c r="K7" s="953"/>
      <c r="L7" s="2351"/>
      <c r="M7" s="2352"/>
      <c r="N7" s="2352"/>
      <c r="O7" s="2352"/>
      <c r="P7" s="3620" t="s">
        <v>400</v>
      </c>
      <c r="Q7" s="3648"/>
      <c r="R7" s="1318" t="s">
        <v>65</v>
      </c>
      <c r="S7" s="1319">
        <f t="shared" ref="S7:S14" si="0">F7</f>
        <v>0</v>
      </c>
      <c r="T7" s="1318" t="s">
        <v>65</v>
      </c>
      <c r="U7" s="1319">
        <f t="shared" ref="U7:U14" si="1">H7</f>
        <v>0</v>
      </c>
      <c r="V7" s="1318" t="s">
        <v>65</v>
      </c>
      <c r="W7" s="1319">
        <f t="shared" ref="W7:W14" si="2">J7</f>
        <v>0</v>
      </c>
      <c r="X7" s="1320"/>
      <c r="Y7" s="3620" t="s">
        <v>400</v>
      </c>
      <c r="Z7" s="3621"/>
      <c r="AA7" s="1321" t="e">
        <f>D7/F7</f>
        <v>#DIV/0!</v>
      </c>
      <c r="AB7" s="1321" t="e">
        <f>D7/H7</f>
        <v>#DIV/0!</v>
      </c>
      <c r="AC7" s="1321"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3"/>
      <c r="L8" s="2351"/>
      <c r="M8" s="2352"/>
      <c r="N8" s="2352"/>
      <c r="O8" s="2352"/>
      <c r="P8" s="3620" t="s">
        <v>436</v>
      </c>
      <c r="Q8" s="3621"/>
      <c r="R8" s="1318" t="s">
        <v>65</v>
      </c>
      <c r="S8" s="1319">
        <f t="shared" si="0"/>
        <v>0</v>
      </c>
      <c r="T8" s="1318" t="s">
        <v>65</v>
      </c>
      <c r="U8" s="1319">
        <f t="shared" si="1"/>
        <v>0</v>
      </c>
      <c r="V8" s="1318" t="s">
        <v>65</v>
      </c>
      <c r="W8" s="1319">
        <f t="shared" si="2"/>
        <v>0</v>
      </c>
      <c r="X8" s="1320"/>
      <c r="Y8" s="3620" t="s">
        <v>436</v>
      </c>
      <c r="Z8" s="3621"/>
      <c r="AA8" s="1321" t="e">
        <f t="shared" ref="AA8:AA36" si="3">D8/F8</f>
        <v>#DIV/0!</v>
      </c>
      <c r="AB8" s="1321" t="e">
        <f t="shared" ref="AB8:AB36" si="4">D8/H8</f>
        <v>#DIV/0!</v>
      </c>
      <c r="AC8" s="1321" t="e">
        <f t="shared" ref="AC8:AC36" si="5">D8/J8</f>
        <v>#DIV/0!</v>
      </c>
    </row>
    <row r="9" spans="1:29" s="407" customFormat="1">
      <c r="A9" s="358" t="s">
        <v>402</v>
      </c>
      <c r="B9" s="982" t="s">
        <v>420</v>
      </c>
      <c r="C9" s="759"/>
      <c r="D9" s="425">
        <v>100</v>
      </c>
      <c r="E9" s="762"/>
      <c r="F9" s="425">
        <f>SUMIF(53:53,E9,54:54)-SUMIF(53:53,C9,54:54)+100</f>
        <v>100</v>
      </c>
      <c r="G9" s="760"/>
      <c r="H9" s="425">
        <f>SUMIF(53:53,G9,54:54)-SUMIF(53:53,C9,54:54)+100</f>
        <v>100</v>
      </c>
      <c r="I9" s="760"/>
      <c r="J9" s="425">
        <f>SUMIF(53:53,I9,54:54)-SUMIF(53:53,C9,54:54)+100</f>
        <v>100</v>
      </c>
      <c r="K9" s="953"/>
      <c r="L9" s="2351"/>
      <c r="M9" s="2352"/>
      <c r="N9" s="2352"/>
      <c r="O9" s="2352"/>
      <c r="P9" s="3634" t="s">
        <v>403</v>
      </c>
      <c r="Q9" s="2833" t="str">
        <f t="shared" ref="Q9:Q14" si="6">B9</f>
        <v>用途</v>
      </c>
      <c r="R9" s="1318" t="s">
        <v>65</v>
      </c>
      <c r="S9" s="1319">
        <f t="shared" si="0"/>
        <v>100</v>
      </c>
      <c r="T9" s="1318" t="s">
        <v>65</v>
      </c>
      <c r="U9" s="1319">
        <f t="shared" si="1"/>
        <v>100</v>
      </c>
      <c r="V9" s="1318" t="s">
        <v>65</v>
      </c>
      <c r="W9" s="1319">
        <f t="shared" si="2"/>
        <v>100</v>
      </c>
      <c r="X9" s="1320"/>
      <c r="Y9" s="3505" t="s">
        <v>404</v>
      </c>
      <c r="Z9" s="344" t="str">
        <f t="shared" ref="Z9:Z14" si="7">Q9</f>
        <v>用途</v>
      </c>
      <c r="AA9" s="1321">
        <f t="shared" si="3"/>
        <v>1</v>
      </c>
      <c r="AB9" s="1321">
        <f t="shared" si="4"/>
        <v>1</v>
      </c>
      <c r="AC9" s="1321">
        <f t="shared" si="5"/>
        <v>1</v>
      </c>
    </row>
    <row r="10" spans="1:29" s="770" customFormat="1" ht="27">
      <c r="A10" s="983"/>
      <c r="B10" s="984" t="s">
        <v>405</v>
      </c>
      <c r="C10" s="766"/>
      <c r="D10" s="426">
        <v>100</v>
      </c>
      <c r="E10" s="766"/>
      <c r="F10" s="426">
        <f>SUMIF(55:55,E10,56:56)-SUMIF(55:55,C10,56:56)+100</f>
        <v>100</v>
      </c>
      <c r="G10" s="767"/>
      <c r="H10" s="426">
        <f>SUMIF(55:55,G10,56:56)-SUMIF(55:55,C10,56:56)+100</f>
        <v>100</v>
      </c>
      <c r="I10" s="766"/>
      <c r="J10" s="426">
        <f>SUMIF(55:55,I10,56:56)-SUMIF(55:55,C10,56:56)+100</f>
        <v>100</v>
      </c>
      <c r="K10" s="954"/>
      <c r="L10" s="2354"/>
      <c r="M10" s="2355"/>
      <c r="N10" s="2355"/>
      <c r="O10" s="2355"/>
      <c r="P10" s="3634"/>
      <c r="Q10" s="2833" t="str">
        <f t="shared" si="6"/>
        <v>土地使用年限（年）</v>
      </c>
      <c r="R10" s="1318" t="s">
        <v>65</v>
      </c>
      <c r="S10" s="1319">
        <f t="shared" si="0"/>
        <v>100</v>
      </c>
      <c r="T10" s="1318" t="s">
        <v>65</v>
      </c>
      <c r="U10" s="1319">
        <f t="shared" si="1"/>
        <v>100</v>
      </c>
      <c r="V10" s="1318" t="s">
        <v>65</v>
      </c>
      <c r="W10" s="1319">
        <f t="shared" si="2"/>
        <v>100</v>
      </c>
      <c r="X10" s="1320"/>
      <c r="Y10" s="3505"/>
      <c r="Z10" s="344" t="str">
        <f t="shared" si="7"/>
        <v>土地使用年限（年）</v>
      </c>
      <c r="AA10" s="1321">
        <f t="shared" si="3"/>
        <v>1</v>
      </c>
      <c r="AB10" s="1321">
        <f t="shared" si="4"/>
        <v>1</v>
      </c>
      <c r="AC10" s="1321">
        <f t="shared" si="5"/>
        <v>1</v>
      </c>
    </row>
    <row r="11" spans="1:29" ht="15">
      <c r="A11" s="985"/>
      <c r="B11" s="986">
        <v>111</v>
      </c>
      <c r="C11" s="775"/>
      <c r="D11" s="426">
        <v>100</v>
      </c>
      <c r="E11" s="775"/>
      <c r="F11" s="426">
        <f>SUMIF(57:57,E11,58:58)-SUMIF(57:57,C11,58:58)+100</f>
        <v>100</v>
      </c>
      <c r="G11" s="775"/>
      <c r="H11" s="426">
        <f>SUMIF(57:57,G11,58:58)-SUMIF(57:57,C11,58:58)+100</f>
        <v>100</v>
      </c>
      <c r="I11" s="775"/>
      <c r="J11" s="426">
        <f>SUMIF(57:57,I11,58:58)-SUMIF(57:57,C11,58:58)+100</f>
        <v>100</v>
      </c>
      <c r="K11" s="955"/>
      <c r="L11" s="2357"/>
      <c r="M11" s="2350"/>
      <c r="N11" s="2350"/>
      <c r="O11" s="2350"/>
      <c r="P11" s="3634"/>
      <c r="Q11" s="2833">
        <f t="shared" si="6"/>
        <v>111</v>
      </c>
      <c r="R11" s="1318" t="s">
        <v>65</v>
      </c>
      <c r="S11" s="1319">
        <f t="shared" si="0"/>
        <v>100</v>
      </c>
      <c r="T11" s="1318" t="s">
        <v>65</v>
      </c>
      <c r="U11" s="1319">
        <f t="shared" si="1"/>
        <v>100</v>
      </c>
      <c r="V11" s="1318" t="s">
        <v>65</v>
      </c>
      <c r="W11" s="1319">
        <f t="shared" si="2"/>
        <v>100</v>
      </c>
      <c r="X11" s="1320"/>
      <c r="Y11" s="3505"/>
      <c r="Z11" s="344">
        <f t="shared" si="7"/>
        <v>111</v>
      </c>
      <c r="AA11" s="1321">
        <f t="shared" si="3"/>
        <v>1</v>
      </c>
      <c r="AB11" s="1321">
        <f t="shared" si="4"/>
        <v>1</v>
      </c>
      <c r="AC11" s="1321">
        <f t="shared" si="5"/>
        <v>1</v>
      </c>
    </row>
    <row r="12" spans="1:29" s="407" customFormat="1" ht="15">
      <c r="A12" s="987"/>
      <c r="B12" s="986">
        <v>111</v>
      </c>
      <c r="C12" s="775"/>
      <c r="D12" s="776">
        <v>100</v>
      </c>
      <c r="E12" s="775"/>
      <c r="F12" s="426">
        <f>SUMIF(59:59,E12,60:60)-SUMIF(59:59,C12,60:60)+100</f>
        <v>100</v>
      </c>
      <c r="G12" s="775"/>
      <c r="H12" s="426">
        <f>SUMIF(59:59,G12,60:60)-SUMIF(59:59,C12,60:60)+100</f>
        <v>100</v>
      </c>
      <c r="I12" s="775"/>
      <c r="J12" s="426">
        <f>SUMIF(59:59,I12,60:60)-SUMIF(59:59,C12,60:60)+100</f>
        <v>100</v>
      </c>
      <c r="K12" s="955"/>
      <c r="L12" s="2351"/>
      <c r="M12" s="2352"/>
      <c r="N12" s="2352"/>
      <c r="O12" s="2352"/>
      <c r="P12" s="3634"/>
      <c r="Q12" s="2833">
        <f t="shared" si="6"/>
        <v>111</v>
      </c>
      <c r="R12" s="1318" t="s">
        <v>65</v>
      </c>
      <c r="S12" s="1319">
        <f t="shared" si="0"/>
        <v>100</v>
      </c>
      <c r="T12" s="1318" t="s">
        <v>65</v>
      </c>
      <c r="U12" s="1319">
        <f t="shared" si="1"/>
        <v>100</v>
      </c>
      <c r="V12" s="1318" t="s">
        <v>65</v>
      </c>
      <c r="W12" s="1319">
        <f t="shared" si="2"/>
        <v>100</v>
      </c>
      <c r="X12" s="1320"/>
      <c r="Y12" s="3505"/>
      <c r="Z12" s="344">
        <f t="shared" si="7"/>
        <v>111</v>
      </c>
      <c r="AA12" s="1321">
        <f>D12/F12</f>
        <v>1</v>
      </c>
      <c r="AB12" s="1321">
        <f>D12/H12</f>
        <v>1</v>
      </c>
      <c r="AC12" s="1321">
        <f>D12/J12</f>
        <v>1</v>
      </c>
    </row>
    <row r="13" spans="1:29" ht="15.75" thickBot="1">
      <c r="A13" s="988"/>
      <c r="B13" s="986">
        <v>111</v>
      </c>
      <c r="C13" s="777"/>
      <c r="D13" s="778">
        <v>100</v>
      </c>
      <c r="E13" s="775"/>
      <c r="F13" s="426">
        <f>SUMIF(61:61,E13,62:62)-SUMIF(61:61,C13,62:62)+100</f>
        <v>100</v>
      </c>
      <c r="G13" s="775"/>
      <c r="H13" s="778">
        <f>SUMIF(61:61,G13,62:62)-SUMIF(61:61,C13,62:62)+100</f>
        <v>100</v>
      </c>
      <c r="I13" s="775"/>
      <c r="J13" s="778">
        <f>SUMIF(61:61,I13,62:62)-SUMIF(61:61,C13,62:62)+100</f>
        <v>100</v>
      </c>
      <c r="K13" s="955"/>
      <c r="L13" s="2359"/>
      <c r="M13" s="2350"/>
      <c r="N13" s="2350"/>
      <c r="O13" s="2350"/>
      <c r="P13" s="3634"/>
      <c r="Q13" s="2833">
        <f t="shared" si="6"/>
        <v>111</v>
      </c>
      <c r="R13" s="1318" t="s">
        <v>65</v>
      </c>
      <c r="S13" s="1319">
        <f t="shared" si="0"/>
        <v>100</v>
      </c>
      <c r="T13" s="1318" t="s">
        <v>65</v>
      </c>
      <c r="U13" s="1319">
        <f t="shared" si="1"/>
        <v>100</v>
      </c>
      <c r="V13" s="1318" t="s">
        <v>65</v>
      </c>
      <c r="W13" s="1319">
        <f t="shared" si="2"/>
        <v>100</v>
      </c>
      <c r="X13" s="1320"/>
      <c r="Y13" s="3505"/>
      <c r="Z13" s="344">
        <f t="shared" si="7"/>
        <v>111</v>
      </c>
      <c r="AA13" s="1321">
        <f t="shared" si="3"/>
        <v>1</v>
      </c>
      <c r="AB13" s="1321">
        <f t="shared" si="4"/>
        <v>1</v>
      </c>
      <c r="AC13" s="1321">
        <f t="shared" si="5"/>
        <v>1</v>
      </c>
    </row>
    <row r="14" spans="1:29" ht="148.5">
      <c r="A14" s="744" t="s">
        <v>407</v>
      </c>
      <c r="B14" s="971" t="s">
        <v>457</v>
      </c>
      <c r="C14" s="212" t="str">
        <f>IF(B1="工业",估价对象房地状况!G4,估价对象房地状况!C6)</f>
        <v>估价对象周边有308、335等公交线路及地铁1号线，公共交通通达情况较好；项目自身有停车位、停车便捷程度较好，综合评价交通便捷度较好</v>
      </c>
      <c r="D14" s="784">
        <v>100</v>
      </c>
      <c r="E14" s="785"/>
      <c r="F14" s="786">
        <f>SUMIF(63:63,E15,64:64)-SUMIF(63:63,C15,64:64)+100</f>
        <v>100</v>
      </c>
      <c r="G14" s="787"/>
      <c r="H14" s="784">
        <f>SUMIF(63:63,G15,64:64)-SUMIF(63:63,C15,64:64)+100</f>
        <v>100</v>
      </c>
      <c r="I14" s="785"/>
      <c r="J14" s="784">
        <f>SUMIF(63:63,I15,64:64)-SUMIF(63:63,C15,64:64)+100</f>
        <v>100</v>
      </c>
      <c r="K14" s="956"/>
      <c r="L14" s="2359"/>
      <c r="M14" s="2350"/>
      <c r="N14" s="2350"/>
      <c r="O14" s="2350"/>
      <c r="P14" s="3649" t="s">
        <v>408</v>
      </c>
      <c r="Q14" s="2835" t="str">
        <f t="shared" si="6"/>
        <v>交通便捷度</v>
      </c>
      <c r="R14" s="1323" t="s">
        <v>65</v>
      </c>
      <c r="S14" s="1324">
        <f t="shared" si="0"/>
        <v>100</v>
      </c>
      <c r="T14" s="1323" t="s">
        <v>65</v>
      </c>
      <c r="U14" s="1324">
        <f t="shared" si="1"/>
        <v>100</v>
      </c>
      <c r="V14" s="1323" t="s">
        <v>65</v>
      </c>
      <c r="W14" s="1324">
        <f t="shared" si="2"/>
        <v>100</v>
      </c>
      <c r="X14" s="2834"/>
      <c r="Y14" s="3649" t="s">
        <v>408</v>
      </c>
      <c r="Z14" s="2836" t="str">
        <f t="shared" si="7"/>
        <v>交通便捷度</v>
      </c>
      <c r="AA14" s="1326">
        <f t="shared" si="3"/>
        <v>1</v>
      </c>
      <c r="AB14" s="1326">
        <f t="shared" si="4"/>
        <v>1</v>
      </c>
      <c r="AC14" s="1326">
        <f t="shared" si="5"/>
        <v>1</v>
      </c>
    </row>
    <row r="15" spans="1:29" ht="15">
      <c r="A15" s="747"/>
      <c r="B15" s="989"/>
      <c r="C15" s="97"/>
      <c r="D15" s="791"/>
      <c r="E15" s="790"/>
      <c r="F15" s="792"/>
      <c r="G15" s="790"/>
      <c r="H15" s="793"/>
      <c r="I15" s="790"/>
      <c r="J15" s="791"/>
      <c r="K15" s="957"/>
      <c r="L15" s="2359"/>
      <c r="M15" s="2350"/>
      <c r="N15" s="2350"/>
      <c r="O15" s="2350"/>
      <c r="P15" s="3650"/>
      <c r="Q15" s="2835"/>
      <c r="R15" s="1323"/>
      <c r="S15" s="1324"/>
      <c r="T15" s="1323"/>
      <c r="U15" s="1324"/>
      <c r="V15" s="1323"/>
      <c r="W15" s="1324"/>
      <c r="X15" s="2834"/>
      <c r="Y15" s="3650"/>
      <c r="Z15" s="2836"/>
      <c r="AA15" s="1326">
        <v>1</v>
      </c>
      <c r="AB15" s="1326">
        <v>1</v>
      </c>
      <c r="AC15" s="1326">
        <v>1</v>
      </c>
    </row>
    <row r="16" spans="1:29" ht="54">
      <c r="A16" s="747"/>
      <c r="B16" s="1033" t="s">
        <v>2668</v>
      </c>
      <c r="C16" s="158" t="str">
        <f>IF(B1="工业",估价对象房地状况!G5,估价对象房地状况!C7)</f>
        <v>估价对象所在区域公共配套设施齐备度较好</v>
      </c>
      <c r="D16" s="798">
        <v>100</v>
      </c>
      <c r="E16" s="800"/>
      <c r="F16" s="801">
        <f>SUMIF(65:65,E17,66:66)-SUMIF(65:65,C17,66:66)+100</f>
        <v>100</v>
      </c>
      <c r="G16" s="802"/>
      <c r="H16" s="798">
        <f>SUMIF(65:65,G17,66:66)-SUMIF(65:65,C17,66:66)+100</f>
        <v>100</v>
      </c>
      <c r="I16" s="800"/>
      <c r="J16" s="798">
        <f>SUMIF(65:65,I17,66:66)-SUMIF(65:65,C17,66:66)+100</f>
        <v>100</v>
      </c>
      <c r="K16" s="956"/>
      <c r="L16" s="2359"/>
      <c r="M16" s="2350"/>
      <c r="N16" s="2350"/>
      <c r="O16" s="2350"/>
      <c r="P16" s="3650"/>
      <c r="Q16" s="2835" t="str">
        <f>B16</f>
        <v>公共配套设施</v>
      </c>
      <c r="R16" s="1323" t="s">
        <v>65</v>
      </c>
      <c r="S16" s="1324">
        <f>F16</f>
        <v>100</v>
      </c>
      <c r="T16" s="1323" t="s">
        <v>65</v>
      </c>
      <c r="U16" s="1324">
        <f>H16</f>
        <v>100</v>
      </c>
      <c r="V16" s="1323" t="s">
        <v>65</v>
      </c>
      <c r="W16" s="1324">
        <f>J16</f>
        <v>100</v>
      </c>
      <c r="X16" s="2834"/>
      <c r="Y16" s="3650"/>
      <c r="Z16" s="2836" t="str">
        <f>Q16</f>
        <v>公共配套设施</v>
      </c>
      <c r="AA16" s="1326">
        <f t="shared" si="3"/>
        <v>1</v>
      </c>
      <c r="AB16" s="1326">
        <f t="shared" si="4"/>
        <v>1</v>
      </c>
      <c r="AC16" s="1326">
        <f t="shared" si="5"/>
        <v>1</v>
      </c>
    </row>
    <row r="17" spans="1:29" ht="15">
      <c r="A17" s="747"/>
      <c r="B17" s="974"/>
      <c r="C17" s="102"/>
      <c r="D17" s="791"/>
      <c r="E17" s="790"/>
      <c r="F17" s="792"/>
      <c r="G17" s="790"/>
      <c r="H17" s="791"/>
      <c r="I17" s="790"/>
      <c r="J17" s="791"/>
      <c r="K17" s="957"/>
      <c r="L17" s="2359"/>
      <c r="M17" s="2350"/>
      <c r="N17" s="2350"/>
      <c r="O17" s="2350"/>
      <c r="P17" s="3650"/>
      <c r="Q17" s="2835"/>
      <c r="R17" s="1323"/>
      <c r="S17" s="1324"/>
      <c r="T17" s="1323"/>
      <c r="U17" s="1324"/>
      <c r="V17" s="1323"/>
      <c r="W17" s="1324"/>
      <c r="X17" s="2834"/>
      <c r="Y17" s="3650"/>
      <c r="Z17" s="2836"/>
      <c r="AA17" s="1326">
        <v>1</v>
      </c>
      <c r="AB17" s="1326">
        <v>1</v>
      </c>
      <c r="AC17" s="1326">
        <v>1</v>
      </c>
    </row>
    <row r="18" spans="1:29" ht="40.5">
      <c r="A18" s="747"/>
      <c r="B18" s="1035" t="s">
        <v>2667</v>
      </c>
      <c r="C18" s="158" t="str">
        <f>IF(B1="工业",估价对象房地状况!G6,估价对象房地状况!C8)</f>
        <v>估价对象所在区域基础设施水平七通一平</v>
      </c>
      <c r="D18" s="793">
        <v>100</v>
      </c>
      <c r="E18" s="795"/>
      <c r="F18" s="801">
        <f>SUMIF(67:67,E19,68:68)-SUMIF(67:67,C19,68:68)+100</f>
        <v>100</v>
      </c>
      <c r="G18" s="797"/>
      <c r="H18" s="798">
        <f>SUMIF(67:67,G19,68:68)-SUMIF(67:67,C19,68:68)+100</f>
        <v>100</v>
      </c>
      <c r="I18" s="795"/>
      <c r="J18" s="798">
        <f>SUMIF(67:67,I19,68:68)-SUMIF(67:67,C19,68:68)+100</f>
        <v>100</v>
      </c>
      <c r="K18" s="956"/>
      <c r="L18" s="2359"/>
      <c r="M18" s="2350"/>
      <c r="N18" s="2350"/>
      <c r="O18" s="2350"/>
      <c r="P18" s="3650"/>
      <c r="Q18" s="2835" t="str">
        <f>B18</f>
        <v>基础设施水平</v>
      </c>
      <c r="R18" s="1323" t="s">
        <v>65</v>
      </c>
      <c r="S18" s="1324">
        <f>F18</f>
        <v>100</v>
      </c>
      <c r="T18" s="1323" t="s">
        <v>65</v>
      </c>
      <c r="U18" s="1324">
        <f>H18</f>
        <v>100</v>
      </c>
      <c r="V18" s="1323" t="s">
        <v>65</v>
      </c>
      <c r="W18" s="1324">
        <f>J18</f>
        <v>100</v>
      </c>
      <c r="X18" s="2834"/>
      <c r="Y18" s="3650"/>
      <c r="Z18" s="2836" t="str">
        <f>Q18</f>
        <v>基础设施水平</v>
      </c>
      <c r="AA18" s="1326">
        <f t="shared" ref="AA18" si="8">D18/F18</f>
        <v>1</v>
      </c>
      <c r="AB18" s="1326">
        <f t="shared" ref="AB18" si="9">D18/H18</f>
        <v>1</v>
      </c>
      <c r="AC18" s="1326">
        <f t="shared" ref="AC18" si="10">D18/J18</f>
        <v>1</v>
      </c>
    </row>
    <row r="19" spans="1:29" ht="15">
      <c r="A19" s="747"/>
      <c r="B19" s="975"/>
      <c r="C19" s="102"/>
      <c r="D19" s="793"/>
      <c r="E19" s="102"/>
      <c r="F19" s="796"/>
      <c r="G19" s="102"/>
      <c r="H19" s="791"/>
      <c r="I19" s="97"/>
      <c r="J19" s="791"/>
      <c r="K19" s="2768"/>
      <c r="L19" s="2359"/>
      <c r="M19" s="2350"/>
      <c r="N19" s="2350"/>
      <c r="O19" s="2350"/>
      <c r="P19" s="3650"/>
      <c r="Q19" s="2835"/>
      <c r="R19" s="1323"/>
      <c r="S19" s="1324"/>
      <c r="T19" s="1323"/>
      <c r="U19" s="1324"/>
      <c r="V19" s="1323"/>
      <c r="W19" s="1324"/>
      <c r="X19" s="2834"/>
      <c r="Y19" s="3650"/>
      <c r="Z19" s="2836"/>
      <c r="AA19" s="1326">
        <v>1</v>
      </c>
      <c r="AB19" s="1326">
        <v>1</v>
      </c>
      <c r="AC19" s="1326">
        <v>1</v>
      </c>
    </row>
    <row r="20" spans="1:29" ht="94.5">
      <c r="A20" s="747"/>
      <c r="B20" s="973" t="s">
        <v>458</v>
      </c>
      <c r="C20" s="158" t="str">
        <f>IF(B1="工业",估价对象房地状况!G7,估价对象房地状况!C9)</f>
        <v>区域自然环境：五棵松公园等；人文环境：国家开发大学五棵松校区；综合评价环境状况较好</v>
      </c>
      <c r="D20" s="798">
        <v>100</v>
      </c>
      <c r="E20" s="800"/>
      <c r="F20" s="801">
        <f>SUMIF(69:69,E21,70:70)-SUMIF(69:69,C21,70:70)+100</f>
        <v>100</v>
      </c>
      <c r="G20" s="802"/>
      <c r="H20" s="793">
        <f>SUMIF(69:69,G21,70:70)-SUMIF(69:69,C21,70:70)+100</f>
        <v>100</v>
      </c>
      <c r="I20" s="795"/>
      <c r="J20" s="793">
        <f>SUMIF(69:69,I21,70:70)-SUMIF(69:69,C21,70:70)+100</f>
        <v>100</v>
      </c>
      <c r="K20" s="956"/>
      <c r="L20" s="2359"/>
      <c r="M20" s="2350"/>
      <c r="N20" s="2350"/>
      <c r="O20" s="2350"/>
      <c r="P20" s="3650"/>
      <c r="Q20" s="2835" t="str">
        <f>B20</f>
        <v>自然及人文环境</v>
      </c>
      <c r="R20" s="1323" t="s">
        <v>65</v>
      </c>
      <c r="S20" s="1324">
        <f>F20</f>
        <v>100</v>
      </c>
      <c r="T20" s="1323" t="s">
        <v>65</v>
      </c>
      <c r="U20" s="1324">
        <f>H20</f>
        <v>100</v>
      </c>
      <c r="V20" s="1323" t="s">
        <v>65</v>
      </c>
      <c r="W20" s="1324">
        <f>J20</f>
        <v>100</v>
      </c>
      <c r="X20" s="2834"/>
      <c r="Y20" s="3650"/>
      <c r="Z20" s="2836" t="str">
        <f>Q20</f>
        <v>自然及人文环境</v>
      </c>
      <c r="AA20" s="1326">
        <f t="shared" si="3"/>
        <v>1</v>
      </c>
      <c r="AB20" s="1326">
        <f t="shared" si="4"/>
        <v>1</v>
      </c>
      <c r="AC20" s="1326">
        <f t="shared" si="5"/>
        <v>1</v>
      </c>
    </row>
    <row r="21" spans="1:29" ht="15">
      <c r="A21" s="747"/>
      <c r="B21" s="974"/>
      <c r="C21" s="790"/>
      <c r="D21" s="791"/>
      <c r="E21" s="790"/>
      <c r="F21" s="792"/>
      <c r="G21" s="790"/>
      <c r="H21" s="791"/>
      <c r="I21" s="790"/>
      <c r="J21" s="791"/>
      <c r="K21" s="957"/>
      <c r="L21" s="2359"/>
      <c r="M21" s="2350"/>
      <c r="N21" s="2350"/>
      <c r="O21" s="2350"/>
      <c r="P21" s="3650"/>
      <c r="Q21" s="2835"/>
      <c r="R21" s="1323"/>
      <c r="S21" s="1324"/>
      <c r="T21" s="1323"/>
      <c r="U21" s="1324"/>
      <c r="V21" s="1323"/>
      <c r="W21" s="1324"/>
      <c r="X21" s="2834"/>
      <c r="Y21" s="3650"/>
      <c r="Z21" s="2836"/>
      <c r="AA21" s="1326">
        <v>1</v>
      </c>
      <c r="AB21" s="1326">
        <v>1</v>
      </c>
      <c r="AC21" s="1326">
        <v>1</v>
      </c>
    </row>
    <row r="22" spans="1:29" ht="15">
      <c r="A22" s="747"/>
      <c r="B22" s="973" t="s">
        <v>459</v>
      </c>
      <c r="C22" s="958"/>
      <c r="D22" s="793">
        <v>100</v>
      </c>
      <c r="E22" s="958"/>
      <c r="F22" s="804">
        <f>SUMIF(71:71,E22,72:72)-SUMIF(71:71,C22,72:72)+100</f>
        <v>100</v>
      </c>
      <c r="G22" s="958"/>
      <c r="H22" s="778">
        <f>SUMIF(71:71,G22,72:72)-SUMIF(71:71,C22,72:72)+100</f>
        <v>100</v>
      </c>
      <c r="I22" s="958"/>
      <c r="J22" s="778">
        <f>SUMIF(71:71,I22,72:72)-SUMIF(71:71,C22,72:72)+100</f>
        <v>100</v>
      </c>
      <c r="K22" s="954"/>
      <c r="L22" s="2359"/>
      <c r="M22" s="2350"/>
      <c r="N22" s="2350"/>
      <c r="O22" s="2350"/>
      <c r="P22" s="3650"/>
      <c r="Q22" s="2835" t="str">
        <f>B22</f>
        <v>楼层</v>
      </c>
      <c r="R22" s="1323" t="s">
        <v>65</v>
      </c>
      <c r="S22" s="1324">
        <f>F22</f>
        <v>100</v>
      </c>
      <c r="T22" s="1323" t="s">
        <v>65</v>
      </c>
      <c r="U22" s="1324">
        <f>H22</f>
        <v>100</v>
      </c>
      <c r="V22" s="1323" t="s">
        <v>65</v>
      </c>
      <c r="W22" s="1324">
        <f>J22</f>
        <v>100</v>
      </c>
      <c r="X22" s="2834"/>
      <c r="Y22" s="3650"/>
      <c r="Z22" s="2836" t="str">
        <f>Q22</f>
        <v>楼层</v>
      </c>
      <c r="AA22" s="1326">
        <f t="shared" si="3"/>
        <v>1</v>
      </c>
      <c r="AB22" s="1326">
        <f t="shared" si="4"/>
        <v>1</v>
      </c>
      <c r="AC22" s="1326">
        <f t="shared" si="5"/>
        <v>1</v>
      </c>
    </row>
    <row r="23" spans="1:29" ht="15">
      <c r="A23" s="747"/>
      <c r="B23" s="990">
        <v>111</v>
      </c>
      <c r="C23" s="775"/>
      <c r="D23" s="778">
        <v>100</v>
      </c>
      <c r="E23" s="775"/>
      <c r="F23" s="804">
        <f>SUMIF(73:73,E23,74:74)-SUMIF(73:73,C23,74:74)+100</f>
        <v>100</v>
      </c>
      <c r="G23" s="775"/>
      <c r="H23" s="778">
        <f>SUMIF(73:73,G23,74:74)-SUMIF(73:73,C23,74:74)+100</f>
        <v>100</v>
      </c>
      <c r="I23" s="775"/>
      <c r="J23" s="778">
        <f>SUMIF(73:73,I23,74:74)-SUMIF(73:73,C23,74:74)+100</f>
        <v>100</v>
      </c>
      <c r="K23" s="955"/>
      <c r="L23" s="2359"/>
      <c r="M23" s="2350"/>
      <c r="N23" s="2350"/>
      <c r="O23" s="2350"/>
      <c r="P23" s="3650"/>
      <c r="Q23" s="2835">
        <f>B23</f>
        <v>111</v>
      </c>
      <c r="R23" s="1323" t="s">
        <v>65</v>
      </c>
      <c r="S23" s="1324">
        <f>F23</f>
        <v>100</v>
      </c>
      <c r="T23" s="1323" t="s">
        <v>65</v>
      </c>
      <c r="U23" s="1324">
        <f>H23</f>
        <v>100</v>
      </c>
      <c r="V23" s="1323" t="s">
        <v>65</v>
      </c>
      <c r="W23" s="1324">
        <f>J23</f>
        <v>100</v>
      </c>
      <c r="X23" s="2834"/>
      <c r="Y23" s="3650"/>
      <c r="Z23" s="2836">
        <f>Q23</f>
        <v>111</v>
      </c>
      <c r="AA23" s="1326">
        <f t="shared" si="3"/>
        <v>1</v>
      </c>
      <c r="AB23" s="1326">
        <f t="shared" si="4"/>
        <v>1</v>
      </c>
      <c r="AC23" s="1326">
        <f t="shared" si="5"/>
        <v>1</v>
      </c>
    </row>
    <row r="24" spans="1:29" ht="15">
      <c r="A24" s="747"/>
      <c r="B24" s="990">
        <v>111</v>
      </c>
      <c r="C24" s="775"/>
      <c r="D24" s="778">
        <v>100</v>
      </c>
      <c r="E24" s="775"/>
      <c r="F24" s="804">
        <f>SUMIF(75:75,E24,76:76)-SUMIF(75:75,C24,76:76)+100</f>
        <v>100</v>
      </c>
      <c r="G24" s="775"/>
      <c r="H24" s="778">
        <f>SUMIF(75:75,G24,76:76)-SUMIF(75:75,C24,76:76)+100</f>
        <v>100</v>
      </c>
      <c r="I24" s="775"/>
      <c r="J24" s="778">
        <f>SUMIF(75:75,I24,76:76)-SUMIF(75:75,C24,76:76)+100</f>
        <v>100</v>
      </c>
      <c r="K24" s="955"/>
      <c r="L24" s="2359"/>
      <c r="M24" s="2350"/>
      <c r="N24" s="2350"/>
      <c r="O24" s="2350"/>
      <c r="P24" s="3650"/>
      <c r="Q24" s="2835">
        <f t="shared" ref="Q24:Q36" si="11">B24</f>
        <v>111</v>
      </c>
      <c r="R24" s="1323" t="s">
        <v>65</v>
      </c>
      <c r="S24" s="1324">
        <f>F24</f>
        <v>100</v>
      </c>
      <c r="T24" s="1323" t="s">
        <v>65</v>
      </c>
      <c r="U24" s="1324">
        <f>H24</f>
        <v>100</v>
      </c>
      <c r="V24" s="1323" t="s">
        <v>65</v>
      </c>
      <c r="W24" s="1324">
        <f>J24</f>
        <v>100</v>
      </c>
      <c r="X24" s="2834"/>
      <c r="Y24" s="3650"/>
      <c r="Z24" s="2836">
        <f>Q24</f>
        <v>111</v>
      </c>
      <c r="AA24" s="1326">
        <f t="shared" si="3"/>
        <v>1</v>
      </c>
      <c r="AB24" s="1326">
        <f t="shared" si="4"/>
        <v>1</v>
      </c>
      <c r="AC24" s="1326">
        <f t="shared" si="5"/>
        <v>1</v>
      </c>
    </row>
    <row r="25" spans="1:29" s="407" customFormat="1" ht="15.75" thickBot="1">
      <c r="A25" s="991"/>
      <c r="B25" s="977">
        <v>111</v>
      </c>
      <c r="C25" s="780"/>
      <c r="D25" s="992">
        <v>100</v>
      </c>
      <c r="E25" s="970"/>
      <c r="F25" s="993">
        <f>SUMIF(77:77,E25,78:78)-SUMIF(77:77,C25,78:78)+100</f>
        <v>100</v>
      </c>
      <c r="G25" s="970"/>
      <c r="H25" s="992">
        <f>SUMIF(77:77,G25,78:78)-SUMIF(77:77,C25,78:78)+100</f>
        <v>100</v>
      </c>
      <c r="I25" s="970"/>
      <c r="J25" s="992">
        <f>SUMIF(77:77,I25,78:78)-SUMIF(77:77,C25,78:78)+100</f>
        <v>100</v>
      </c>
      <c r="K25" s="955"/>
      <c r="L25" s="2351"/>
      <c r="M25" s="2352"/>
      <c r="N25" s="2352"/>
      <c r="O25" s="2352"/>
      <c r="P25" s="3650"/>
      <c r="Q25" s="2833">
        <f t="shared" si="11"/>
        <v>111</v>
      </c>
      <c r="R25" s="1318" t="s">
        <v>65</v>
      </c>
      <c r="S25" s="1319">
        <f>F25</f>
        <v>100</v>
      </c>
      <c r="T25" s="1318" t="s">
        <v>65</v>
      </c>
      <c r="U25" s="1319">
        <f>H25</f>
        <v>100</v>
      </c>
      <c r="V25" s="1318" t="s">
        <v>65</v>
      </c>
      <c r="W25" s="1319">
        <f>J25</f>
        <v>100</v>
      </c>
      <c r="X25" s="1320"/>
      <c r="Y25" s="3650"/>
      <c r="Z25" s="344">
        <f>Q25</f>
        <v>111</v>
      </c>
      <c r="AA25" s="1326">
        <f>D25/F25</f>
        <v>1</v>
      </c>
      <c r="AB25" s="1326">
        <f>D25/H25</f>
        <v>1</v>
      </c>
      <c r="AC25" s="1326">
        <f>D25/J25</f>
        <v>1</v>
      </c>
    </row>
    <row r="26" spans="1:29" ht="15">
      <c r="A26" s="994" t="s">
        <v>409</v>
      </c>
      <c r="B26" s="360" t="s">
        <v>460</v>
      </c>
      <c r="C26" s="2769">
        <f>B1</f>
        <v>0</v>
      </c>
      <c r="D26" s="791">
        <v>100</v>
      </c>
      <c r="E26" s="790"/>
      <c r="F26" s="792">
        <f>SUMIF(79:79,E26,80:80)-SUMIF(79:79,C26,80:80)+100</f>
        <v>100</v>
      </c>
      <c r="G26" s="790"/>
      <c r="H26" s="791">
        <f>SUMIF(79:79,G26,80:80)-SUMIF(79:79,C26,80:80)+100</f>
        <v>100</v>
      </c>
      <c r="I26" s="790"/>
      <c r="J26" s="791">
        <f>SUMIF(79:79,I26,80:80)-SUMIF(79:79,C26,80:80)+100</f>
        <v>100</v>
      </c>
      <c r="K26" s="954"/>
      <c r="L26" s="2359"/>
      <c r="M26" s="2350"/>
      <c r="N26" s="2350"/>
      <c r="O26" s="2350"/>
      <c r="P26" s="3651" t="s">
        <v>410</v>
      </c>
      <c r="Q26" s="2835" t="str">
        <f t="shared" si="11"/>
        <v>配套类型</v>
      </c>
      <c r="R26" s="1323" t="s">
        <v>65</v>
      </c>
      <c r="S26" s="1324">
        <f t="shared" ref="S26:S36" si="12">F26</f>
        <v>100</v>
      </c>
      <c r="T26" s="1323" t="s">
        <v>65</v>
      </c>
      <c r="U26" s="1324">
        <f t="shared" ref="U26:U36" si="13">H26</f>
        <v>100</v>
      </c>
      <c r="V26" s="1323" t="s">
        <v>65</v>
      </c>
      <c r="W26" s="1324">
        <f t="shared" ref="W26:W36" si="14">J26</f>
        <v>100</v>
      </c>
      <c r="X26" s="2834"/>
      <c r="Y26" s="3652" t="s">
        <v>410</v>
      </c>
      <c r="Z26" s="2836" t="str">
        <f t="shared" ref="Z26:Z36" si="15">Q26</f>
        <v>配套类型</v>
      </c>
      <c r="AA26" s="1326">
        <f t="shared" si="3"/>
        <v>1</v>
      </c>
      <c r="AB26" s="1326">
        <f t="shared" si="4"/>
        <v>1</v>
      </c>
      <c r="AC26" s="1326">
        <f t="shared" si="5"/>
        <v>1</v>
      </c>
    </row>
    <row r="27" spans="1:29" s="813" customFormat="1" ht="15">
      <c r="A27" s="995"/>
      <c r="B27" s="996" t="s">
        <v>461</v>
      </c>
      <c r="C27" s="997"/>
      <c r="D27" s="426">
        <v>100</v>
      </c>
      <c r="E27" s="997"/>
      <c r="F27" s="804">
        <f>SUMIF(81:81,E27,82:82)-SUMIF(81:81,C27,82:82)+100</f>
        <v>100</v>
      </c>
      <c r="G27" s="997"/>
      <c r="H27" s="778">
        <f>SUMIF(81:81,G27,82:82)-SUMIF(81:81,C27,82:82)+100</f>
        <v>100</v>
      </c>
      <c r="I27" s="997"/>
      <c r="J27" s="778">
        <f>SUMIF(81:81,I27,82:82)-SUMIF(81:81,C27,82:82)+100</f>
        <v>100</v>
      </c>
      <c r="K27" s="955"/>
      <c r="L27" s="2357"/>
      <c r="M27" s="2360"/>
      <c r="N27" s="2360"/>
      <c r="O27" s="2360"/>
      <c r="P27" s="3652"/>
      <c r="Q27" s="1327" t="str">
        <f t="shared" si="11"/>
        <v>项目停车位配比</v>
      </c>
      <c r="R27" s="1328" t="s">
        <v>65</v>
      </c>
      <c r="S27" s="1329">
        <f t="shared" si="12"/>
        <v>100</v>
      </c>
      <c r="T27" s="1328" t="s">
        <v>65</v>
      </c>
      <c r="U27" s="1329">
        <f t="shared" si="13"/>
        <v>100</v>
      </c>
      <c r="V27" s="1328" t="s">
        <v>65</v>
      </c>
      <c r="W27" s="1329">
        <f t="shared" si="14"/>
        <v>100</v>
      </c>
      <c r="X27" s="1330"/>
      <c r="Y27" s="3652"/>
      <c r="Z27" s="1331" t="str">
        <f t="shared" si="15"/>
        <v>项目停车位配比</v>
      </c>
      <c r="AA27" s="1326">
        <f t="shared" si="3"/>
        <v>1</v>
      </c>
      <c r="AB27" s="1326">
        <f t="shared" si="4"/>
        <v>1</v>
      </c>
      <c r="AC27" s="1326">
        <f t="shared" si="5"/>
        <v>1</v>
      </c>
    </row>
    <row r="28" spans="1:29" ht="15">
      <c r="A28" s="998"/>
      <c r="B28" s="996" t="s">
        <v>462</v>
      </c>
      <c r="C28" s="803"/>
      <c r="D28" s="778">
        <v>100</v>
      </c>
      <c r="E28" s="803"/>
      <c r="F28" s="804">
        <f>SUMIF(83:83,E28,84:84)-SUMIF(83:83,C28,84:84)+100</f>
        <v>100</v>
      </c>
      <c r="G28" s="803"/>
      <c r="H28" s="778">
        <f>SUMIF(83:83,G28,84:84)-SUMIF(83:83,C28,84:84)+100</f>
        <v>100</v>
      </c>
      <c r="I28" s="803"/>
      <c r="J28" s="778">
        <f>SUMIF(83:83,I28,84:84)-SUMIF(83:83,C28,84:84)+100</f>
        <v>100</v>
      </c>
      <c r="K28" s="954"/>
      <c r="L28" s="2359"/>
      <c r="M28" s="2350"/>
      <c r="N28" s="2350"/>
      <c r="O28" s="2350"/>
      <c r="P28" s="3652"/>
      <c r="Q28" s="2835" t="str">
        <f t="shared" si="11"/>
        <v>公共部分装修</v>
      </c>
      <c r="R28" s="1323" t="s">
        <v>65</v>
      </c>
      <c r="S28" s="1324">
        <f t="shared" si="12"/>
        <v>100</v>
      </c>
      <c r="T28" s="1323" t="s">
        <v>65</v>
      </c>
      <c r="U28" s="1324">
        <f t="shared" si="13"/>
        <v>100</v>
      </c>
      <c r="V28" s="1323" t="s">
        <v>65</v>
      </c>
      <c r="W28" s="1324">
        <f t="shared" si="14"/>
        <v>100</v>
      </c>
      <c r="X28" s="2834"/>
      <c r="Y28" s="3652"/>
      <c r="Z28" s="2836" t="str">
        <f t="shared" si="15"/>
        <v>公共部分装修</v>
      </c>
      <c r="AA28" s="1326">
        <f t="shared" si="3"/>
        <v>1</v>
      </c>
      <c r="AB28" s="1326">
        <f t="shared" si="4"/>
        <v>1</v>
      </c>
      <c r="AC28" s="1326">
        <f t="shared" si="5"/>
        <v>1</v>
      </c>
    </row>
    <row r="29" spans="1:29" ht="15">
      <c r="A29" s="998"/>
      <c r="B29" s="996" t="s">
        <v>463</v>
      </c>
      <c r="C29" s="811"/>
      <c r="D29" s="778">
        <v>100</v>
      </c>
      <c r="E29" s="816"/>
      <c r="F29" s="804" t="e">
        <f>LOOKUP(E29,86:86,87:87)-LOOKUP(C29,86:86,87:87)+100</f>
        <v>#N/A</v>
      </c>
      <c r="G29" s="816"/>
      <c r="H29" s="804" t="e">
        <f>LOOKUP(G29,86:86,87:87)-LOOKUP(C29,86:86,87:87)+100</f>
        <v>#N/A</v>
      </c>
      <c r="I29" s="816"/>
      <c r="J29" s="778" t="e">
        <f>LOOKUP(I29,86:86,87:87)-LOOKUP(C29,86:86,87:87)+100</f>
        <v>#N/A</v>
      </c>
      <c r="K29" s="954"/>
      <c r="L29" s="2359"/>
      <c r="M29" s="2350"/>
      <c r="N29" s="2350"/>
      <c r="O29" s="2350"/>
      <c r="P29" s="3652"/>
      <c r="Q29" s="2835" t="str">
        <f t="shared" si="11"/>
        <v>成新率</v>
      </c>
      <c r="R29" s="1323" t="s">
        <v>65</v>
      </c>
      <c r="S29" s="1324" t="e">
        <f t="shared" si="12"/>
        <v>#N/A</v>
      </c>
      <c r="T29" s="1323" t="s">
        <v>65</v>
      </c>
      <c r="U29" s="1324" t="e">
        <f t="shared" si="13"/>
        <v>#N/A</v>
      </c>
      <c r="V29" s="1323" t="s">
        <v>65</v>
      </c>
      <c r="W29" s="1324" t="e">
        <f t="shared" si="14"/>
        <v>#N/A</v>
      </c>
      <c r="X29" s="2834"/>
      <c r="Y29" s="3652"/>
      <c r="Z29" s="2836" t="str">
        <f t="shared" si="15"/>
        <v>成新率</v>
      </c>
      <c r="AA29" s="1326" t="e">
        <f t="shared" si="3"/>
        <v>#N/A</v>
      </c>
      <c r="AB29" s="1326" t="e">
        <f t="shared" si="4"/>
        <v>#N/A</v>
      </c>
      <c r="AC29" s="1326" t="e">
        <f t="shared" si="5"/>
        <v>#N/A</v>
      </c>
    </row>
    <row r="30" spans="1:29" ht="15">
      <c r="A30" s="998"/>
      <c r="B30" s="996" t="s">
        <v>464</v>
      </c>
      <c r="C30" s="999"/>
      <c r="D30" s="778">
        <v>100</v>
      </c>
      <c r="E30" s="999"/>
      <c r="F30" s="804">
        <f>SUMIF(88:88,E30,89:89)-SUMIF(88:88,C30,89:89)+100</f>
        <v>100</v>
      </c>
      <c r="G30" s="999"/>
      <c r="H30" s="778">
        <f>SUMIF(88:88,E30,89:89)-SUMIF(88:88,C30,89:89)+100</f>
        <v>100</v>
      </c>
      <c r="I30" s="999"/>
      <c r="J30" s="778">
        <f>SUMIF(88:88,E30,89:89)-SUMIF(88:88,C30,89:89)+100</f>
        <v>100</v>
      </c>
      <c r="K30" s="954"/>
      <c r="L30" s="2359"/>
      <c r="M30" s="2350"/>
      <c r="N30" s="2350"/>
      <c r="O30" s="2350"/>
      <c r="P30" s="3652"/>
      <c r="Q30" s="2835" t="str">
        <f t="shared" si="11"/>
        <v>物业等级</v>
      </c>
      <c r="R30" s="1323" t="s">
        <v>65</v>
      </c>
      <c r="S30" s="1324">
        <f t="shared" si="12"/>
        <v>100</v>
      </c>
      <c r="T30" s="1323" t="s">
        <v>65</v>
      </c>
      <c r="U30" s="1324">
        <f t="shared" si="13"/>
        <v>100</v>
      </c>
      <c r="V30" s="1323" t="s">
        <v>65</v>
      </c>
      <c r="W30" s="1324">
        <f t="shared" si="14"/>
        <v>100</v>
      </c>
      <c r="X30" s="2834"/>
      <c r="Y30" s="3652"/>
      <c r="Z30" s="2836" t="str">
        <f t="shared" si="15"/>
        <v>物业等级</v>
      </c>
      <c r="AA30" s="1326">
        <f t="shared" si="3"/>
        <v>1</v>
      </c>
      <c r="AB30" s="1326">
        <f t="shared" si="4"/>
        <v>1</v>
      </c>
      <c r="AC30" s="1326">
        <f t="shared" si="5"/>
        <v>1</v>
      </c>
    </row>
    <row r="31" spans="1:29" s="407" customFormat="1" ht="15">
      <c r="A31" s="1000"/>
      <c r="B31" s="996" t="s">
        <v>465</v>
      </c>
      <c r="C31" s="811"/>
      <c r="D31" s="426">
        <v>100</v>
      </c>
      <c r="E31" s="811"/>
      <c r="F31" s="804" t="e">
        <f>LOOKUP(E31,91:91,92:92)-LOOKUP(C31,91:91,92:92)+100</f>
        <v>#N/A</v>
      </c>
      <c r="G31" s="811"/>
      <c r="H31" s="778" t="e">
        <f>LOOKUP(G31,91:91,92:92)-LOOKUP(C31,91:91,92:92)+100</f>
        <v>#N/A</v>
      </c>
      <c r="I31" s="811"/>
      <c r="J31" s="778" t="e">
        <f>LOOKUP(I31,91:91,92:92)-LOOKUP(C31,91:91,92:92)+100</f>
        <v>#N/A</v>
      </c>
      <c r="K31" s="954"/>
      <c r="L31" s="2351"/>
      <c r="M31" s="2352"/>
      <c r="N31" s="2352"/>
      <c r="O31" s="2352"/>
      <c r="P31" s="3652"/>
      <c r="Q31" s="2833" t="str">
        <f t="shared" si="11"/>
        <v>停车位面积</v>
      </c>
      <c r="R31" s="1318" t="s">
        <v>65</v>
      </c>
      <c r="S31" s="1319" t="e">
        <f t="shared" si="12"/>
        <v>#N/A</v>
      </c>
      <c r="T31" s="1318" t="s">
        <v>65</v>
      </c>
      <c r="U31" s="1319" t="e">
        <f t="shared" si="13"/>
        <v>#N/A</v>
      </c>
      <c r="V31" s="1318" t="s">
        <v>65</v>
      </c>
      <c r="W31" s="1319" t="e">
        <f t="shared" si="14"/>
        <v>#N/A</v>
      </c>
      <c r="X31" s="1320"/>
      <c r="Y31" s="3652"/>
      <c r="Z31" s="344" t="str">
        <f t="shared" si="15"/>
        <v>停车位面积</v>
      </c>
      <c r="AA31" s="1321" t="e">
        <f t="shared" si="3"/>
        <v>#N/A</v>
      </c>
      <c r="AB31" s="1321" t="e">
        <f t="shared" si="4"/>
        <v>#N/A</v>
      </c>
      <c r="AC31" s="1321" t="e">
        <f t="shared" si="5"/>
        <v>#N/A</v>
      </c>
    </row>
    <row r="32" spans="1:29" ht="15">
      <c r="A32" s="998"/>
      <c r="B32" s="996" t="s">
        <v>466</v>
      </c>
      <c r="C32" s="803"/>
      <c r="D32" s="778">
        <v>100</v>
      </c>
      <c r="E32" s="803"/>
      <c r="F32" s="804">
        <f>SUMIF(93:93,E32,94:94)-SUMIF(93:93,C32,94:94)+100</f>
        <v>100</v>
      </c>
      <c r="G32" s="803"/>
      <c r="H32" s="778">
        <f>SUMIF(93:93,G32,94:94)-SUMIF(93:93,C32,94:94)+100</f>
        <v>100</v>
      </c>
      <c r="I32" s="803"/>
      <c r="J32" s="778">
        <f>SUMIF(93:93,I32,94:94)-SUMIF(93:93,C32,94:94)+100</f>
        <v>100</v>
      </c>
      <c r="K32" s="954"/>
      <c r="L32" s="2359"/>
      <c r="M32" s="2350"/>
      <c r="N32" s="2350"/>
      <c r="O32" s="2350"/>
      <c r="P32" s="3652" t="s">
        <v>410</v>
      </c>
      <c r="Q32" s="2835" t="str">
        <f t="shared" si="11"/>
        <v>车位类型</v>
      </c>
      <c r="R32" s="1323" t="s">
        <v>65</v>
      </c>
      <c r="S32" s="1324">
        <f t="shared" si="12"/>
        <v>100</v>
      </c>
      <c r="T32" s="1323" t="s">
        <v>65</v>
      </c>
      <c r="U32" s="1324">
        <f t="shared" si="13"/>
        <v>100</v>
      </c>
      <c r="V32" s="1323" t="s">
        <v>65</v>
      </c>
      <c r="W32" s="1324">
        <f t="shared" si="14"/>
        <v>100</v>
      </c>
      <c r="X32" s="2834"/>
      <c r="Y32" s="3652" t="s">
        <v>410</v>
      </c>
      <c r="Z32" s="2836" t="str">
        <f t="shared" si="15"/>
        <v>车位类型</v>
      </c>
      <c r="AA32" s="1326">
        <f t="shared" si="3"/>
        <v>1</v>
      </c>
      <c r="AB32" s="1326">
        <f t="shared" si="4"/>
        <v>1</v>
      </c>
      <c r="AC32" s="1326">
        <f t="shared" si="5"/>
        <v>1</v>
      </c>
    </row>
    <row r="33" spans="1:29" ht="15">
      <c r="A33" s="998"/>
      <c r="B33" s="996" t="s">
        <v>467</v>
      </c>
      <c r="C33" s="803"/>
      <c r="D33" s="778">
        <v>100</v>
      </c>
      <c r="E33" s="803"/>
      <c r="F33" s="804">
        <f>SUMIF(95:95,E33,96:96)-SUMIF(95:95,C33,96:96)+100</f>
        <v>100</v>
      </c>
      <c r="G33" s="803"/>
      <c r="H33" s="778">
        <f>SUMIF(95:95,G33,96:96)-SUMIF(95:95,C33,96:96)+100</f>
        <v>100</v>
      </c>
      <c r="I33" s="803"/>
      <c r="J33" s="778">
        <f>SUMIF(95:95,I33,96:96)-SUMIF(95:95,C33,96:96)+100</f>
        <v>100</v>
      </c>
      <c r="K33" s="954"/>
      <c r="L33" s="2359"/>
      <c r="M33" s="2350"/>
      <c r="N33" s="2350"/>
      <c r="O33" s="2350"/>
      <c r="P33" s="3652"/>
      <c r="Q33" s="2835" t="str">
        <f t="shared" si="11"/>
        <v>是否直接入户</v>
      </c>
      <c r="R33" s="1323" t="s">
        <v>65</v>
      </c>
      <c r="S33" s="1324">
        <f t="shared" si="12"/>
        <v>100</v>
      </c>
      <c r="T33" s="1323" t="s">
        <v>65</v>
      </c>
      <c r="U33" s="1324">
        <f t="shared" si="13"/>
        <v>100</v>
      </c>
      <c r="V33" s="1323" t="s">
        <v>65</v>
      </c>
      <c r="W33" s="1324">
        <f t="shared" si="14"/>
        <v>100</v>
      </c>
      <c r="X33" s="2834"/>
      <c r="Y33" s="3652"/>
      <c r="Z33" s="2836" t="str">
        <f t="shared" si="15"/>
        <v>是否直接入户</v>
      </c>
      <c r="AA33" s="1326">
        <f t="shared" si="3"/>
        <v>1</v>
      </c>
      <c r="AB33" s="1326">
        <f t="shared" si="4"/>
        <v>1</v>
      </c>
      <c r="AC33" s="1326">
        <f t="shared" si="5"/>
        <v>1</v>
      </c>
    </row>
    <row r="34" spans="1:29" ht="15">
      <c r="A34" s="998"/>
      <c r="B34" s="990">
        <v>111</v>
      </c>
      <c r="C34" s="775"/>
      <c r="D34" s="778">
        <v>100</v>
      </c>
      <c r="E34" s="775"/>
      <c r="F34" s="804">
        <f>SUMIF(97:97,E34,98:98)-SUMIF(97:97,C34,98:98)+100</f>
        <v>100</v>
      </c>
      <c r="G34" s="775"/>
      <c r="H34" s="778">
        <f>SUMIF(97:97,G34,98:98)-SUMIF(97:97,C34,98:98)+100</f>
        <v>100</v>
      </c>
      <c r="I34" s="775"/>
      <c r="J34" s="778">
        <f>SUMIF(97:97,I34,98:98)-SUMIF(97:97,C34,98:98)+100</f>
        <v>100</v>
      </c>
      <c r="K34" s="955"/>
      <c r="L34" s="2359"/>
      <c r="M34" s="2350"/>
      <c r="N34" s="2350"/>
      <c r="O34" s="2350"/>
      <c r="P34" s="3652"/>
      <c r="Q34" s="2835">
        <f t="shared" si="11"/>
        <v>111</v>
      </c>
      <c r="R34" s="1323" t="s">
        <v>65</v>
      </c>
      <c r="S34" s="1324">
        <f t="shared" si="12"/>
        <v>100</v>
      </c>
      <c r="T34" s="1323" t="s">
        <v>65</v>
      </c>
      <c r="U34" s="1324">
        <f t="shared" si="13"/>
        <v>100</v>
      </c>
      <c r="V34" s="1323" t="s">
        <v>65</v>
      </c>
      <c r="W34" s="1324">
        <f t="shared" si="14"/>
        <v>100</v>
      </c>
      <c r="X34" s="2834"/>
      <c r="Y34" s="3652"/>
      <c r="Z34" s="2836">
        <f t="shared" si="15"/>
        <v>111</v>
      </c>
      <c r="AA34" s="1326">
        <f t="shared" si="3"/>
        <v>1</v>
      </c>
      <c r="AB34" s="1326">
        <f t="shared" si="4"/>
        <v>1</v>
      </c>
      <c r="AC34" s="1326">
        <f t="shared" si="5"/>
        <v>1</v>
      </c>
    </row>
    <row r="35" spans="1:29" s="813" customFormat="1" ht="15">
      <c r="A35" s="995"/>
      <c r="B35" s="990">
        <v>111</v>
      </c>
      <c r="C35" s="775"/>
      <c r="D35" s="778">
        <v>100</v>
      </c>
      <c r="E35" s="775"/>
      <c r="F35" s="804">
        <f>SUMIF(99:99,E35,100:100)-SUMIF(99:99,C35,100:100)+100</f>
        <v>100</v>
      </c>
      <c r="G35" s="775"/>
      <c r="H35" s="778">
        <f>SUMIF(99:99,G35,100:100)-SUMIF(99:99,C35,100:100)+100</f>
        <v>100</v>
      </c>
      <c r="I35" s="775"/>
      <c r="J35" s="778">
        <f>SUMIF(99:99,I35,100:100)-SUMIF(99:99,C35,100:100)+100</f>
        <v>100</v>
      </c>
      <c r="K35" s="955"/>
      <c r="L35" s="2357"/>
      <c r="M35" s="2360"/>
      <c r="N35" s="2360"/>
      <c r="O35" s="2360"/>
      <c r="P35" s="3652"/>
      <c r="Q35" s="1327">
        <f t="shared" si="11"/>
        <v>111</v>
      </c>
      <c r="R35" s="1328" t="s">
        <v>65</v>
      </c>
      <c r="S35" s="1329">
        <f t="shared" si="12"/>
        <v>100</v>
      </c>
      <c r="T35" s="1328" t="s">
        <v>65</v>
      </c>
      <c r="U35" s="1329">
        <f t="shared" si="13"/>
        <v>100</v>
      </c>
      <c r="V35" s="1328" t="s">
        <v>65</v>
      </c>
      <c r="W35" s="1329">
        <f t="shared" si="14"/>
        <v>100</v>
      </c>
      <c r="X35" s="1330"/>
      <c r="Y35" s="3652"/>
      <c r="Z35" s="1331">
        <f t="shared" si="15"/>
        <v>111</v>
      </c>
      <c r="AA35" s="1326">
        <f t="shared" si="3"/>
        <v>1</v>
      </c>
      <c r="AB35" s="1326">
        <f t="shared" si="4"/>
        <v>1</v>
      </c>
      <c r="AC35" s="1326">
        <f t="shared" si="5"/>
        <v>1</v>
      </c>
    </row>
    <row r="36" spans="1:29" ht="15.75" thickBot="1">
      <c r="A36" s="1001"/>
      <c r="B36" s="977">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5"/>
      <c r="L36" s="2359"/>
      <c r="M36" s="2350"/>
      <c r="N36" s="2350"/>
      <c r="O36" s="2350"/>
      <c r="P36" s="3652"/>
      <c r="Q36" s="2835">
        <f t="shared" si="11"/>
        <v>111</v>
      </c>
      <c r="R36" s="1323" t="s">
        <v>65</v>
      </c>
      <c r="S36" s="1324">
        <f t="shared" si="12"/>
        <v>100</v>
      </c>
      <c r="T36" s="1323" t="s">
        <v>65</v>
      </c>
      <c r="U36" s="1324">
        <f t="shared" si="13"/>
        <v>100</v>
      </c>
      <c r="V36" s="1323" t="s">
        <v>65</v>
      </c>
      <c r="W36" s="1324">
        <f t="shared" si="14"/>
        <v>100</v>
      </c>
      <c r="X36" s="2834"/>
      <c r="Y36" s="3652"/>
      <c r="Z36" s="2836">
        <f t="shared" si="15"/>
        <v>111</v>
      </c>
      <c r="AA36" s="1326">
        <f t="shared" si="3"/>
        <v>1</v>
      </c>
      <c r="AB36" s="1326">
        <f t="shared" si="4"/>
        <v>1</v>
      </c>
      <c r="AC36" s="1326">
        <f t="shared" si="5"/>
        <v>1</v>
      </c>
    </row>
    <row r="37" spans="1:29" ht="15">
      <c r="A37" s="163" t="s">
        <v>2136</v>
      </c>
      <c r="B37" s="2100" t="s">
        <v>2137</v>
      </c>
      <c r="C37" s="2837" t="s">
        <v>23</v>
      </c>
      <c r="D37" s="2838"/>
      <c r="E37" s="2839"/>
      <c r="F37" s="2840"/>
      <c r="G37" s="2841"/>
      <c r="H37" s="2842"/>
      <c r="I37" s="2839"/>
      <c r="J37" s="2842"/>
      <c r="K37" s="961"/>
      <c r="L37" s="2362"/>
      <c r="M37" s="2363"/>
      <c r="N37" s="2350"/>
      <c r="O37" s="2363"/>
      <c r="P37" s="3634" t="str">
        <f>A37</f>
        <v>成交单价</v>
      </c>
      <c r="Q37" s="3634"/>
      <c r="R37" s="3653">
        <f>E37</f>
        <v>0</v>
      </c>
      <c r="S37" s="3653"/>
      <c r="T37" s="3653">
        <f>G37</f>
        <v>0</v>
      </c>
      <c r="U37" s="3653"/>
      <c r="V37" s="3653">
        <f>I37</f>
        <v>0</v>
      </c>
      <c r="W37" s="3653"/>
      <c r="X37" s="1306"/>
      <c r="Y37" s="1332"/>
      <c r="Z37" s="1306"/>
      <c r="AA37" s="1306"/>
      <c r="AB37" s="1306"/>
      <c r="AC37" s="1306"/>
    </row>
    <row r="38" spans="1:29" ht="15.75" thickBot="1">
      <c r="A38" s="828" t="s">
        <v>412</v>
      </c>
      <c r="B38" s="166" t="str">
        <f>B37</f>
        <v>元/车位</v>
      </c>
      <c r="C38" s="2843" t="e">
        <f>R39</f>
        <v>#DIV/0!</v>
      </c>
      <c r="D38" s="2844"/>
      <c r="E38" s="2845" t="e">
        <f>R38</f>
        <v>#DIV/0!</v>
      </c>
      <c r="F38" s="2845"/>
      <c r="G38" s="2843" t="e">
        <f>T38</f>
        <v>#DIV/0!</v>
      </c>
      <c r="H38" s="2844"/>
      <c r="I38" s="2845" t="e">
        <f>V38</f>
        <v>#DIV/0!</v>
      </c>
      <c r="J38" s="2844"/>
      <c r="K38" s="962"/>
      <c r="L38" s="2362"/>
      <c r="M38" s="2363"/>
      <c r="N38" s="2363"/>
      <c r="O38" s="2363"/>
      <c r="P38" s="3634" t="str">
        <f>A38</f>
        <v>比较价值（元/平方米）</v>
      </c>
      <c r="Q38" s="3634"/>
      <c r="R38" s="3653" t="e">
        <f>IF(F1="售价",ROUND(PRODUCT(R37,AA7:AA36),0),ROUND(PRODUCT(R37,AA7:AA36),1))</f>
        <v>#DIV/0!</v>
      </c>
      <c r="S38" s="3653"/>
      <c r="T38" s="3653" t="e">
        <f>IF(F1="售价",ROUND(PRODUCT(T37,AB7:AB36),0),ROUND(PRODUCT(T37,AB7:AB36),1))</f>
        <v>#DIV/0!</v>
      </c>
      <c r="U38" s="3653"/>
      <c r="V38" s="3653" t="e">
        <f>IF(F1="售价",ROUND(PRODUCT(V37,AC7:AC36),0),ROUND(PRODUCT(V37,AC7:AC36),1))</f>
        <v>#DIV/0!</v>
      </c>
      <c r="W38" s="3653"/>
      <c r="X38" s="1306"/>
      <c r="Y38" s="1306"/>
      <c r="Z38" s="1306"/>
      <c r="AA38" s="1306"/>
      <c r="AB38" s="1306"/>
      <c r="AC38" s="1306"/>
    </row>
    <row r="39" spans="1:29" ht="15.75" thickBot="1">
      <c r="A39" s="834" t="s">
        <v>3028</v>
      </c>
      <c r="B39" s="835"/>
      <c r="C39" s="2847" t="e">
        <f>R39</f>
        <v>#DIV/0!</v>
      </c>
      <c r="D39" s="2847"/>
      <c r="E39" s="2847"/>
      <c r="F39" s="2847"/>
      <c r="G39" s="2847"/>
      <c r="H39" s="2847"/>
      <c r="I39" s="2847"/>
      <c r="J39" s="2847"/>
      <c r="K39" s="963"/>
      <c r="L39" s="2362"/>
      <c r="M39" s="2363"/>
      <c r="N39" s="2363"/>
      <c r="O39" s="2363"/>
      <c r="P39" s="3654" t="str">
        <f>A39</f>
        <v>估价对象XX用房的比较价值（楼面单价，元/平方米）</v>
      </c>
      <c r="Q39" s="3655"/>
      <c r="R39" s="3656" t="e">
        <f>IF(F1="售价",ROUND(AVERAGE(R38:V38),0),ROUND(AVERAGE(R38:V38),1))</f>
        <v>#DIV/0!</v>
      </c>
      <c r="S39" s="3656"/>
      <c r="T39" s="3656"/>
      <c r="U39" s="3656"/>
      <c r="V39" s="3656"/>
      <c r="W39" s="3656"/>
      <c r="X39" s="1306"/>
      <c r="Y39" s="1306"/>
      <c r="Z39" s="1306"/>
      <c r="AA39" s="1306"/>
      <c r="AB39" s="1306"/>
      <c r="AC39" s="1306"/>
    </row>
    <row r="40" spans="1:29">
      <c r="A40" s="2363"/>
      <c r="B40" s="2363"/>
      <c r="C40" s="2363"/>
      <c r="D40" s="2363"/>
      <c r="E40" s="2363"/>
      <c r="F40" s="2363"/>
      <c r="G40" s="2366"/>
      <c r="H40" s="2363"/>
      <c r="I40" s="2363"/>
      <c r="J40" s="2363"/>
      <c r="K40" s="2189"/>
      <c r="L40" s="2190"/>
      <c r="M40" s="2363"/>
      <c r="N40" s="2363"/>
      <c r="O40" s="2363"/>
      <c r="P40" s="2850"/>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50"/>
      <c r="Q41" s="2363"/>
      <c r="R41" s="2363"/>
      <c r="S41" s="2363"/>
      <c r="T41" s="2363"/>
      <c r="U41" s="2363"/>
      <c r="V41" s="2363"/>
      <c r="W41" s="2363"/>
      <c r="X41" s="2363"/>
      <c r="Y41" s="2363"/>
      <c r="Z41" s="2363"/>
      <c r="AA41" s="2363"/>
      <c r="AB41" s="2363"/>
      <c r="AC41" s="2363"/>
    </row>
    <row r="42" spans="1:29" ht="13.5" customHeight="1">
      <c r="A42" s="2363"/>
      <c r="B42" s="2363"/>
      <c r="C42" s="839" t="s">
        <v>413</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9"/>
      <c r="L42" s="2190"/>
      <c r="M42" s="2363"/>
      <c r="N42" s="2363"/>
      <c r="O42" s="2363"/>
      <c r="P42" s="2850"/>
      <c r="Q42" s="2363"/>
      <c r="R42" s="2363"/>
      <c r="S42" s="2363"/>
      <c r="T42" s="2363"/>
      <c r="U42" s="2363"/>
      <c r="V42" s="2363"/>
      <c r="W42" s="2363"/>
      <c r="X42" s="2363"/>
      <c r="Y42" s="2363"/>
      <c r="Z42" s="2363"/>
      <c r="AA42" s="2363"/>
      <c r="AB42" s="2363"/>
      <c r="AC42" s="2363"/>
    </row>
    <row r="43" spans="1:29" ht="13.5" customHeight="1">
      <c r="A43" s="2363"/>
      <c r="B43" s="2363"/>
      <c r="C43" s="839" t="s">
        <v>414</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9"/>
      <c r="L43" s="2190"/>
      <c r="M43" s="2363"/>
      <c r="N43" s="2363"/>
      <c r="O43" s="2363"/>
      <c r="P43" s="2850"/>
      <c r="Q43" s="2363"/>
      <c r="R43" s="2363"/>
      <c r="S43" s="2363"/>
      <c r="T43" s="2363"/>
      <c r="U43" s="2363"/>
      <c r="V43" s="2363"/>
      <c r="W43" s="2363"/>
      <c r="X43" s="2363"/>
      <c r="Y43" s="2363"/>
      <c r="Z43" s="2363"/>
      <c r="AA43" s="2363"/>
      <c r="AB43" s="2363"/>
      <c r="AC43" s="2363"/>
    </row>
    <row r="44" spans="1:29" s="844" customFormat="1" ht="13.5" customHeight="1">
      <c r="A44" s="2364"/>
      <c r="B44" s="2364"/>
      <c r="C44" s="839" t="s">
        <v>415</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7"/>
      <c r="L44" s="2368"/>
      <c r="M44" s="2364"/>
      <c r="N44" s="2364"/>
      <c r="O44" s="2364"/>
      <c r="P44" s="2851"/>
      <c r="Q44" s="2364"/>
      <c r="R44" s="2364"/>
      <c r="S44" s="2364"/>
      <c r="T44" s="2364"/>
      <c r="U44" s="2364"/>
      <c r="V44" s="2364"/>
      <c r="W44" s="2364"/>
      <c r="X44" s="2364"/>
      <c r="Y44" s="2364"/>
      <c r="Z44" s="2364"/>
      <c r="AA44" s="2364"/>
      <c r="AB44" s="2364"/>
      <c r="AC44" s="2364"/>
    </row>
    <row r="45" spans="1:29" s="844" customFormat="1">
      <c r="A45" s="2364"/>
      <c r="B45" s="2365"/>
      <c r="C45" s="2369"/>
      <c r="D45" s="2364"/>
      <c r="E45" s="2364"/>
      <c r="F45" s="2364"/>
      <c r="G45" s="2364"/>
      <c r="H45" s="2364"/>
      <c r="I45" s="2364"/>
      <c r="J45" s="2364"/>
      <c r="K45" s="2367"/>
      <c r="L45" s="2368"/>
      <c r="M45" s="2364"/>
      <c r="N45" s="2364"/>
      <c r="O45" s="2364"/>
      <c r="P45" s="2851"/>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50"/>
      <c r="Q46" s="2363"/>
      <c r="R46" s="2363"/>
      <c r="S46" s="2363"/>
      <c r="T46" s="2363"/>
      <c r="U46" s="2363"/>
      <c r="V46" s="2363"/>
      <c r="W46" s="2363"/>
      <c r="X46" s="2363"/>
      <c r="Y46" s="2363"/>
      <c r="Z46" s="2363"/>
      <c r="AA46" s="2363"/>
      <c r="AB46" s="2363"/>
      <c r="AC46" s="2363"/>
    </row>
    <row r="47" spans="1:29" ht="21.75" thickBot="1">
      <c r="A47" s="2854" t="s">
        <v>416</v>
      </c>
      <c r="B47" s="2363"/>
      <c r="C47" s="2379"/>
      <c r="D47" s="2379"/>
      <c r="E47" s="2379"/>
      <c r="F47" s="2855"/>
      <c r="G47" s="2855"/>
      <c r="H47" s="2379"/>
      <c r="I47" s="2379"/>
      <c r="J47" s="2379"/>
      <c r="K47" s="2380"/>
      <c r="L47" s="2381"/>
      <c r="M47" s="2379"/>
      <c r="N47" s="2379"/>
      <c r="O47" s="2379"/>
      <c r="P47" s="2852"/>
      <c r="Q47" s="2853"/>
      <c r="R47" s="2363"/>
      <c r="S47" s="2363"/>
      <c r="T47" s="2363"/>
      <c r="U47" s="2363"/>
      <c r="V47" s="2363"/>
      <c r="W47" s="2363"/>
      <c r="X47" s="2363"/>
      <c r="Y47" s="2363"/>
      <c r="Z47" s="2363"/>
      <c r="AA47" s="2363"/>
      <c r="AB47" s="2363"/>
      <c r="AC47" s="2363"/>
    </row>
    <row r="48" spans="1:29" s="850" customFormat="1" ht="15">
      <c r="A48" s="847" t="s">
        <v>2797</v>
      </c>
      <c r="B48" s="848"/>
      <c r="C48" s="3046" t="str">
        <f>YEAR(C7)&amp;"-"&amp;MONTH(C7)</f>
        <v>2017-7</v>
      </c>
      <c r="D48" s="3047">
        <f>EDATE(C48,-1)</f>
        <v>42887</v>
      </c>
      <c r="E48" s="3047">
        <f t="shared" ref="E48:O48" si="16">EDATE(D48,-1)</f>
        <v>42856</v>
      </c>
      <c r="F48" s="3047">
        <f t="shared" si="16"/>
        <v>42826</v>
      </c>
      <c r="G48" s="3047">
        <f t="shared" si="16"/>
        <v>42795</v>
      </c>
      <c r="H48" s="3047">
        <f t="shared" si="16"/>
        <v>42767</v>
      </c>
      <c r="I48" s="3047">
        <f t="shared" si="16"/>
        <v>42736</v>
      </c>
      <c r="J48" s="3047">
        <f t="shared" si="16"/>
        <v>42705</v>
      </c>
      <c r="K48" s="3047">
        <f t="shared" si="16"/>
        <v>42675</v>
      </c>
      <c r="L48" s="3047">
        <f t="shared" si="16"/>
        <v>42644</v>
      </c>
      <c r="M48" s="3047">
        <f t="shared" si="16"/>
        <v>42614</v>
      </c>
      <c r="N48" s="3047">
        <f t="shared" si="16"/>
        <v>42583</v>
      </c>
      <c r="O48" s="3047">
        <f t="shared" si="16"/>
        <v>42552</v>
      </c>
      <c r="P48" s="2868"/>
      <c r="Q48" s="2869"/>
      <c r="R48" s="2869"/>
      <c r="S48" s="2869"/>
      <c r="T48" s="2869"/>
      <c r="U48" s="2869"/>
      <c r="V48" s="2869"/>
      <c r="W48" s="2869"/>
      <c r="X48" s="2869"/>
      <c r="Y48" s="2869"/>
      <c r="Z48" s="2869"/>
      <c r="AA48" s="2869"/>
      <c r="AB48" s="2869"/>
      <c r="AC48" s="2869"/>
    </row>
    <row r="49" spans="1:29" s="407" customFormat="1" ht="15">
      <c r="A49" s="851"/>
      <c r="B49" s="852"/>
      <c r="C49" s="3035">
        <v>100</v>
      </c>
      <c r="D49" s="854"/>
      <c r="E49" s="854"/>
      <c r="F49" s="854"/>
      <c r="G49" s="854"/>
      <c r="H49" s="854"/>
      <c r="I49" s="854"/>
      <c r="J49" s="854"/>
      <c r="K49" s="854"/>
      <c r="L49" s="854"/>
      <c r="M49" s="855"/>
      <c r="N49" s="854"/>
      <c r="O49" s="855"/>
      <c r="P49" s="2858"/>
      <c r="Q49" s="2857"/>
      <c r="R49" s="2857"/>
      <c r="S49" s="2857"/>
      <c r="T49" s="2857"/>
      <c r="U49" s="2857"/>
      <c r="V49" s="2857"/>
      <c r="W49" s="2857"/>
      <c r="X49" s="2857"/>
      <c r="Y49" s="2857"/>
      <c r="Z49" s="2857"/>
      <c r="AA49" s="2857"/>
      <c r="AB49" s="2857"/>
      <c r="AC49" s="2857"/>
    </row>
    <row r="50" spans="1:29" s="407" customFormat="1" ht="15.75" thickBot="1">
      <c r="A50" s="857" t="s">
        <v>417</v>
      </c>
      <c r="B50" s="858"/>
      <c r="C50" s="859"/>
      <c r="D50" s="860"/>
      <c r="E50" s="860"/>
      <c r="F50" s="860"/>
      <c r="G50" s="860"/>
      <c r="H50" s="860"/>
      <c r="I50" s="860"/>
      <c r="J50" s="860"/>
      <c r="K50" s="860"/>
      <c r="L50" s="860"/>
      <c r="M50" s="861"/>
      <c r="N50" s="860"/>
      <c r="O50" s="861"/>
      <c r="P50" s="2858"/>
      <c r="Q50" s="2853"/>
      <c r="R50" s="2857"/>
      <c r="S50" s="2857"/>
      <c r="T50" s="2857"/>
      <c r="U50" s="2857"/>
      <c r="V50" s="2857"/>
      <c r="W50" s="2857"/>
      <c r="X50" s="2857"/>
      <c r="Y50" s="2857"/>
      <c r="Z50" s="2857"/>
      <c r="AA50" s="2857"/>
      <c r="AB50" s="2857"/>
      <c r="AC50" s="2857"/>
    </row>
    <row r="51" spans="1:29" s="407" customFormat="1" ht="15">
      <c r="A51" s="863" t="s">
        <v>401</v>
      </c>
      <c r="B51" s="852"/>
      <c r="C51" s="864" t="s">
        <v>418</v>
      </c>
      <c r="D51" s="865"/>
      <c r="E51" s="865"/>
      <c r="F51" s="865"/>
      <c r="G51" s="865"/>
      <c r="H51" s="865"/>
      <c r="I51" s="865"/>
      <c r="J51" s="865"/>
      <c r="K51" s="865"/>
      <c r="L51" s="866"/>
      <c r="M51" s="867"/>
      <c r="N51" s="2370"/>
      <c r="O51" s="2370"/>
      <c r="P51" s="2856"/>
      <c r="Q51" s="2853"/>
      <c r="R51" s="2857"/>
      <c r="S51" s="2857"/>
      <c r="T51" s="2857"/>
      <c r="U51" s="2857"/>
      <c r="V51" s="2857"/>
      <c r="W51" s="2857"/>
      <c r="X51" s="2857"/>
      <c r="Y51" s="2857"/>
      <c r="Z51" s="2857"/>
      <c r="AA51" s="2857"/>
      <c r="AB51" s="2857"/>
      <c r="AC51" s="2857"/>
    </row>
    <row r="52" spans="1:29" s="407" customFormat="1" ht="15.75" thickBot="1">
      <c r="A52" s="863"/>
      <c r="B52" s="852"/>
      <c r="C52" s="981">
        <v>100</v>
      </c>
      <c r="D52" s="854"/>
      <c r="E52" s="854"/>
      <c r="F52" s="854"/>
      <c r="G52" s="854"/>
      <c r="H52" s="854"/>
      <c r="I52" s="854"/>
      <c r="J52" s="854"/>
      <c r="K52" s="854"/>
      <c r="L52" s="854"/>
      <c r="M52" s="856"/>
      <c r="N52" s="2370"/>
      <c r="O52" s="2370"/>
      <c r="P52" s="2858"/>
      <c r="Q52" s="2853"/>
      <c r="R52" s="2857"/>
      <c r="S52" s="2857"/>
      <c r="T52" s="2857"/>
      <c r="U52" s="2857"/>
      <c r="V52" s="2857"/>
      <c r="W52" s="2857"/>
      <c r="X52" s="2857"/>
      <c r="Y52" s="2857"/>
      <c r="Z52" s="2857"/>
      <c r="AA52" s="2857"/>
      <c r="AB52" s="2857"/>
      <c r="AC52" s="2857"/>
    </row>
    <row r="53" spans="1:29">
      <c r="A53" s="869" t="s">
        <v>419</v>
      </c>
      <c r="B53" s="870" t="s">
        <v>420</v>
      </c>
      <c r="C53" s="871">
        <f>C9</f>
        <v>0</v>
      </c>
      <c r="D53" s="872"/>
      <c r="E53" s="872"/>
      <c r="F53" s="872"/>
      <c r="G53" s="872"/>
      <c r="H53" s="872"/>
      <c r="I53" s="872"/>
      <c r="J53" s="872"/>
      <c r="K53" s="873"/>
      <c r="L53" s="874"/>
      <c r="M53" s="875"/>
      <c r="N53" s="2371"/>
      <c r="O53" s="2371"/>
      <c r="P53" s="2859"/>
      <c r="Q53" s="2853"/>
      <c r="R53" s="2363"/>
      <c r="S53" s="2363"/>
      <c r="T53" s="2363"/>
      <c r="U53" s="2363"/>
      <c r="V53" s="2363"/>
      <c r="W53" s="2363"/>
      <c r="X53" s="2363"/>
      <c r="Y53" s="2363"/>
      <c r="Z53" s="2363"/>
      <c r="AA53" s="2363"/>
      <c r="AB53" s="2363"/>
      <c r="AC53" s="2363"/>
    </row>
    <row r="54" spans="1:29" ht="15.75" thickBot="1">
      <c r="A54" s="876"/>
      <c r="B54" s="877"/>
      <c r="C54" s="878">
        <v>100</v>
      </c>
      <c r="D54" s="878"/>
      <c r="E54" s="878"/>
      <c r="F54" s="878"/>
      <c r="G54" s="878"/>
      <c r="H54" s="878"/>
      <c r="I54" s="878"/>
      <c r="J54" s="878"/>
      <c r="K54" s="878"/>
      <c r="L54" s="878"/>
      <c r="M54" s="879"/>
      <c r="N54" s="2372"/>
      <c r="O54" s="2372"/>
      <c r="P54" s="2859"/>
      <c r="Q54" s="2853"/>
      <c r="R54" s="2363"/>
      <c r="S54" s="2363"/>
      <c r="T54" s="2363"/>
      <c r="U54" s="2363"/>
      <c r="V54" s="2363"/>
      <c r="W54" s="2363"/>
      <c r="X54" s="2363"/>
      <c r="Y54" s="2363"/>
      <c r="Z54" s="2363"/>
      <c r="AA54" s="2363"/>
      <c r="AB54" s="2363"/>
      <c r="AC54" s="2363"/>
    </row>
    <row r="55" spans="1:29" ht="27.75" thickTop="1">
      <c r="A55" s="876"/>
      <c r="B55" s="880" t="s">
        <v>405</v>
      </c>
      <c r="C55" s="881" t="s">
        <v>421</v>
      </c>
      <c r="D55" s="881" t="s">
        <v>422</v>
      </c>
      <c r="E55" s="881" t="s">
        <v>423</v>
      </c>
      <c r="F55" s="881" t="s">
        <v>424</v>
      </c>
      <c r="G55" s="881" t="s">
        <v>439</v>
      </c>
      <c r="H55" s="881" t="s">
        <v>440</v>
      </c>
      <c r="I55" s="881" t="s">
        <v>441</v>
      </c>
      <c r="J55" s="881"/>
      <c r="K55" s="882"/>
      <c r="L55" s="883"/>
      <c r="M55" s="884"/>
      <c r="N55" s="2371"/>
      <c r="O55" s="2371"/>
      <c r="P55" s="2859"/>
      <c r="Q55" s="2853"/>
      <c r="R55" s="2363"/>
      <c r="S55" s="2363"/>
      <c r="T55" s="2363"/>
      <c r="U55" s="2363"/>
      <c r="V55" s="2363"/>
      <c r="W55" s="2363"/>
      <c r="X55" s="2363"/>
      <c r="Y55" s="2363"/>
      <c r="Z55" s="2363"/>
      <c r="AA55" s="2363"/>
      <c r="AB55" s="2363"/>
      <c r="AC55" s="2363"/>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2"/>
      <c r="O56" s="2372"/>
      <c r="P56" s="2859"/>
      <c r="Q56" s="2853"/>
      <c r="R56" s="2363"/>
      <c r="S56" s="2363"/>
      <c r="T56" s="2363"/>
      <c r="U56" s="2363"/>
      <c r="V56" s="2363"/>
      <c r="W56" s="2363"/>
      <c r="X56" s="2363"/>
      <c r="Y56" s="2363"/>
      <c r="Z56" s="2363"/>
      <c r="AA56" s="2363"/>
      <c r="AB56" s="2363"/>
      <c r="AC56" s="2363"/>
    </row>
    <row r="57" spans="1:29" ht="15.75" thickTop="1">
      <c r="A57" s="876"/>
      <c r="B57" s="1002">
        <f>B11</f>
        <v>111</v>
      </c>
      <c r="C57" s="891"/>
      <c r="D57" s="891"/>
      <c r="E57" s="891"/>
      <c r="F57" s="891"/>
      <c r="G57" s="891"/>
      <c r="H57" s="891"/>
      <c r="I57" s="891"/>
      <c r="J57" s="891"/>
      <c r="K57" s="892"/>
      <c r="L57" s="893"/>
      <c r="M57" s="894"/>
      <c r="N57" s="2371"/>
      <c r="O57" s="2371"/>
      <c r="P57" s="2859"/>
      <c r="Q57" s="2853"/>
      <c r="R57" s="2363"/>
      <c r="S57" s="2363"/>
      <c r="T57" s="2363"/>
      <c r="U57" s="2363"/>
      <c r="V57" s="2363"/>
      <c r="W57" s="2363"/>
      <c r="X57" s="2363"/>
      <c r="Y57" s="2363"/>
      <c r="Z57" s="2363"/>
      <c r="AA57" s="2363"/>
      <c r="AB57" s="2363"/>
      <c r="AC57" s="2363"/>
    </row>
    <row r="58" spans="1:29" ht="15.75" thickBot="1">
      <c r="A58" s="876"/>
      <c r="B58" s="877"/>
      <c r="C58" s="902"/>
      <c r="D58" s="878"/>
      <c r="E58" s="878"/>
      <c r="F58" s="878"/>
      <c r="G58" s="878"/>
      <c r="H58" s="878"/>
      <c r="I58" s="878"/>
      <c r="J58" s="878"/>
      <c r="K58" s="878"/>
      <c r="L58" s="878"/>
      <c r="M58" s="879"/>
      <c r="N58" s="2372"/>
      <c r="O58" s="2372"/>
      <c r="P58" s="2859"/>
      <c r="Q58" s="2853"/>
      <c r="R58" s="2363"/>
      <c r="S58" s="2363"/>
      <c r="T58" s="2363"/>
      <c r="U58" s="2363"/>
      <c r="V58" s="2363"/>
      <c r="W58" s="2363"/>
      <c r="X58" s="2363"/>
      <c r="Y58" s="2363"/>
      <c r="Z58" s="2363"/>
      <c r="AA58" s="2363"/>
      <c r="AB58" s="2363"/>
      <c r="AC58" s="2363"/>
    </row>
    <row r="59" spans="1:29" s="813" customFormat="1" ht="15.75" thickTop="1">
      <c r="A59" s="895"/>
      <c r="B59" s="880">
        <f>B12</f>
        <v>111</v>
      </c>
      <c r="C59" s="891"/>
      <c r="D59" s="891"/>
      <c r="E59" s="891"/>
      <c r="F59" s="891"/>
      <c r="G59" s="896"/>
      <c r="H59" s="897"/>
      <c r="I59" s="897"/>
      <c r="J59" s="897"/>
      <c r="K59" s="897"/>
      <c r="L59" s="898"/>
      <c r="M59" s="899"/>
      <c r="N59" s="2373"/>
      <c r="O59" s="2373"/>
      <c r="P59" s="2860"/>
      <c r="Q59" s="2861"/>
      <c r="R59" s="2862"/>
      <c r="S59" s="2862"/>
      <c r="T59" s="2862"/>
      <c r="U59" s="2862"/>
      <c r="V59" s="2862"/>
      <c r="W59" s="2862"/>
      <c r="X59" s="2862"/>
      <c r="Y59" s="2862"/>
      <c r="Z59" s="2862"/>
      <c r="AA59" s="2862"/>
      <c r="AB59" s="2862"/>
      <c r="AC59" s="2862"/>
    </row>
    <row r="60" spans="1:29" s="813" customFormat="1" ht="15.75" thickBot="1">
      <c r="A60" s="895"/>
      <c r="B60" s="885"/>
      <c r="C60" s="902"/>
      <c r="D60" s="878"/>
      <c r="E60" s="878"/>
      <c r="F60" s="878"/>
      <c r="G60" s="878"/>
      <c r="H60" s="878"/>
      <c r="I60" s="878"/>
      <c r="J60" s="878"/>
      <c r="K60" s="878"/>
      <c r="L60" s="878"/>
      <c r="M60" s="879"/>
      <c r="N60" s="2372"/>
      <c r="O60" s="2372"/>
      <c r="P60" s="2860"/>
      <c r="Q60" s="2861"/>
      <c r="R60" s="2862"/>
      <c r="S60" s="2862"/>
      <c r="T60" s="2862"/>
      <c r="U60" s="2862"/>
      <c r="V60" s="2862"/>
      <c r="W60" s="2862"/>
      <c r="X60" s="2862"/>
      <c r="Y60" s="2862"/>
      <c r="Z60" s="2862"/>
      <c r="AA60" s="2862"/>
      <c r="AB60" s="2862"/>
      <c r="AC60" s="2862"/>
    </row>
    <row r="61" spans="1:29" s="813" customFormat="1" ht="15.75" thickTop="1">
      <c r="A61" s="895"/>
      <c r="B61" s="880">
        <f>B13</f>
        <v>111</v>
      </c>
      <c r="C61" s="896"/>
      <c r="D61" s="896"/>
      <c r="E61" s="896"/>
      <c r="F61" s="896"/>
      <c r="G61" s="896"/>
      <c r="H61" s="897"/>
      <c r="I61" s="897"/>
      <c r="J61" s="897"/>
      <c r="K61" s="897"/>
      <c r="L61" s="898"/>
      <c r="M61" s="899"/>
      <c r="N61" s="2373"/>
      <c r="O61" s="2373"/>
      <c r="P61" s="2863"/>
      <c r="Q61" s="2864"/>
      <c r="R61" s="2862"/>
      <c r="S61" s="2862"/>
      <c r="T61" s="2862"/>
      <c r="U61" s="2862"/>
      <c r="V61" s="2862"/>
      <c r="W61" s="2862"/>
      <c r="X61" s="2862"/>
      <c r="Y61" s="2862"/>
      <c r="Z61" s="2862"/>
      <c r="AA61" s="2862"/>
      <c r="AB61" s="2862"/>
      <c r="AC61" s="2862"/>
    </row>
    <row r="62" spans="1:29" s="813" customFormat="1" ht="15.75" thickBot="1">
      <c r="A62" s="895"/>
      <c r="B62" s="885"/>
      <c r="C62" s="902"/>
      <c r="D62" s="902"/>
      <c r="E62" s="902"/>
      <c r="F62" s="902"/>
      <c r="G62" s="902"/>
      <c r="H62" s="904"/>
      <c r="I62" s="904"/>
      <c r="J62" s="904"/>
      <c r="K62" s="904"/>
      <c r="L62" s="904"/>
      <c r="M62" s="905"/>
      <c r="N62" s="2373"/>
      <c r="O62" s="2373"/>
      <c r="P62" s="2860"/>
      <c r="Q62" s="2861"/>
      <c r="R62" s="2862"/>
      <c r="S62" s="2862"/>
      <c r="T62" s="2862"/>
      <c r="U62" s="2862"/>
      <c r="V62" s="2862"/>
      <c r="W62" s="2862"/>
      <c r="X62" s="2862"/>
      <c r="Y62" s="2862"/>
      <c r="Z62" s="2862"/>
      <c r="AA62" s="2862"/>
      <c r="AB62" s="2862"/>
      <c r="AC62" s="2862"/>
    </row>
    <row r="63" spans="1:29" ht="15" thickTop="1">
      <c r="A63" s="869" t="s">
        <v>407</v>
      </c>
      <c r="B63" s="870" t="s">
        <v>431</v>
      </c>
      <c r="C63" s="915" t="s">
        <v>426</v>
      </c>
      <c r="D63" s="915" t="s">
        <v>427</v>
      </c>
      <c r="E63" s="915" t="s">
        <v>428</v>
      </c>
      <c r="F63" s="915" t="s">
        <v>429</v>
      </c>
      <c r="G63" s="915" t="s">
        <v>430</v>
      </c>
      <c r="H63" s="871"/>
      <c r="I63" s="871"/>
      <c r="J63" s="871"/>
      <c r="K63" s="916"/>
      <c r="L63" s="917"/>
      <c r="M63" s="918"/>
      <c r="N63" s="2371"/>
      <c r="O63" s="2371"/>
      <c r="P63" s="2865"/>
      <c r="Q63" s="2853"/>
      <c r="R63" s="2363"/>
      <c r="S63" s="2363"/>
      <c r="T63" s="2363"/>
      <c r="U63" s="2363"/>
      <c r="V63" s="2363"/>
      <c r="W63" s="2363"/>
      <c r="X63" s="2363"/>
      <c r="Y63" s="2363"/>
      <c r="Z63" s="2363"/>
      <c r="AA63" s="2363"/>
      <c r="AB63" s="2363"/>
      <c r="AC63" s="2363"/>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2"/>
      <c r="O64" s="2372"/>
      <c r="P64" s="2859"/>
      <c r="Q64" s="2853"/>
      <c r="R64" s="2363"/>
      <c r="S64" s="2363"/>
      <c r="T64" s="2363"/>
      <c r="U64" s="2363"/>
      <c r="V64" s="2363"/>
      <c r="W64" s="2363"/>
      <c r="X64" s="2363"/>
      <c r="Y64" s="2363"/>
      <c r="Z64" s="2363"/>
      <c r="AA64" s="2363"/>
      <c r="AB64" s="2363"/>
      <c r="AC64" s="2363"/>
    </row>
    <row r="65" spans="1:29" ht="15.75" thickTop="1">
      <c r="A65" s="876"/>
      <c r="B65" s="1053" t="s">
        <v>2639</v>
      </c>
      <c r="C65" s="920" t="s">
        <v>426</v>
      </c>
      <c r="D65" s="920" t="s">
        <v>427</v>
      </c>
      <c r="E65" s="920" t="s">
        <v>428</v>
      </c>
      <c r="F65" s="920" t="s">
        <v>429</v>
      </c>
      <c r="G65" s="920" t="s">
        <v>430</v>
      </c>
      <c r="H65" s="881"/>
      <c r="I65" s="881"/>
      <c r="J65" s="881"/>
      <c r="K65" s="882"/>
      <c r="L65" s="883"/>
      <c r="M65" s="884"/>
      <c r="N65" s="2371"/>
      <c r="O65" s="2371"/>
      <c r="P65" s="2859"/>
      <c r="Q65" s="2853"/>
      <c r="R65" s="2363"/>
      <c r="S65" s="2363"/>
      <c r="T65" s="2363"/>
      <c r="U65" s="2363"/>
      <c r="V65" s="2363"/>
      <c r="W65" s="2363"/>
      <c r="X65" s="2363"/>
      <c r="Y65" s="2363"/>
      <c r="Z65" s="2363"/>
      <c r="AA65" s="2363"/>
      <c r="AB65" s="2363"/>
      <c r="AC65" s="2363"/>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2"/>
      <c r="O66" s="2372"/>
      <c r="P66" s="2859"/>
      <c r="Q66" s="2853"/>
      <c r="R66" s="2363"/>
      <c r="S66" s="2363"/>
      <c r="T66" s="2363"/>
      <c r="U66" s="2363"/>
      <c r="V66" s="2363"/>
      <c r="W66" s="2363"/>
      <c r="X66" s="2363"/>
      <c r="Y66" s="2363"/>
      <c r="Z66" s="2363"/>
      <c r="AA66" s="2363"/>
      <c r="AB66" s="2363"/>
      <c r="AC66" s="2363"/>
    </row>
    <row r="67" spans="1:29" ht="15.75" thickTop="1">
      <c r="A67" s="876"/>
      <c r="B67" s="1055" t="s">
        <v>2669</v>
      </c>
      <c r="C67" s="213" t="s">
        <v>2659</v>
      </c>
      <c r="D67" s="213" t="s">
        <v>2660</v>
      </c>
      <c r="E67" s="213" t="s">
        <v>2661</v>
      </c>
      <c r="F67" s="213" t="s">
        <v>2662</v>
      </c>
      <c r="G67" s="213" t="s">
        <v>2663</v>
      </c>
      <c r="H67" s="881"/>
      <c r="I67" s="881"/>
      <c r="J67" s="881"/>
      <c r="K67" s="881"/>
      <c r="L67" s="881"/>
      <c r="M67" s="2766"/>
      <c r="N67" s="2372"/>
      <c r="O67" s="2372"/>
      <c r="P67" s="2859"/>
      <c r="Q67" s="2853"/>
      <c r="R67" s="2363"/>
      <c r="S67" s="2363"/>
      <c r="T67" s="2363"/>
      <c r="U67" s="2363"/>
      <c r="V67" s="2363"/>
      <c r="W67" s="2363"/>
      <c r="X67" s="2363"/>
      <c r="Y67" s="2363"/>
      <c r="Z67" s="2363"/>
      <c r="AA67" s="2363"/>
      <c r="AB67" s="2363"/>
      <c r="AC67" s="2363"/>
    </row>
    <row r="68" spans="1:29" ht="15.75" thickBot="1">
      <c r="A68" s="876"/>
      <c r="B68" s="888"/>
      <c r="C68" s="886">
        <v>100</v>
      </c>
      <c r="D68" s="886">
        <f>C68-$K18</f>
        <v>100</v>
      </c>
      <c r="E68" s="886">
        <f>D68-$K18</f>
        <v>100</v>
      </c>
      <c r="F68" s="886">
        <f>E68-$K18</f>
        <v>100</v>
      </c>
      <c r="G68" s="886">
        <f>F68-$K18</f>
        <v>100</v>
      </c>
      <c r="H68" s="1002"/>
      <c r="I68" s="1002"/>
      <c r="J68" s="1002"/>
      <c r="K68" s="1002"/>
      <c r="L68" s="1002"/>
      <c r="M68" s="793"/>
      <c r="N68" s="2372"/>
      <c r="O68" s="2372"/>
      <c r="P68" s="2859"/>
      <c r="Q68" s="2853"/>
      <c r="R68" s="2363"/>
      <c r="S68" s="2363"/>
      <c r="T68" s="2363"/>
      <c r="U68" s="2363"/>
      <c r="V68" s="2363"/>
      <c r="W68" s="2363"/>
      <c r="X68" s="2363"/>
      <c r="Y68" s="2363"/>
      <c r="Z68" s="2363"/>
      <c r="AA68" s="2363"/>
      <c r="AB68" s="2363"/>
      <c r="AC68" s="2363"/>
    </row>
    <row r="69" spans="1:29" ht="15.75" thickTop="1">
      <c r="A69" s="876"/>
      <c r="B69" s="880" t="s">
        <v>433</v>
      </c>
      <c r="C69" s="920" t="s">
        <v>426</v>
      </c>
      <c r="D69" s="920" t="s">
        <v>427</v>
      </c>
      <c r="E69" s="920" t="s">
        <v>428</v>
      </c>
      <c r="F69" s="920" t="s">
        <v>429</v>
      </c>
      <c r="G69" s="920" t="s">
        <v>430</v>
      </c>
      <c r="H69" s="881"/>
      <c r="I69" s="881"/>
      <c r="J69" s="881"/>
      <c r="K69" s="882"/>
      <c r="L69" s="883"/>
      <c r="M69" s="884"/>
      <c r="N69" s="2371"/>
      <c r="O69" s="2371"/>
      <c r="P69" s="2859"/>
      <c r="Q69" s="2853"/>
      <c r="R69" s="2363"/>
      <c r="S69" s="2363"/>
      <c r="T69" s="2363"/>
      <c r="U69" s="2363"/>
      <c r="V69" s="2363"/>
      <c r="W69" s="2363"/>
      <c r="X69" s="2363"/>
      <c r="Y69" s="2363"/>
      <c r="Z69" s="2363"/>
      <c r="AA69" s="2363"/>
      <c r="AB69" s="2363"/>
      <c r="AC69" s="2363"/>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2"/>
      <c r="O70" s="2372"/>
      <c r="P70" s="2859"/>
      <c r="Q70" s="2853"/>
      <c r="R70" s="2363"/>
      <c r="S70" s="2363"/>
      <c r="T70" s="2363"/>
      <c r="U70" s="2363"/>
      <c r="V70" s="2363"/>
      <c r="W70" s="2363"/>
      <c r="X70" s="2363"/>
      <c r="Y70" s="2363"/>
      <c r="Z70" s="2363"/>
      <c r="AA70" s="2363"/>
      <c r="AB70" s="2363"/>
      <c r="AC70" s="2363"/>
    </row>
    <row r="71" spans="1:29" ht="15.75" thickTop="1">
      <c r="A71" s="876"/>
      <c r="B71" s="880" t="s">
        <v>434</v>
      </c>
      <c r="C71" s="896"/>
      <c r="D71" s="896"/>
      <c r="E71" s="896"/>
      <c r="F71" s="896"/>
      <c r="G71" s="896"/>
      <c r="H71" s="925"/>
      <c r="I71" s="925"/>
      <c r="J71" s="925"/>
      <c r="K71" s="926"/>
      <c r="L71" s="927"/>
      <c r="M71" s="928"/>
      <c r="N71" s="2371"/>
      <c r="O71" s="2371"/>
      <c r="P71" s="2859"/>
      <c r="Q71" s="2853"/>
      <c r="R71" s="2363"/>
      <c r="S71" s="2363"/>
      <c r="T71" s="2363"/>
      <c r="U71" s="2363"/>
      <c r="V71" s="2363"/>
      <c r="W71" s="2363"/>
      <c r="X71" s="2363"/>
      <c r="Y71" s="2363"/>
      <c r="Z71" s="2363"/>
      <c r="AA71" s="2363"/>
      <c r="AB71" s="2363"/>
      <c r="AC71" s="2363"/>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2"/>
      <c r="O72" s="2372"/>
      <c r="P72" s="2859"/>
      <c r="Q72" s="2853"/>
      <c r="R72" s="2363"/>
      <c r="S72" s="2363"/>
      <c r="T72" s="2363"/>
      <c r="U72" s="2363"/>
      <c r="V72" s="2363"/>
      <c r="W72" s="2363"/>
      <c r="X72" s="2363"/>
      <c r="Y72" s="2363"/>
      <c r="Z72" s="2363"/>
      <c r="AA72" s="2363"/>
      <c r="AB72" s="2363"/>
      <c r="AC72" s="2363"/>
    </row>
    <row r="73" spans="1:29" s="407" customFormat="1" ht="15.75" thickTop="1">
      <c r="A73" s="921"/>
      <c r="B73" s="880">
        <f>B23</f>
        <v>111</v>
      </c>
      <c r="C73" s="891"/>
      <c r="D73" s="891"/>
      <c r="E73" s="891"/>
      <c r="F73" s="891"/>
      <c r="G73" s="896"/>
      <c r="H73" s="896"/>
      <c r="I73" s="896"/>
      <c r="J73" s="896"/>
      <c r="K73" s="896"/>
      <c r="L73" s="922"/>
      <c r="M73" s="923"/>
      <c r="N73" s="2370"/>
      <c r="O73" s="2370"/>
      <c r="P73" s="2859"/>
      <c r="Q73" s="2853"/>
      <c r="R73" s="2857"/>
      <c r="S73" s="2857"/>
      <c r="T73" s="2857"/>
      <c r="U73" s="2857"/>
      <c r="V73" s="2857"/>
      <c r="W73" s="2857"/>
      <c r="X73" s="2857"/>
      <c r="Y73" s="2857"/>
      <c r="Z73" s="2857"/>
      <c r="AA73" s="2857"/>
      <c r="AB73" s="2857"/>
      <c r="AC73" s="2857"/>
    </row>
    <row r="74" spans="1:29" s="407" customFormat="1" ht="15.75" thickBot="1">
      <c r="A74" s="921"/>
      <c r="B74" s="885"/>
      <c r="C74" s="902"/>
      <c r="D74" s="878"/>
      <c r="E74" s="878"/>
      <c r="F74" s="878"/>
      <c r="G74" s="878"/>
      <c r="H74" s="878"/>
      <c r="I74" s="878"/>
      <c r="J74" s="878"/>
      <c r="K74" s="878"/>
      <c r="L74" s="878"/>
      <c r="M74" s="879"/>
      <c r="N74" s="2372"/>
      <c r="O74" s="2372"/>
      <c r="P74" s="2859"/>
      <c r="Q74" s="2853"/>
      <c r="R74" s="2857"/>
      <c r="S74" s="2857"/>
      <c r="T74" s="2857"/>
      <c r="U74" s="2857"/>
      <c r="V74" s="2857"/>
      <c r="W74" s="2857"/>
      <c r="X74" s="2857"/>
      <c r="Y74" s="2857"/>
      <c r="Z74" s="2857"/>
      <c r="AA74" s="2857"/>
      <c r="AB74" s="2857"/>
      <c r="AC74" s="2857"/>
    </row>
    <row r="75" spans="1:29" s="407" customFormat="1" ht="15.75" thickTop="1">
      <c r="A75" s="921"/>
      <c r="B75" s="880">
        <f>B24</f>
        <v>111</v>
      </c>
      <c r="C75" s="891"/>
      <c r="D75" s="891"/>
      <c r="E75" s="891"/>
      <c r="F75" s="891"/>
      <c r="G75" s="896"/>
      <c r="H75" s="896"/>
      <c r="I75" s="896"/>
      <c r="J75" s="896"/>
      <c r="K75" s="896"/>
      <c r="L75" s="896"/>
      <c r="M75" s="923"/>
      <c r="N75" s="2370"/>
      <c r="O75" s="2370"/>
      <c r="P75" s="2859"/>
      <c r="Q75" s="2853"/>
      <c r="R75" s="2857"/>
      <c r="S75" s="2857"/>
      <c r="T75" s="2857"/>
      <c r="U75" s="2857"/>
      <c r="V75" s="2857"/>
      <c r="W75" s="2857"/>
      <c r="X75" s="2857"/>
      <c r="Y75" s="2857"/>
      <c r="Z75" s="2857"/>
      <c r="AA75" s="2857"/>
      <c r="AB75" s="2857"/>
      <c r="AC75" s="2857"/>
    </row>
    <row r="76" spans="1:29" s="407" customFormat="1" ht="15.75" thickBot="1">
      <c r="A76" s="921"/>
      <c r="B76" s="885"/>
      <c r="C76" s="902"/>
      <c r="D76" s="878"/>
      <c r="E76" s="878"/>
      <c r="F76" s="878"/>
      <c r="G76" s="878"/>
      <c r="H76" s="878"/>
      <c r="I76" s="878"/>
      <c r="J76" s="878"/>
      <c r="K76" s="878"/>
      <c r="L76" s="878"/>
      <c r="M76" s="879"/>
      <c r="N76" s="2372"/>
      <c r="O76" s="2372"/>
      <c r="P76" s="2859"/>
      <c r="Q76" s="2853"/>
      <c r="R76" s="2857"/>
      <c r="S76" s="2857"/>
      <c r="T76" s="2857"/>
      <c r="U76" s="2857"/>
      <c r="V76" s="2857"/>
      <c r="W76" s="2857"/>
      <c r="X76" s="2857"/>
      <c r="Y76" s="2857"/>
      <c r="Z76" s="2857"/>
      <c r="AA76" s="2857"/>
      <c r="AB76" s="2857"/>
      <c r="AC76" s="2857"/>
    </row>
    <row r="77" spans="1:29" s="813" customFormat="1" ht="15.75" thickTop="1">
      <c r="A77" s="895"/>
      <c r="B77" s="880">
        <f>B25</f>
        <v>111</v>
      </c>
      <c r="C77" s="896"/>
      <c r="D77" s="896"/>
      <c r="E77" s="896"/>
      <c r="F77" s="896"/>
      <c r="G77" s="896"/>
      <c r="H77" s="897"/>
      <c r="I77" s="897"/>
      <c r="J77" s="897"/>
      <c r="K77" s="897"/>
      <c r="L77" s="898"/>
      <c r="M77" s="899"/>
      <c r="N77" s="2373"/>
      <c r="O77" s="2373"/>
      <c r="P77" s="2860"/>
      <c r="Q77" s="2861"/>
      <c r="R77" s="2862"/>
      <c r="S77" s="2862"/>
      <c r="T77" s="2862"/>
      <c r="U77" s="2862"/>
      <c r="V77" s="2862"/>
      <c r="W77" s="2862"/>
      <c r="X77" s="2862"/>
      <c r="Y77" s="2862"/>
      <c r="Z77" s="2862"/>
      <c r="AA77" s="2862"/>
      <c r="AB77" s="2862"/>
      <c r="AC77" s="2862"/>
    </row>
    <row r="78" spans="1:29" s="813" customFormat="1" ht="15.75" thickBot="1">
      <c r="A78" s="895"/>
      <c r="B78" s="885"/>
      <c r="C78" s="902"/>
      <c r="D78" s="902"/>
      <c r="E78" s="902"/>
      <c r="F78" s="902"/>
      <c r="G78" s="878"/>
      <c r="H78" s="878"/>
      <c r="I78" s="878"/>
      <c r="J78" s="878"/>
      <c r="K78" s="878"/>
      <c r="L78" s="878"/>
      <c r="M78" s="879"/>
      <c r="N78" s="2373"/>
      <c r="O78" s="2373"/>
      <c r="P78" s="2860"/>
      <c r="Q78" s="2861"/>
      <c r="R78" s="2862"/>
      <c r="S78" s="2862"/>
      <c r="T78" s="2862"/>
      <c r="U78" s="2862"/>
      <c r="V78" s="2862"/>
      <c r="W78" s="2862"/>
      <c r="X78" s="2862"/>
      <c r="Y78" s="2862"/>
      <c r="Z78" s="2862"/>
      <c r="AA78" s="2862"/>
      <c r="AB78" s="2862"/>
      <c r="AC78" s="2862"/>
    </row>
    <row r="79" spans="1:29" ht="27.75" thickTop="1">
      <c r="A79" s="869" t="s">
        <v>409</v>
      </c>
      <c r="B79" s="870" t="s">
        <v>468</v>
      </c>
      <c r="C79" s="871">
        <f>C26</f>
        <v>0</v>
      </c>
      <c r="D79" s="872"/>
      <c r="E79" s="872"/>
      <c r="F79" s="872"/>
      <c r="G79" s="872"/>
      <c r="H79" s="872"/>
      <c r="I79" s="872"/>
      <c r="J79" s="872"/>
      <c r="K79" s="873"/>
      <c r="L79" s="874"/>
      <c r="M79" s="875"/>
      <c r="N79" s="2371"/>
      <c r="O79" s="2371"/>
      <c r="P79" s="2859"/>
      <c r="Q79" s="2853"/>
      <c r="R79" s="2363"/>
      <c r="S79" s="2363"/>
      <c r="T79" s="2363"/>
      <c r="U79" s="2363"/>
      <c r="V79" s="2363"/>
      <c r="W79" s="2363"/>
      <c r="X79" s="2363"/>
      <c r="Y79" s="2363"/>
      <c r="Z79" s="2363"/>
      <c r="AA79" s="2363"/>
      <c r="AB79" s="2363"/>
      <c r="AC79" s="2363"/>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2"/>
      <c r="O80" s="2372"/>
      <c r="P80" s="2859"/>
      <c r="Q80" s="2853"/>
      <c r="R80" s="2363"/>
      <c r="S80" s="2363"/>
      <c r="T80" s="2363"/>
      <c r="U80" s="2363"/>
      <c r="V80" s="2363"/>
      <c r="W80" s="2363"/>
      <c r="X80" s="2363"/>
      <c r="Y80" s="2363"/>
      <c r="Z80" s="2363"/>
      <c r="AA80" s="2363"/>
      <c r="AB80" s="2363"/>
      <c r="AC80" s="2363"/>
    </row>
    <row r="81" spans="1:29" ht="15.75" thickTop="1">
      <c r="A81" s="876"/>
      <c r="B81" s="880" t="s">
        <v>469</v>
      </c>
      <c r="C81" s="1003"/>
      <c r="D81" s="1003"/>
      <c r="E81" s="1003"/>
      <c r="F81" s="1003"/>
      <c r="G81" s="1003"/>
      <c r="H81" s="1003"/>
      <c r="I81" s="1003"/>
      <c r="J81" s="1003"/>
      <c r="K81" s="1004"/>
      <c r="L81" s="1005"/>
      <c r="M81" s="1006"/>
      <c r="N81" s="2370"/>
      <c r="O81" s="2370"/>
      <c r="P81" s="2859"/>
      <c r="Q81" s="2853"/>
      <c r="R81" s="2363"/>
      <c r="S81" s="2363"/>
      <c r="T81" s="2363"/>
      <c r="U81" s="2363"/>
      <c r="V81" s="2363"/>
      <c r="W81" s="2363"/>
      <c r="X81" s="2363"/>
      <c r="Y81" s="2363"/>
      <c r="Z81" s="2363"/>
      <c r="AA81" s="2363"/>
      <c r="AB81" s="2363"/>
      <c r="AC81" s="2363"/>
    </row>
    <row r="82" spans="1:29" s="813" customFormat="1" ht="15.75" thickBot="1">
      <c r="A82" s="895"/>
      <c r="B82" s="885"/>
      <c r="C82" s="902"/>
      <c r="D82" s="878"/>
      <c r="E82" s="878"/>
      <c r="F82" s="878"/>
      <c r="G82" s="878"/>
      <c r="H82" s="878"/>
      <c r="I82" s="878"/>
      <c r="J82" s="878"/>
      <c r="K82" s="878"/>
      <c r="L82" s="878"/>
      <c r="M82" s="879"/>
      <c r="N82" s="2372"/>
      <c r="O82" s="2372"/>
      <c r="P82" s="2860"/>
      <c r="Q82" s="2861"/>
      <c r="R82" s="2862"/>
      <c r="S82" s="2862"/>
      <c r="T82" s="2862"/>
      <c r="U82" s="2862"/>
      <c r="V82" s="2862"/>
      <c r="W82" s="2862"/>
      <c r="X82" s="2862"/>
      <c r="Y82" s="2862"/>
      <c r="Z82" s="2862"/>
      <c r="AA82" s="2862"/>
      <c r="AB82" s="2862"/>
      <c r="AC82" s="2862"/>
    </row>
    <row r="83" spans="1:29" ht="15" thickTop="1">
      <c r="A83" s="941"/>
      <c r="B83" s="880" t="s">
        <v>435</v>
      </c>
      <c r="C83" s="896"/>
      <c r="D83" s="896"/>
      <c r="E83" s="925"/>
      <c r="F83" s="925"/>
      <c r="G83" s="925"/>
      <c r="H83" s="925"/>
      <c r="I83" s="925"/>
      <c r="J83" s="925"/>
      <c r="K83" s="926"/>
      <c r="L83" s="927"/>
      <c r="M83" s="928"/>
      <c r="N83" s="2371"/>
      <c r="O83" s="2371"/>
      <c r="P83" s="2859"/>
      <c r="Q83" s="2853"/>
      <c r="R83" s="2363"/>
      <c r="S83" s="2363"/>
      <c r="T83" s="2363"/>
      <c r="U83" s="2363"/>
      <c r="V83" s="2363"/>
      <c r="W83" s="2363"/>
      <c r="X83" s="2363"/>
      <c r="Y83" s="2363"/>
      <c r="Z83" s="2363"/>
      <c r="AA83" s="2363"/>
      <c r="AB83" s="2363"/>
      <c r="AC83" s="2363"/>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2"/>
      <c r="O84" s="2372"/>
      <c r="P84" s="2859"/>
      <c r="Q84" s="2853"/>
      <c r="R84" s="2363"/>
      <c r="S84" s="2363"/>
      <c r="T84" s="2363"/>
      <c r="U84" s="2363"/>
      <c r="V84" s="2363"/>
      <c r="W84" s="2363"/>
      <c r="X84" s="2363"/>
      <c r="Y84" s="2363"/>
      <c r="Z84" s="2363"/>
      <c r="AA84" s="2363"/>
      <c r="AB84" s="2363"/>
      <c r="AC84" s="2363"/>
    </row>
    <row r="85" spans="1:29" ht="15" thickTop="1">
      <c r="A85" s="941"/>
      <c r="B85" s="880" t="s">
        <v>470</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1"/>
      <c r="O85" s="2371"/>
      <c r="P85" s="2859"/>
      <c r="Q85" s="2853"/>
      <c r="R85" s="2363"/>
      <c r="S85" s="2363"/>
      <c r="T85" s="2363"/>
      <c r="U85" s="2363"/>
      <c r="V85" s="2363"/>
      <c r="W85" s="2363"/>
      <c r="X85" s="2363"/>
      <c r="Y85" s="2363"/>
      <c r="Z85" s="2363"/>
      <c r="AA85" s="2363"/>
      <c r="AB85" s="2363"/>
      <c r="AC85" s="2363"/>
    </row>
    <row r="86" spans="1:29">
      <c r="A86" s="941"/>
      <c r="B86" s="888"/>
      <c r="C86" s="945">
        <v>0.5</v>
      </c>
      <c r="D86" s="945">
        <v>0.6</v>
      </c>
      <c r="E86" s="945">
        <v>0.7</v>
      </c>
      <c r="F86" s="945">
        <v>0.8</v>
      </c>
      <c r="G86" s="945">
        <v>0.9</v>
      </c>
      <c r="H86" s="945">
        <v>1.0001</v>
      </c>
      <c r="I86" s="965"/>
      <c r="J86" s="965"/>
      <c r="K86" s="966"/>
      <c r="L86" s="967"/>
      <c r="M86" s="968"/>
      <c r="N86" s="2371"/>
      <c r="O86" s="2371"/>
      <c r="P86" s="2859"/>
      <c r="Q86" s="2853"/>
      <c r="R86" s="2363"/>
      <c r="S86" s="2363"/>
      <c r="T86" s="2363"/>
      <c r="U86" s="2363"/>
      <c r="V86" s="2363"/>
      <c r="W86" s="2363"/>
      <c r="X86" s="2363"/>
      <c r="Y86" s="2363"/>
      <c r="Z86" s="2363"/>
      <c r="AA86" s="2363"/>
      <c r="AB86" s="2363"/>
      <c r="AC86" s="2363"/>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2"/>
      <c r="O87" s="2372"/>
      <c r="P87" s="2859"/>
      <c r="Q87" s="2853"/>
      <c r="R87" s="2363"/>
      <c r="S87" s="2363"/>
      <c r="T87" s="2363"/>
      <c r="U87" s="2363"/>
      <c r="V87" s="2363"/>
      <c r="W87" s="2363"/>
      <c r="X87" s="2363"/>
      <c r="Y87" s="2363"/>
      <c r="Z87" s="2363"/>
      <c r="AA87" s="2363"/>
      <c r="AB87" s="2363"/>
      <c r="AC87" s="2363"/>
    </row>
    <row r="88" spans="1:29" ht="15" thickTop="1">
      <c r="A88" s="941"/>
      <c r="B88" s="888" t="s">
        <v>471</v>
      </c>
      <c r="C88" s="872"/>
      <c r="D88" s="872"/>
      <c r="E88" s="872"/>
      <c r="F88" s="872"/>
      <c r="G88" s="872"/>
      <c r="H88" s="872"/>
      <c r="I88" s="872"/>
      <c r="J88" s="872"/>
      <c r="K88" s="873"/>
      <c r="L88" s="874"/>
      <c r="M88" s="875"/>
      <c r="N88" s="2371"/>
      <c r="O88" s="2371"/>
      <c r="P88" s="2859"/>
      <c r="Q88" s="2853"/>
      <c r="R88" s="2363"/>
      <c r="S88" s="2363"/>
      <c r="T88" s="2363"/>
      <c r="U88" s="2363"/>
      <c r="V88" s="2363"/>
      <c r="W88" s="2363"/>
      <c r="X88" s="2363"/>
      <c r="Y88" s="2363"/>
      <c r="Z88" s="2363"/>
      <c r="AA88" s="2363"/>
      <c r="AB88" s="2363"/>
      <c r="AC88" s="2363"/>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2"/>
      <c r="O89" s="2372"/>
      <c r="P89" s="2859"/>
      <c r="Q89" s="2853"/>
      <c r="R89" s="2363"/>
      <c r="S89" s="2363"/>
      <c r="T89" s="2363"/>
      <c r="U89" s="2363"/>
      <c r="V89" s="2363"/>
      <c r="W89" s="2363"/>
      <c r="X89" s="2363"/>
      <c r="Y89" s="2363"/>
      <c r="Z89" s="2363"/>
      <c r="AA89" s="2363"/>
      <c r="AB89" s="2363"/>
      <c r="AC89" s="2363"/>
    </row>
    <row r="90" spans="1:29" s="813" customFormat="1" ht="15" thickTop="1">
      <c r="A90" s="935"/>
      <c r="B90" s="880" t="s">
        <v>472</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3"/>
      <c r="O90" s="2373"/>
      <c r="P90" s="2860"/>
      <c r="Q90" s="2861"/>
      <c r="R90" s="2862"/>
      <c r="S90" s="2862"/>
      <c r="T90" s="2862"/>
      <c r="U90" s="2862"/>
      <c r="V90" s="2862"/>
      <c r="W90" s="2862"/>
      <c r="X90" s="2862"/>
      <c r="Y90" s="2862"/>
      <c r="Z90" s="2862"/>
      <c r="AA90" s="2862"/>
      <c r="AB90" s="2862"/>
      <c r="AC90" s="2862"/>
    </row>
    <row r="91" spans="1:29" s="813" customFormat="1">
      <c r="A91" s="935"/>
      <c r="B91" s="888"/>
      <c r="C91" s="937"/>
      <c r="D91" s="937"/>
      <c r="E91" s="937"/>
      <c r="F91" s="937"/>
      <c r="G91" s="937"/>
      <c r="H91" s="937"/>
      <c r="I91" s="937"/>
      <c r="J91" s="938"/>
      <c r="K91" s="938"/>
      <c r="L91" s="939"/>
      <c r="M91" s="940"/>
      <c r="N91" s="2373"/>
      <c r="O91" s="2373"/>
      <c r="P91" s="2860"/>
      <c r="Q91" s="2861"/>
      <c r="R91" s="2862"/>
      <c r="S91" s="2862"/>
      <c r="T91" s="2862"/>
      <c r="U91" s="2862"/>
      <c r="V91" s="2862"/>
      <c r="W91" s="2862"/>
      <c r="X91" s="2862"/>
      <c r="Y91" s="2862"/>
      <c r="Z91" s="2862"/>
      <c r="AA91" s="2862"/>
      <c r="AB91" s="2862"/>
      <c r="AC91" s="2862"/>
    </row>
    <row r="92" spans="1:29" s="813" customFormat="1" ht="15.75" thickBot="1">
      <c r="A92" s="895"/>
      <c r="B92" s="885"/>
      <c r="C92" s="902"/>
      <c r="D92" s="878"/>
      <c r="E92" s="878"/>
      <c r="F92" s="878"/>
      <c r="G92" s="878"/>
      <c r="H92" s="878"/>
      <c r="I92" s="878"/>
      <c r="J92" s="878"/>
      <c r="K92" s="878"/>
      <c r="L92" s="878"/>
      <c r="M92" s="879"/>
      <c r="N92" s="2373"/>
      <c r="O92" s="2373"/>
      <c r="P92" s="2860"/>
      <c r="Q92" s="2861"/>
      <c r="R92" s="2862"/>
      <c r="S92" s="2862"/>
      <c r="T92" s="2862"/>
      <c r="U92" s="2862"/>
      <c r="V92" s="2862"/>
      <c r="W92" s="2862"/>
      <c r="X92" s="2862"/>
      <c r="Y92" s="2862"/>
      <c r="Z92" s="2862"/>
      <c r="AA92" s="2862"/>
      <c r="AB92" s="2862"/>
      <c r="AC92" s="2862"/>
    </row>
    <row r="93" spans="1:29" ht="15" thickTop="1">
      <c r="A93" s="941"/>
      <c r="B93" s="880" t="s">
        <v>473</v>
      </c>
      <c r="C93" s="896"/>
      <c r="D93" s="896"/>
      <c r="E93" s="925"/>
      <c r="F93" s="925"/>
      <c r="G93" s="925"/>
      <c r="H93" s="925"/>
      <c r="I93" s="925"/>
      <c r="J93" s="925"/>
      <c r="K93" s="926"/>
      <c r="L93" s="927"/>
      <c r="M93" s="928"/>
      <c r="N93" s="2371"/>
      <c r="O93" s="2371"/>
      <c r="P93" s="2859"/>
      <c r="Q93" s="2853"/>
      <c r="R93" s="2363"/>
      <c r="S93" s="2363"/>
      <c r="T93" s="2363"/>
      <c r="U93" s="2363"/>
      <c r="V93" s="2363"/>
      <c r="W93" s="2363"/>
      <c r="X93" s="2363"/>
      <c r="Y93" s="2363"/>
      <c r="Z93" s="2363"/>
      <c r="AA93" s="2363"/>
      <c r="AB93" s="2363"/>
      <c r="AC93" s="2363"/>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2"/>
      <c r="O94" s="2372"/>
      <c r="P94" s="2859"/>
      <c r="Q94" s="2853"/>
      <c r="R94" s="2363"/>
      <c r="S94" s="2363"/>
      <c r="T94" s="2363"/>
      <c r="U94" s="2363"/>
      <c r="V94" s="2363"/>
      <c r="W94" s="2363"/>
      <c r="X94" s="2363"/>
      <c r="Y94" s="2363"/>
      <c r="Z94" s="2363"/>
      <c r="AA94" s="2363"/>
      <c r="AB94" s="2363"/>
      <c r="AC94" s="2363"/>
    </row>
    <row r="95" spans="1:29" ht="15" thickTop="1">
      <c r="A95" s="941"/>
      <c r="B95" s="880" t="s">
        <v>474</v>
      </c>
      <c r="C95" s="872"/>
      <c r="D95" s="872"/>
      <c r="E95" s="872"/>
      <c r="F95" s="872"/>
      <c r="G95" s="872"/>
      <c r="H95" s="872"/>
      <c r="I95" s="872"/>
      <c r="J95" s="872"/>
      <c r="K95" s="873"/>
      <c r="L95" s="874"/>
      <c r="M95" s="875"/>
      <c r="N95" s="2371"/>
      <c r="O95" s="2371"/>
      <c r="P95" s="2859"/>
      <c r="Q95" s="2853"/>
      <c r="R95" s="2363"/>
      <c r="S95" s="2363"/>
      <c r="T95" s="2363"/>
      <c r="U95" s="2363"/>
      <c r="V95" s="2363"/>
      <c r="W95" s="2363"/>
      <c r="X95" s="2363"/>
      <c r="Y95" s="2363"/>
      <c r="Z95" s="2363"/>
      <c r="AA95" s="2363"/>
      <c r="AB95" s="2363"/>
      <c r="AC95" s="2363"/>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2"/>
      <c r="O96" s="2372"/>
      <c r="P96" s="2859"/>
      <c r="Q96" s="2853"/>
      <c r="R96" s="2363"/>
      <c r="S96" s="2363"/>
      <c r="T96" s="2363"/>
      <c r="U96" s="2363"/>
      <c r="V96" s="2363"/>
      <c r="W96" s="2363"/>
      <c r="X96" s="2363"/>
      <c r="Y96" s="2363"/>
      <c r="Z96" s="2363"/>
      <c r="AA96" s="2363"/>
      <c r="AB96" s="2363"/>
      <c r="AC96" s="2363"/>
    </row>
    <row r="97" spans="1:29" ht="15" thickTop="1">
      <c r="A97" s="941"/>
      <c r="B97" s="978">
        <f>B34</f>
        <v>111</v>
      </c>
      <c r="C97" s="891"/>
      <c r="D97" s="891"/>
      <c r="E97" s="891"/>
      <c r="F97" s="891"/>
      <c r="G97" s="896"/>
      <c r="H97" s="897"/>
      <c r="I97" s="897"/>
      <c r="J97" s="897"/>
      <c r="K97" s="897"/>
      <c r="L97" s="898"/>
      <c r="M97" s="899"/>
      <c r="N97" s="2372"/>
      <c r="O97" s="2372"/>
      <c r="P97" s="2866"/>
      <c r="Q97" s="2867"/>
      <c r="R97" s="2363"/>
      <c r="S97" s="2363"/>
      <c r="T97" s="2363"/>
      <c r="U97" s="2363"/>
      <c r="V97" s="2363"/>
      <c r="W97" s="2363"/>
      <c r="X97" s="2363"/>
      <c r="Y97" s="2363"/>
      <c r="Z97" s="2363"/>
      <c r="AA97" s="2363"/>
      <c r="AB97" s="2363"/>
      <c r="AC97" s="2363"/>
    </row>
    <row r="98" spans="1:29" ht="15.75" thickBot="1">
      <c r="A98" s="876"/>
      <c r="B98" s="885"/>
      <c r="C98" s="902"/>
      <c r="D98" s="878"/>
      <c r="E98" s="878"/>
      <c r="F98" s="878"/>
      <c r="G98" s="902"/>
      <c r="H98" s="904"/>
      <c r="I98" s="904"/>
      <c r="J98" s="904"/>
      <c r="K98" s="904"/>
      <c r="L98" s="904"/>
      <c r="M98" s="905"/>
      <c r="N98" s="2372"/>
      <c r="O98" s="2372"/>
      <c r="P98" s="2859"/>
      <c r="Q98" s="2853"/>
      <c r="R98" s="2363"/>
      <c r="S98" s="2363"/>
      <c r="T98" s="2363"/>
      <c r="U98" s="2363"/>
      <c r="V98" s="2363"/>
      <c r="W98" s="2363"/>
      <c r="X98" s="2363"/>
      <c r="Y98" s="2363"/>
      <c r="Z98" s="2363"/>
      <c r="AA98" s="2363"/>
      <c r="AB98" s="2363"/>
      <c r="AC98" s="2363"/>
    </row>
    <row r="99" spans="1:29" s="813" customFormat="1" ht="15" thickTop="1">
      <c r="A99" s="935"/>
      <c r="B99" s="880">
        <f>B35</f>
        <v>111</v>
      </c>
      <c r="C99" s="891"/>
      <c r="D99" s="891"/>
      <c r="E99" s="891"/>
      <c r="F99" s="891"/>
      <c r="G99" s="896"/>
      <c r="H99" s="897"/>
      <c r="I99" s="897"/>
      <c r="J99" s="897"/>
      <c r="K99" s="897"/>
      <c r="L99" s="898"/>
      <c r="M99" s="899"/>
      <c r="N99" s="2373"/>
      <c r="O99" s="2373"/>
      <c r="P99" s="2860"/>
      <c r="Q99" s="2861"/>
      <c r="R99" s="2862"/>
      <c r="S99" s="2862"/>
      <c r="T99" s="2862"/>
      <c r="U99" s="2862"/>
      <c r="V99" s="2862"/>
      <c r="W99" s="2862"/>
      <c r="X99" s="2862"/>
      <c r="Y99" s="2862"/>
      <c r="Z99" s="2862"/>
      <c r="AA99" s="2862"/>
      <c r="AB99" s="2862"/>
      <c r="AC99" s="2862"/>
    </row>
    <row r="100" spans="1:29" s="813" customFormat="1" ht="15.75" thickBot="1">
      <c r="A100" s="895"/>
      <c r="B100" s="877"/>
      <c r="C100" s="902"/>
      <c r="D100" s="878"/>
      <c r="E100" s="878"/>
      <c r="F100" s="878"/>
      <c r="G100" s="902"/>
      <c r="H100" s="904"/>
      <c r="I100" s="904"/>
      <c r="J100" s="904"/>
      <c r="K100" s="904"/>
      <c r="L100" s="904"/>
      <c r="M100" s="905"/>
      <c r="N100" s="2373"/>
      <c r="O100" s="2373"/>
      <c r="P100" s="2860"/>
      <c r="Q100" s="2861"/>
      <c r="R100" s="2862"/>
      <c r="S100" s="2862"/>
      <c r="T100" s="2862"/>
      <c r="U100" s="2862"/>
      <c r="V100" s="2862"/>
      <c r="W100" s="2862"/>
      <c r="X100" s="2862"/>
      <c r="Y100" s="2862"/>
      <c r="Z100" s="2862"/>
      <c r="AA100" s="2862"/>
      <c r="AB100" s="2862"/>
      <c r="AC100" s="2862"/>
    </row>
    <row r="101" spans="1:29" ht="15" thickTop="1">
      <c r="A101" s="941"/>
      <c r="B101" s="880">
        <f>B36</f>
        <v>111</v>
      </c>
      <c r="C101" s="896"/>
      <c r="D101" s="896"/>
      <c r="E101" s="896"/>
      <c r="F101" s="896"/>
      <c r="G101" s="896"/>
      <c r="H101" s="897"/>
      <c r="I101" s="897"/>
      <c r="J101" s="897"/>
      <c r="K101" s="897"/>
      <c r="L101" s="898"/>
      <c r="M101" s="899"/>
      <c r="N101" s="2371"/>
      <c r="O101" s="2371"/>
      <c r="P101" s="2859"/>
      <c r="Q101" s="2853"/>
      <c r="R101" s="2363"/>
      <c r="S101" s="2363"/>
      <c r="T101" s="2363"/>
      <c r="U101" s="2363"/>
      <c r="V101" s="2363"/>
      <c r="W101" s="2363"/>
      <c r="X101" s="2363"/>
      <c r="Y101" s="2363"/>
      <c r="Z101" s="2363"/>
      <c r="AA101" s="2363"/>
      <c r="AB101" s="2363"/>
      <c r="AC101" s="2363"/>
    </row>
    <row r="102" spans="1:29" ht="15.75" thickBot="1">
      <c r="A102" s="876"/>
      <c r="B102" s="885"/>
      <c r="C102" s="902"/>
      <c r="D102" s="902"/>
      <c r="E102" s="902"/>
      <c r="F102" s="902"/>
      <c r="G102" s="902"/>
      <c r="H102" s="904"/>
      <c r="I102" s="904"/>
      <c r="J102" s="904"/>
      <c r="K102" s="904"/>
      <c r="L102" s="904"/>
      <c r="M102" s="905"/>
      <c r="N102" s="2372"/>
      <c r="O102" s="2372"/>
      <c r="P102" s="2859"/>
      <c r="Q102" s="2853"/>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8" priority="14" stopIfTrue="1" operator="containsText" text="超过">
      <formula>NOT(ISERROR(SEARCH("超过",F42)))</formula>
    </cfRule>
  </conditionalFormatting>
  <conditionalFormatting sqref="J44">
    <cfRule type="containsText" dxfId="67" priority="13" stopIfTrue="1" operator="containsText" text="超过">
      <formula>NOT(ISERROR(SEARCH("超过",J44)))</formula>
    </cfRule>
  </conditionalFormatting>
  <conditionalFormatting sqref="H44">
    <cfRule type="containsText" dxfId="66" priority="12" stopIfTrue="1" operator="containsText" text="超过">
      <formula>NOT(ISERROR(SEARCH("超过",H44)))</formula>
    </cfRule>
  </conditionalFormatting>
  <conditionalFormatting sqref="F44">
    <cfRule type="containsText" dxfId="65" priority="11" stopIfTrue="1" operator="containsText" text="超过">
      <formula>NOT(ISERROR(SEARCH("超过",F44)))</formula>
    </cfRule>
  </conditionalFormatting>
  <conditionalFormatting sqref="F43 H43 J43">
    <cfRule type="containsText" dxfId="64" priority="10" stopIfTrue="1" operator="containsText" text="超过">
      <formula>NOT(ISERROR(SEARCH("超过",F43)))</formula>
    </cfRule>
  </conditionalFormatting>
  <conditionalFormatting sqref="E42">
    <cfRule type="expression" dxfId="63" priority="9" stopIfTrue="1">
      <formula>$F$42="超过30%"</formula>
    </cfRule>
  </conditionalFormatting>
  <conditionalFormatting sqref="G44">
    <cfRule type="expression" dxfId="62" priority="8" stopIfTrue="1">
      <formula>$H$54+$H$44="超过30%"</formula>
    </cfRule>
  </conditionalFormatting>
  <conditionalFormatting sqref="E43">
    <cfRule type="expression" dxfId="61" priority="7" stopIfTrue="1">
      <formula>$F$43="超过20%"</formula>
    </cfRule>
  </conditionalFormatting>
  <conditionalFormatting sqref="E44">
    <cfRule type="expression" dxfId="60" priority="6" stopIfTrue="1">
      <formula>$F$44="超过30%"</formula>
    </cfRule>
  </conditionalFormatting>
  <conditionalFormatting sqref="G42">
    <cfRule type="expression" dxfId="59" priority="5" stopIfTrue="1">
      <formula>$H$52+$H$42="超过30%"</formula>
    </cfRule>
  </conditionalFormatting>
  <conditionalFormatting sqref="G43">
    <cfRule type="expression" dxfId="58" priority="4" stopIfTrue="1">
      <formula>$H$43="超过20%"</formula>
    </cfRule>
  </conditionalFormatting>
  <conditionalFormatting sqref="I42">
    <cfRule type="expression" dxfId="57" priority="3" stopIfTrue="1">
      <formula>$J$52+$J$42="超过30%"</formula>
    </cfRule>
  </conditionalFormatting>
  <conditionalFormatting sqref="I43">
    <cfRule type="expression" dxfId="56" priority="2" stopIfTrue="1">
      <formula>$J$53+$J$43="超过20%"</formula>
    </cfRule>
  </conditionalFormatting>
  <conditionalFormatting sqref="I44">
    <cfRule type="expression" dxfId="5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6" customFormat="1" ht="28.5" customHeight="1" thickBot="1">
      <c r="A1" s="3125" t="s">
        <v>389</v>
      </c>
      <c r="B1" s="3137"/>
      <c r="C1" s="3127" t="s">
        <v>445</v>
      </c>
      <c r="D1" s="3108"/>
      <c r="E1" s="3138"/>
      <c r="F1" s="3110"/>
      <c r="G1" s="3139" t="s">
        <v>446</v>
      </c>
      <c r="H1" s="3138"/>
      <c r="I1" s="3138"/>
      <c r="J1" s="3138"/>
      <c r="K1" s="3140"/>
      <c r="L1" s="3141"/>
      <c r="M1" s="3142"/>
      <c r="N1" s="3142"/>
      <c r="O1" s="3142"/>
      <c r="P1" s="3127"/>
      <c r="Q1" s="3127"/>
      <c r="R1" s="3127"/>
      <c r="S1" s="3127"/>
      <c r="T1" s="3127"/>
      <c r="U1" s="3127"/>
      <c r="V1" s="3127"/>
      <c r="W1" s="3127"/>
      <c r="X1" s="3127"/>
      <c r="Y1" s="3127"/>
      <c r="Z1" s="3127"/>
      <c r="AA1" s="3127"/>
      <c r="AB1" s="3127"/>
      <c r="AC1" s="3135"/>
    </row>
    <row r="2" spans="1:29" s="741" customFormat="1" ht="28.5" customHeight="1" thickTop="1">
      <c r="A2" s="3124" t="s">
        <v>447</v>
      </c>
      <c r="B2" s="2848" t="e">
        <f ca="1">IF(C2="——",ROUND(C37*D3/10000,0),ROUND(C37*D3/10000,0)-D2)</f>
        <v>#DIV/0!</v>
      </c>
      <c r="C2" s="3102"/>
      <c r="D2" s="2343" t="e">
        <f ca="1">SUMIF(INDIRECT("'"&amp;F2&amp;"'"&amp;"!A:A"),"承租人权益价值",INDIRECT("'"&amp;F2&amp;"'"&amp;"!c:c"))</f>
        <v>#REF!</v>
      </c>
      <c r="E2" s="3103" t="s">
        <v>867</v>
      </c>
      <c r="F2" s="3104"/>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1" customFormat="1" ht="28.5" customHeight="1" thickBot="1">
      <c r="A3" s="579" t="s">
        <v>448</v>
      </c>
      <c r="B3" s="951" t="e">
        <f ca="1">IF(C2="——",C37,ROUND(B2*10000/D3,0))</f>
        <v>#DIV/0!</v>
      </c>
      <c r="C3" s="743" t="s">
        <v>449</v>
      </c>
      <c r="D3" s="742">
        <f>SUMIF('数据-汇总表'!$C19:$C33,D1,'数据-汇总表'!$E19:$E33)</f>
        <v>0</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4" t="s">
        <v>450</v>
      </c>
      <c r="B4" s="745"/>
      <c r="C4" s="3635" t="s">
        <v>451</v>
      </c>
      <c r="D4" s="3636"/>
      <c r="E4" s="3637" t="s">
        <v>452</v>
      </c>
      <c r="F4" s="3638"/>
      <c r="G4" s="3635" t="s">
        <v>453</v>
      </c>
      <c r="H4" s="3636"/>
      <c r="I4" s="3635" t="s">
        <v>454</v>
      </c>
      <c r="J4" s="3636"/>
      <c r="K4" s="952" t="s">
        <v>455</v>
      </c>
      <c r="L4" s="2349"/>
      <c r="M4" s="2350"/>
      <c r="N4" s="2350"/>
      <c r="O4" s="2350"/>
      <c r="P4" s="3639" t="s">
        <v>456</v>
      </c>
      <c r="Q4" s="3640"/>
      <c r="R4" s="3622" t="s">
        <v>452</v>
      </c>
      <c r="S4" s="3623"/>
      <c r="T4" s="3622" t="s">
        <v>453</v>
      </c>
      <c r="U4" s="3623"/>
      <c r="V4" s="3647" t="s">
        <v>454</v>
      </c>
      <c r="W4" s="3647"/>
      <c r="X4" s="1317"/>
      <c r="Y4" s="3622" t="s">
        <v>456</v>
      </c>
      <c r="Z4" s="3623"/>
      <c r="AA4" s="3617" t="s">
        <v>452</v>
      </c>
      <c r="AB4" s="3618" t="s">
        <v>453</v>
      </c>
      <c r="AC4" s="3617" t="s">
        <v>454</v>
      </c>
    </row>
    <row r="5" spans="1:29" ht="15">
      <c r="A5" s="747"/>
      <c r="B5" s="748"/>
      <c r="C5" s="3566" t="s">
        <v>1129</v>
      </c>
      <c r="D5" s="3567"/>
      <c r="E5" s="3564" t="s">
        <v>1130</v>
      </c>
      <c r="F5" s="3565"/>
      <c r="G5" s="3566" t="s">
        <v>61</v>
      </c>
      <c r="H5" s="3567"/>
      <c r="I5" s="3566" t="s">
        <v>1131</v>
      </c>
      <c r="J5" s="3567"/>
      <c r="K5" s="952"/>
      <c r="L5" s="2349"/>
      <c r="M5" s="2350"/>
      <c r="N5" s="2350"/>
      <c r="O5" s="2350"/>
      <c r="P5" s="3641"/>
      <c r="Q5" s="3642"/>
      <c r="R5" s="3624"/>
      <c r="S5" s="3625"/>
      <c r="T5" s="3624"/>
      <c r="U5" s="3625"/>
      <c r="V5" s="3647"/>
      <c r="W5" s="3647"/>
      <c r="X5" s="1317"/>
      <c r="Y5" s="3624"/>
      <c r="Z5" s="3625"/>
      <c r="AA5" s="3618"/>
      <c r="AB5" s="3618"/>
      <c r="AC5" s="3618"/>
    </row>
    <row r="6" spans="1:29" ht="15.75" thickBot="1">
      <c r="A6" s="749"/>
      <c r="B6" s="750"/>
      <c r="C6" s="3568" t="s">
        <v>1132</v>
      </c>
      <c r="D6" s="3569"/>
      <c r="E6" s="3570" t="s">
        <v>1132</v>
      </c>
      <c r="F6" s="3571"/>
      <c r="G6" s="3568" t="s">
        <v>1132</v>
      </c>
      <c r="H6" s="3569"/>
      <c r="I6" s="3568" t="s">
        <v>1132</v>
      </c>
      <c r="J6" s="3569"/>
      <c r="K6" s="952" t="s">
        <v>398</v>
      </c>
      <c r="L6" s="2349"/>
      <c r="M6" s="2350"/>
      <c r="N6" s="2350"/>
      <c r="O6" s="2350"/>
      <c r="P6" s="3643"/>
      <c r="Q6" s="3644"/>
      <c r="R6" s="3624"/>
      <c r="S6" s="3625"/>
      <c r="T6" s="3645"/>
      <c r="U6" s="3646"/>
      <c r="V6" s="3647"/>
      <c r="W6" s="3647"/>
      <c r="X6" s="1317"/>
      <c r="Y6" s="3645"/>
      <c r="Z6" s="3646"/>
      <c r="AA6" s="3619"/>
      <c r="AB6" s="3619"/>
      <c r="AC6" s="3619"/>
    </row>
    <row r="7" spans="1:29" s="407" customFormat="1" ht="15.75" thickBot="1">
      <c r="A7" s="751" t="s">
        <v>399</v>
      </c>
      <c r="B7" s="752"/>
      <c r="C7" s="753">
        <f>'数据-取费表'!B2</f>
        <v>42928</v>
      </c>
      <c r="D7" s="754">
        <v>100</v>
      </c>
      <c r="E7" s="1016"/>
      <c r="F7" s="756">
        <f>SUMIF(46:46,YEAR(E7)&amp;"-"&amp;MONTH(E7),47:47)</f>
        <v>0</v>
      </c>
      <c r="G7" s="1017"/>
      <c r="H7" s="754">
        <f>SUMIF(46:46,YEAR(G7)&amp;"-"&amp;MONTH(G7),47:47)</f>
        <v>0</v>
      </c>
      <c r="I7" s="1016"/>
      <c r="J7" s="754">
        <f>SUMIF(46:46,YEAR(I7)&amp;"-"&amp;MONTH(I7),47:47)</f>
        <v>0</v>
      </c>
      <c r="K7" s="953"/>
      <c r="L7" s="2351"/>
      <c r="M7" s="2352"/>
      <c r="N7" s="2352"/>
      <c r="O7" s="2352"/>
      <c r="P7" s="3620" t="s">
        <v>400</v>
      </c>
      <c r="Q7" s="3648"/>
      <c r="R7" s="1318" t="s">
        <v>65</v>
      </c>
      <c r="S7" s="1319">
        <f t="shared" ref="S7:S14" si="0">F7</f>
        <v>0</v>
      </c>
      <c r="T7" s="1318" t="s">
        <v>65</v>
      </c>
      <c r="U7" s="1319">
        <f t="shared" ref="U7:U14" si="1">H7</f>
        <v>0</v>
      </c>
      <c r="V7" s="1318" t="s">
        <v>65</v>
      </c>
      <c r="W7" s="1319">
        <f t="shared" ref="W7:W14" si="2">J7</f>
        <v>0</v>
      </c>
      <c r="X7" s="1320"/>
      <c r="Y7" s="3620" t="s">
        <v>400</v>
      </c>
      <c r="Z7" s="3621"/>
      <c r="AA7" s="1321" t="e">
        <f>D7/F7</f>
        <v>#DIV/0!</v>
      </c>
      <c r="AB7" s="1321" t="e">
        <f>D7/H7</f>
        <v>#DIV/0!</v>
      </c>
      <c r="AC7" s="1321"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3"/>
      <c r="L8" s="2351"/>
      <c r="M8" s="2352"/>
      <c r="N8" s="2352"/>
      <c r="O8" s="2352"/>
      <c r="P8" s="3620" t="s">
        <v>436</v>
      </c>
      <c r="Q8" s="3621"/>
      <c r="R8" s="1318" t="s">
        <v>65</v>
      </c>
      <c r="S8" s="1319">
        <f t="shared" si="0"/>
        <v>0</v>
      </c>
      <c r="T8" s="1318" t="s">
        <v>65</v>
      </c>
      <c r="U8" s="1319">
        <f t="shared" si="1"/>
        <v>0</v>
      </c>
      <c r="V8" s="1318" t="s">
        <v>65</v>
      </c>
      <c r="W8" s="1319">
        <f t="shared" si="2"/>
        <v>0</v>
      </c>
      <c r="X8" s="1320"/>
      <c r="Y8" s="3620" t="s">
        <v>436</v>
      </c>
      <c r="Z8" s="3621"/>
      <c r="AA8" s="1321" t="e">
        <f t="shared" ref="AA8:AA34" si="3">D8/F8</f>
        <v>#DIV/0!</v>
      </c>
      <c r="AB8" s="1321" t="e">
        <f t="shared" ref="AB8:AB34" si="4">D8/H8</f>
        <v>#DIV/0!</v>
      </c>
      <c r="AC8" s="1321" t="e">
        <f t="shared" ref="AC8:AC34" si="5">D8/J8</f>
        <v>#DIV/0!</v>
      </c>
    </row>
    <row r="9" spans="1:29" s="407" customFormat="1">
      <c r="A9" s="758" t="s">
        <v>402</v>
      </c>
      <c r="B9" s="361" t="s">
        <v>420</v>
      </c>
      <c r="C9" s="1345"/>
      <c r="D9" s="425">
        <v>100</v>
      </c>
      <c r="E9" s="762"/>
      <c r="F9" s="761">
        <f>SUMIF(51:51,E9,52:52)-SUMIF(51:51,C9,52:52)+100</f>
        <v>100</v>
      </c>
      <c r="G9" s="762"/>
      <c r="H9" s="425">
        <f>SUMIF(51:51,G9,52:52)-SUMIF(51:51,C9,52:52)+100</f>
        <v>100</v>
      </c>
      <c r="I9" s="762"/>
      <c r="J9" s="425">
        <f>SUMIF(51:51,I9,52:52)-SUMIF(51:51,C9,52:52)+100</f>
        <v>100</v>
      </c>
      <c r="K9" s="953"/>
      <c r="L9" s="2351"/>
      <c r="M9" s="2352"/>
      <c r="N9" s="2352"/>
      <c r="O9" s="2353"/>
      <c r="P9" s="3634" t="s">
        <v>403</v>
      </c>
      <c r="Q9" s="296" t="str">
        <f t="shared" ref="Q9:Q14" si="6">B9</f>
        <v>用途</v>
      </c>
      <c r="R9" s="1318" t="s">
        <v>65</v>
      </c>
      <c r="S9" s="1319">
        <f t="shared" si="0"/>
        <v>100</v>
      </c>
      <c r="T9" s="1318" t="s">
        <v>65</v>
      </c>
      <c r="U9" s="1319">
        <f t="shared" si="1"/>
        <v>100</v>
      </c>
      <c r="V9" s="1318" t="s">
        <v>65</v>
      </c>
      <c r="W9" s="1319">
        <f t="shared" si="2"/>
        <v>100</v>
      </c>
      <c r="X9" s="1320"/>
      <c r="Y9" s="3505" t="s">
        <v>404</v>
      </c>
      <c r="Z9" s="344" t="str">
        <f t="shared" ref="Z9:Z14" si="7">Q9</f>
        <v>用途</v>
      </c>
      <c r="AA9" s="1321">
        <f t="shared" si="3"/>
        <v>1</v>
      </c>
      <c r="AB9" s="1321">
        <f t="shared" si="4"/>
        <v>1</v>
      </c>
      <c r="AC9" s="1321">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4"/>
      <c r="L10" s="2354"/>
      <c r="M10" s="2355"/>
      <c r="N10" s="2355"/>
      <c r="O10" s="2356"/>
      <c r="P10" s="3634"/>
      <c r="Q10" s="296" t="str">
        <f t="shared" si="6"/>
        <v>土地使用年限（年）</v>
      </c>
      <c r="R10" s="1318" t="s">
        <v>65</v>
      </c>
      <c r="S10" s="1319">
        <f t="shared" si="0"/>
        <v>100</v>
      </c>
      <c r="T10" s="1318" t="s">
        <v>65</v>
      </c>
      <c r="U10" s="1319">
        <f t="shared" si="1"/>
        <v>100</v>
      </c>
      <c r="V10" s="1318" t="s">
        <v>65</v>
      </c>
      <c r="W10" s="1319">
        <f t="shared" si="2"/>
        <v>100</v>
      </c>
      <c r="X10" s="1320"/>
      <c r="Y10" s="3505"/>
      <c r="Z10" s="344" t="str">
        <f t="shared" si="7"/>
        <v>土地使用年限（年）</v>
      </c>
      <c r="AA10" s="1321">
        <f t="shared" si="3"/>
        <v>1</v>
      </c>
      <c r="AB10" s="1321">
        <f t="shared" si="4"/>
        <v>1</v>
      </c>
      <c r="AC10" s="1321">
        <f t="shared" si="5"/>
        <v>1</v>
      </c>
    </row>
    <row r="11" spans="1:29" ht="15">
      <c r="A11" s="771"/>
      <c r="B11" s="1030">
        <v>111</v>
      </c>
      <c r="C11" s="1023"/>
      <c r="D11" s="426">
        <v>100</v>
      </c>
      <c r="E11" s="1357"/>
      <c r="F11" s="768">
        <f>SUMIF(55:55,E11,56:56)-SUMIF(55:55,C11,56:56)+100</f>
        <v>100</v>
      </c>
      <c r="G11" s="1357"/>
      <c r="H11" s="426">
        <f>SUMIF(55:55,G11,56:56)-SUMIF(55:55,C11,56:56)+100</f>
        <v>100</v>
      </c>
      <c r="I11" s="1357"/>
      <c r="J11" s="426">
        <f>SUMIF(55:55,I11,56:56)-SUMIF(55:55,C11,56:56)+100</f>
        <v>100</v>
      </c>
      <c r="K11" s="955"/>
      <c r="L11" s="2357"/>
      <c r="M11" s="2350"/>
      <c r="N11" s="2350"/>
      <c r="O11" s="2358"/>
      <c r="P11" s="3634"/>
      <c r="Q11" s="296">
        <f t="shared" si="6"/>
        <v>111</v>
      </c>
      <c r="R11" s="1318" t="s">
        <v>65</v>
      </c>
      <c r="S11" s="1319">
        <f t="shared" si="0"/>
        <v>100</v>
      </c>
      <c r="T11" s="1318" t="s">
        <v>65</v>
      </c>
      <c r="U11" s="1319">
        <f t="shared" si="1"/>
        <v>100</v>
      </c>
      <c r="V11" s="1318" t="s">
        <v>65</v>
      </c>
      <c r="W11" s="1319">
        <f t="shared" si="2"/>
        <v>100</v>
      </c>
      <c r="X11" s="1320"/>
      <c r="Y11" s="3505"/>
      <c r="Z11" s="344">
        <f t="shared" si="7"/>
        <v>111</v>
      </c>
      <c r="AA11" s="1321">
        <f t="shared" si="3"/>
        <v>1</v>
      </c>
      <c r="AB11" s="1321">
        <f t="shared" si="4"/>
        <v>1</v>
      </c>
      <c r="AC11" s="1321">
        <f t="shared" si="5"/>
        <v>1</v>
      </c>
    </row>
    <row r="12" spans="1:29" s="407" customFormat="1" ht="15">
      <c r="A12" s="774"/>
      <c r="B12" s="1030">
        <v>111</v>
      </c>
      <c r="C12" s="1023"/>
      <c r="D12" s="776">
        <v>100</v>
      </c>
      <c r="E12" s="1357"/>
      <c r="F12" s="768">
        <f>SUMIF(57:57,E12,58:58)-SUMIF(57:57,C12,58:58)+100</f>
        <v>100</v>
      </c>
      <c r="G12" s="1357"/>
      <c r="H12" s="426">
        <f>SUMIF(57:57,G12,58:58)-SUMIF(57:57,C12,58:58)+100</f>
        <v>100</v>
      </c>
      <c r="I12" s="1357"/>
      <c r="J12" s="426">
        <f>SUMIF(57:57,I12,58:58)-SUMIF(57:57,C12,58:58)+100</f>
        <v>100</v>
      </c>
      <c r="K12" s="955"/>
      <c r="L12" s="2351"/>
      <c r="M12" s="2352"/>
      <c r="N12" s="2352"/>
      <c r="O12" s="2353"/>
      <c r="P12" s="3634"/>
      <c r="Q12" s="296">
        <f t="shared" si="6"/>
        <v>111</v>
      </c>
      <c r="R12" s="1318" t="s">
        <v>65</v>
      </c>
      <c r="S12" s="1319">
        <f t="shared" si="0"/>
        <v>100</v>
      </c>
      <c r="T12" s="1318" t="s">
        <v>65</v>
      </c>
      <c r="U12" s="1319">
        <f t="shared" si="1"/>
        <v>100</v>
      </c>
      <c r="V12" s="1318" t="s">
        <v>65</v>
      </c>
      <c r="W12" s="1319">
        <f t="shared" si="2"/>
        <v>100</v>
      </c>
      <c r="X12" s="1320"/>
      <c r="Y12" s="3505"/>
      <c r="Z12" s="344">
        <f t="shared" si="7"/>
        <v>111</v>
      </c>
      <c r="AA12" s="1321">
        <f>D12/F12</f>
        <v>1</v>
      </c>
      <c r="AB12" s="1321">
        <f>D12/H12</f>
        <v>1</v>
      </c>
      <c r="AC12" s="1321">
        <f>D12/J12</f>
        <v>1</v>
      </c>
    </row>
    <row r="13" spans="1:29" ht="15.75" thickBot="1">
      <c r="A13" s="771"/>
      <c r="B13" s="1030">
        <v>111</v>
      </c>
      <c r="C13" s="93"/>
      <c r="D13" s="778">
        <v>100</v>
      </c>
      <c r="E13" s="1357"/>
      <c r="F13" s="768">
        <f>SUMIF(59:59,E13,60:60)-SUMIF(59:59,C13,60:60)+100</f>
        <v>100</v>
      </c>
      <c r="G13" s="1413"/>
      <c r="H13" s="781">
        <f>SUMIF(59:59,G13,60:60)-SUMIF(59:59,C13,60:60)+100</f>
        <v>100</v>
      </c>
      <c r="I13" s="1357"/>
      <c r="J13" s="778">
        <f>SUMIF(59:59,I13,60:60)-SUMIF(59:59,C13,60:60)+100</f>
        <v>100</v>
      </c>
      <c r="K13" s="955"/>
      <c r="L13" s="2359"/>
      <c r="M13" s="2350"/>
      <c r="N13" s="2350"/>
      <c r="O13" s="2358"/>
      <c r="P13" s="3634"/>
      <c r="Q13" s="296">
        <f t="shared" si="6"/>
        <v>111</v>
      </c>
      <c r="R13" s="1318" t="s">
        <v>65</v>
      </c>
      <c r="S13" s="1319">
        <f t="shared" si="0"/>
        <v>100</v>
      </c>
      <c r="T13" s="1318" t="s">
        <v>65</v>
      </c>
      <c r="U13" s="1319">
        <f t="shared" si="1"/>
        <v>100</v>
      </c>
      <c r="V13" s="1318" t="s">
        <v>65</v>
      </c>
      <c r="W13" s="1319">
        <f t="shared" si="2"/>
        <v>100</v>
      </c>
      <c r="X13" s="1320"/>
      <c r="Y13" s="3505"/>
      <c r="Z13" s="344">
        <f t="shared" si="7"/>
        <v>111</v>
      </c>
      <c r="AA13" s="1321">
        <f t="shared" si="3"/>
        <v>1</v>
      </c>
      <c r="AB13" s="1321">
        <f t="shared" si="4"/>
        <v>1</v>
      </c>
      <c r="AC13" s="1321">
        <f t="shared" si="5"/>
        <v>1</v>
      </c>
    </row>
    <row r="14" spans="1:29" ht="148.5">
      <c r="A14" s="783" t="s">
        <v>407</v>
      </c>
      <c r="B14" s="359" t="s">
        <v>457</v>
      </c>
      <c r="C14" s="212" t="str">
        <f>IF(B1="工业",估价对象房地状况!G4,估价对象房地状况!C6)</f>
        <v>估价对象周边有308、335等公交线路及地铁1号线，公共交通通达情况较好；项目自身有停车位、停车便捷程度较好，综合评价交通便捷度较好</v>
      </c>
      <c r="D14" s="784">
        <v>100</v>
      </c>
      <c r="E14" s="95"/>
      <c r="F14" s="786">
        <f>SUMIF(61:61,E15,62:62)-SUMIF(61:61,C15,62:62)+100</f>
        <v>100</v>
      </c>
      <c r="G14" s="96"/>
      <c r="H14" s="784">
        <f>SUMIF(61:61,G15,62:62)-SUMIF(61:61,C15,62:62)+100</f>
        <v>100</v>
      </c>
      <c r="I14" s="95"/>
      <c r="J14" s="784">
        <f>SUMIF(61:61,I15,62:62)-SUMIF(61:61,C15,62:62)+100</f>
        <v>100</v>
      </c>
      <c r="K14" s="956"/>
      <c r="L14" s="2359"/>
      <c r="M14" s="2350"/>
      <c r="N14" s="2350"/>
      <c r="O14" s="2358"/>
      <c r="P14" s="3649" t="s">
        <v>408</v>
      </c>
      <c r="Q14" s="1322" t="str">
        <f t="shared" si="6"/>
        <v>交通便捷度</v>
      </c>
      <c r="R14" s="1323" t="s">
        <v>65</v>
      </c>
      <c r="S14" s="1324">
        <f t="shared" si="0"/>
        <v>100</v>
      </c>
      <c r="T14" s="1323" t="s">
        <v>65</v>
      </c>
      <c r="U14" s="1324">
        <f t="shared" si="1"/>
        <v>100</v>
      </c>
      <c r="V14" s="1323" t="s">
        <v>65</v>
      </c>
      <c r="W14" s="1324">
        <f t="shared" si="2"/>
        <v>100</v>
      </c>
      <c r="X14" s="1317"/>
      <c r="Y14" s="3649" t="s">
        <v>408</v>
      </c>
      <c r="Z14" s="1325" t="str">
        <f t="shared" si="7"/>
        <v>交通便捷度</v>
      </c>
      <c r="AA14" s="1326">
        <f t="shared" si="3"/>
        <v>1</v>
      </c>
      <c r="AB14" s="1326">
        <f t="shared" si="4"/>
        <v>1</v>
      </c>
      <c r="AC14" s="1326">
        <f t="shared" si="5"/>
        <v>1</v>
      </c>
    </row>
    <row r="15" spans="1:29" ht="15">
      <c r="A15" s="771"/>
      <c r="B15" s="789"/>
      <c r="C15" s="97"/>
      <c r="D15" s="791"/>
      <c r="E15" s="790"/>
      <c r="F15" s="792"/>
      <c r="G15" s="790"/>
      <c r="H15" s="793"/>
      <c r="I15" s="790"/>
      <c r="J15" s="791"/>
      <c r="K15" s="957"/>
      <c r="L15" s="2359"/>
      <c r="M15" s="2350"/>
      <c r="N15" s="2350"/>
      <c r="O15" s="2358"/>
      <c r="P15" s="3650"/>
      <c r="Q15" s="1322"/>
      <c r="R15" s="1323"/>
      <c r="S15" s="1324"/>
      <c r="T15" s="1323"/>
      <c r="U15" s="1324"/>
      <c r="V15" s="1323"/>
      <c r="W15" s="1324"/>
      <c r="X15" s="1317"/>
      <c r="Y15" s="3650"/>
      <c r="Z15" s="1325"/>
      <c r="AA15" s="1326">
        <v>1</v>
      </c>
      <c r="AB15" s="1326">
        <v>1</v>
      </c>
      <c r="AC15" s="1326">
        <v>1</v>
      </c>
    </row>
    <row r="16" spans="1:29" ht="54">
      <c r="A16" s="771"/>
      <c r="B16" s="1355" t="s">
        <v>2668</v>
      </c>
      <c r="C16" s="158" t="str">
        <f>IF(B1="工业",估价对象房地状况!G5,估价对象房地状况!C7)</f>
        <v>估价对象所在区域公共配套设施齐备度较好</v>
      </c>
      <c r="D16" s="798">
        <v>100</v>
      </c>
      <c r="E16" s="105"/>
      <c r="F16" s="801">
        <f>SUMIF(63:63,E17,64:64)-SUMIF(63:63,C17,64:64)+100</f>
        <v>100</v>
      </c>
      <c r="G16" s="106"/>
      <c r="H16" s="798">
        <f>SUMIF(63:63,G17,64:64)-SUMIF(63:63,C17,64:64)+100</f>
        <v>100</v>
      </c>
      <c r="I16" s="105"/>
      <c r="J16" s="798">
        <f>SUMIF(63:63,I17,64:64)-SUMIF(63:63,C17,64:64)+100</f>
        <v>100</v>
      </c>
      <c r="K16" s="956"/>
      <c r="L16" s="2359"/>
      <c r="M16" s="2350"/>
      <c r="N16" s="2350"/>
      <c r="O16" s="2358"/>
      <c r="P16" s="3650"/>
      <c r="Q16" s="1322" t="str">
        <f>B16</f>
        <v>公共配套设施</v>
      </c>
      <c r="R16" s="1323" t="s">
        <v>65</v>
      </c>
      <c r="S16" s="1324">
        <f>F16</f>
        <v>100</v>
      </c>
      <c r="T16" s="1323" t="s">
        <v>65</v>
      </c>
      <c r="U16" s="1324">
        <f>H16</f>
        <v>100</v>
      </c>
      <c r="V16" s="1323" t="s">
        <v>65</v>
      </c>
      <c r="W16" s="1324">
        <f>J16</f>
        <v>100</v>
      </c>
      <c r="X16" s="1317"/>
      <c r="Y16" s="3650"/>
      <c r="Z16" s="1325" t="str">
        <f>Q16</f>
        <v>公共配套设施</v>
      </c>
      <c r="AA16" s="1326">
        <f t="shared" si="3"/>
        <v>1</v>
      </c>
      <c r="AB16" s="1326">
        <f t="shared" si="4"/>
        <v>1</v>
      </c>
      <c r="AC16" s="1326">
        <f t="shared" si="5"/>
        <v>1</v>
      </c>
    </row>
    <row r="17" spans="1:29" ht="15">
      <c r="A17" s="771"/>
      <c r="B17" s="799"/>
      <c r="C17" s="102"/>
      <c r="D17" s="791"/>
      <c r="E17" s="790"/>
      <c r="F17" s="792"/>
      <c r="G17" s="790"/>
      <c r="H17" s="791"/>
      <c r="I17" s="790"/>
      <c r="J17" s="791"/>
      <c r="K17" s="957"/>
      <c r="L17" s="2359"/>
      <c r="M17" s="2350"/>
      <c r="N17" s="2350"/>
      <c r="O17" s="2358"/>
      <c r="P17" s="3650"/>
      <c r="Q17" s="1322"/>
      <c r="R17" s="1323"/>
      <c r="S17" s="1324"/>
      <c r="T17" s="1323"/>
      <c r="U17" s="1324"/>
      <c r="V17" s="1323"/>
      <c r="W17" s="1324"/>
      <c r="X17" s="1317"/>
      <c r="Y17" s="3650"/>
      <c r="Z17" s="1325"/>
      <c r="AA17" s="1326">
        <v>1</v>
      </c>
      <c r="AB17" s="1326">
        <v>1</v>
      </c>
      <c r="AC17" s="1326">
        <v>1</v>
      </c>
    </row>
    <row r="18" spans="1:29" ht="40.5">
      <c r="A18" s="771"/>
      <c r="B18" s="1411" t="s">
        <v>2670</v>
      </c>
      <c r="C18" s="158" t="str">
        <f>IF(B1="工业",估价对象房地状况!G6,估价对象房地状况!C8)</f>
        <v>估价对象所在区域基础设施水平七通一平</v>
      </c>
      <c r="D18" s="798">
        <v>100</v>
      </c>
      <c r="E18" s="100"/>
      <c r="F18" s="801">
        <f>SUMIF(65:65,E19,66:66)-SUMIF(65:65,C19,66:66)+100</f>
        <v>100</v>
      </c>
      <c r="G18" s="101"/>
      <c r="H18" s="798">
        <f>SUMIF(65:65,G19,66:66)-SUMIF(65:65,C19,66:66)+100</f>
        <v>100</v>
      </c>
      <c r="I18" s="105"/>
      <c r="J18" s="798">
        <f>SUMIF(65:65,I19,66:66)-SUMIF(65:65,C19,66:66)+100</f>
        <v>100</v>
      </c>
      <c r="K18" s="956"/>
      <c r="L18" s="2359"/>
      <c r="M18" s="2350"/>
      <c r="N18" s="2350"/>
      <c r="O18" s="2358"/>
      <c r="P18" s="3650"/>
      <c r="Q18" s="2750" t="str">
        <f>B18</f>
        <v>基础设施水平</v>
      </c>
      <c r="R18" s="1323" t="s">
        <v>65</v>
      </c>
      <c r="S18" s="1324">
        <f>F18</f>
        <v>100</v>
      </c>
      <c r="T18" s="1323" t="s">
        <v>65</v>
      </c>
      <c r="U18" s="1324">
        <f>H18</f>
        <v>100</v>
      </c>
      <c r="V18" s="1323" t="s">
        <v>65</v>
      </c>
      <c r="W18" s="1324">
        <f>J18</f>
        <v>100</v>
      </c>
      <c r="X18" s="2752"/>
      <c r="Y18" s="3650"/>
      <c r="Z18" s="2751" t="str">
        <f>Q18</f>
        <v>基础设施水平</v>
      </c>
      <c r="AA18" s="1326">
        <f t="shared" ref="AA18" si="8">D18/F18</f>
        <v>1</v>
      </c>
      <c r="AB18" s="1326">
        <f t="shared" ref="AB18" si="9">D18/H18</f>
        <v>1</v>
      </c>
      <c r="AC18" s="1326">
        <f t="shared" ref="AC18" si="10">D18/J18</f>
        <v>1</v>
      </c>
    </row>
    <row r="19" spans="1:29" ht="15">
      <c r="A19" s="771"/>
      <c r="B19" s="2770"/>
      <c r="C19" s="102"/>
      <c r="D19" s="793"/>
      <c r="E19" s="102"/>
      <c r="F19" s="796"/>
      <c r="G19" s="102"/>
      <c r="H19" s="791"/>
      <c r="I19" s="97"/>
      <c r="J19" s="791"/>
      <c r="K19" s="2768"/>
      <c r="L19" s="2359"/>
      <c r="M19" s="2350"/>
      <c r="N19" s="2350"/>
      <c r="O19" s="2358"/>
      <c r="P19" s="3650"/>
      <c r="Q19" s="2750"/>
      <c r="R19" s="1323"/>
      <c r="S19" s="1324"/>
      <c r="T19" s="1323"/>
      <c r="U19" s="1324"/>
      <c r="V19" s="1323"/>
      <c r="W19" s="1324"/>
      <c r="X19" s="2752"/>
      <c r="Y19" s="3650"/>
      <c r="Z19" s="2751"/>
      <c r="AA19" s="1326">
        <v>1</v>
      </c>
      <c r="AB19" s="1326">
        <v>1</v>
      </c>
      <c r="AC19" s="1326">
        <v>1</v>
      </c>
    </row>
    <row r="20" spans="1:29" ht="94.5">
      <c r="A20" s="771"/>
      <c r="B20" s="794" t="s">
        <v>458</v>
      </c>
      <c r="C20" s="158" t="str">
        <f>IF(B1="工业",估价对象房地状况!G7,估价对象房地状况!C9)</f>
        <v>区域自然环境：五棵松公园等；人文环境：国家开发大学五棵松校区；综合评价环境状况较好</v>
      </c>
      <c r="D20" s="798">
        <v>100</v>
      </c>
      <c r="E20" s="105"/>
      <c r="F20" s="801">
        <f>SUMIF(67:67,E21,68:68)-SUMIF(67:67,C21,68:68)+100</f>
        <v>100</v>
      </c>
      <c r="G20" s="106"/>
      <c r="H20" s="793">
        <f>SUMIF(67:67,G21,68:68)-SUMIF(67:67,C21,68:68)+100</f>
        <v>100</v>
      </c>
      <c r="I20" s="100"/>
      <c r="J20" s="793">
        <f>SUMIF(67:67,I21,68:68)-SUMIF(67:67,C21,68:68)+100</f>
        <v>100</v>
      </c>
      <c r="K20" s="956"/>
      <c r="L20" s="2359"/>
      <c r="M20" s="2350"/>
      <c r="N20" s="2350"/>
      <c r="O20" s="2358"/>
      <c r="P20" s="3650"/>
      <c r="Q20" s="1322" t="str">
        <f>B20</f>
        <v>自然及人文环境</v>
      </c>
      <c r="R20" s="1323" t="s">
        <v>65</v>
      </c>
      <c r="S20" s="1324">
        <f>F20</f>
        <v>100</v>
      </c>
      <c r="T20" s="1323" t="s">
        <v>65</v>
      </c>
      <c r="U20" s="1324">
        <f>H20</f>
        <v>100</v>
      </c>
      <c r="V20" s="1323" t="s">
        <v>65</v>
      </c>
      <c r="W20" s="1324">
        <f>J20</f>
        <v>100</v>
      </c>
      <c r="X20" s="1317"/>
      <c r="Y20" s="3650"/>
      <c r="Z20" s="1325" t="str">
        <f>Q20</f>
        <v>自然及人文环境</v>
      </c>
      <c r="AA20" s="1326">
        <f t="shared" si="3"/>
        <v>1</v>
      </c>
      <c r="AB20" s="1326">
        <f t="shared" si="4"/>
        <v>1</v>
      </c>
      <c r="AC20" s="1326">
        <f t="shared" si="5"/>
        <v>1</v>
      </c>
    </row>
    <row r="21" spans="1:29" ht="15">
      <c r="A21" s="771"/>
      <c r="B21" s="799"/>
      <c r="C21" s="790"/>
      <c r="D21" s="791"/>
      <c r="E21" s="790"/>
      <c r="F21" s="792"/>
      <c r="G21" s="790"/>
      <c r="H21" s="791"/>
      <c r="I21" s="790"/>
      <c r="J21" s="791"/>
      <c r="K21" s="957"/>
      <c r="L21" s="2359"/>
      <c r="M21" s="2350"/>
      <c r="N21" s="2350"/>
      <c r="O21" s="2358"/>
      <c r="P21" s="3650"/>
      <c r="Q21" s="1322"/>
      <c r="R21" s="1323"/>
      <c r="S21" s="1324"/>
      <c r="T21" s="1323"/>
      <c r="U21" s="1324"/>
      <c r="V21" s="1323"/>
      <c r="W21" s="1324"/>
      <c r="X21" s="1317"/>
      <c r="Y21" s="3650"/>
      <c r="Z21" s="1325"/>
      <c r="AA21" s="1326">
        <v>1</v>
      </c>
      <c r="AB21" s="1326">
        <v>1</v>
      </c>
      <c r="AC21" s="1326">
        <v>1</v>
      </c>
    </row>
    <row r="22" spans="1:29" ht="15">
      <c r="A22" s="771"/>
      <c r="B22" s="794" t="s">
        <v>459</v>
      </c>
      <c r="C22" s="958"/>
      <c r="D22" s="793">
        <v>100</v>
      </c>
      <c r="E22" s="958"/>
      <c r="F22" s="804">
        <f>SUMIF(69:69,E22,70:70)-SUMIF(69:69,C22,70:70)+100</f>
        <v>100</v>
      </c>
      <c r="G22" s="958"/>
      <c r="H22" s="778">
        <f>SUMIF(69:69,G22,70:70)-SUMIF(69:69,C22,70:70)+100</f>
        <v>100</v>
      </c>
      <c r="I22" s="958"/>
      <c r="J22" s="778">
        <f>SUMIF(69:69,I22,70:70)-SUMIF(69:69,C22,70:70)+100</f>
        <v>100</v>
      </c>
      <c r="K22" s="954"/>
      <c r="L22" s="2359"/>
      <c r="M22" s="2350"/>
      <c r="N22" s="2350"/>
      <c r="O22" s="2358"/>
      <c r="P22" s="3650"/>
      <c r="Q22" s="1322" t="str">
        <f>B22</f>
        <v>楼层</v>
      </c>
      <c r="R22" s="1323" t="s">
        <v>65</v>
      </c>
      <c r="S22" s="1324">
        <f>F22</f>
        <v>100</v>
      </c>
      <c r="T22" s="1323" t="s">
        <v>65</v>
      </c>
      <c r="U22" s="1324">
        <f>H22</f>
        <v>100</v>
      </c>
      <c r="V22" s="1323" t="s">
        <v>65</v>
      </c>
      <c r="W22" s="1324">
        <f>J22</f>
        <v>100</v>
      </c>
      <c r="X22" s="1317"/>
      <c r="Y22" s="3650"/>
      <c r="Z22" s="1325" t="str">
        <f>Q22</f>
        <v>楼层</v>
      </c>
      <c r="AA22" s="1326">
        <f t="shared" si="3"/>
        <v>1</v>
      </c>
      <c r="AB22" s="1326">
        <f t="shared" si="4"/>
        <v>1</v>
      </c>
      <c r="AC22" s="1326">
        <f t="shared" si="5"/>
        <v>1</v>
      </c>
    </row>
    <row r="23" spans="1:29" ht="15">
      <c r="A23" s="747"/>
      <c r="B23" s="1030">
        <v>111</v>
      </c>
      <c r="C23" s="1023"/>
      <c r="D23" s="778">
        <v>100</v>
      </c>
      <c r="E23" s="93"/>
      <c r="F23" s="804">
        <f>SUMIF(71:71,E23,72:72)-SUMIF(71:71,C23,72:72)+100</f>
        <v>100</v>
      </c>
      <c r="G23" s="93"/>
      <c r="H23" s="778">
        <f>SUMIF(71:71,G23,72:72)-SUMIF(71:71,C23,72:72)+100</f>
        <v>100</v>
      </c>
      <c r="I23" s="93"/>
      <c r="J23" s="778">
        <f>SUMIF(71:71,I23,72:72)-SUMIF(71:71,C23,72:72)+100</f>
        <v>100</v>
      </c>
      <c r="K23" s="955"/>
      <c r="L23" s="2359"/>
      <c r="M23" s="2350"/>
      <c r="N23" s="2350"/>
      <c r="O23" s="2358"/>
      <c r="P23" s="3650"/>
      <c r="Q23" s="1322">
        <f>B23</f>
        <v>111</v>
      </c>
      <c r="R23" s="1323" t="s">
        <v>65</v>
      </c>
      <c r="S23" s="1324">
        <f>F23</f>
        <v>100</v>
      </c>
      <c r="T23" s="1323" t="s">
        <v>65</v>
      </c>
      <c r="U23" s="1324">
        <f>H23</f>
        <v>100</v>
      </c>
      <c r="V23" s="1323" t="s">
        <v>65</v>
      </c>
      <c r="W23" s="1324">
        <f>J23</f>
        <v>100</v>
      </c>
      <c r="X23" s="1317"/>
      <c r="Y23" s="3650"/>
      <c r="Z23" s="1325">
        <f>Q23</f>
        <v>111</v>
      </c>
      <c r="AA23" s="1326">
        <f t="shared" si="3"/>
        <v>1</v>
      </c>
      <c r="AB23" s="1326">
        <f t="shared" si="4"/>
        <v>1</v>
      </c>
      <c r="AC23" s="1326">
        <f t="shared" si="5"/>
        <v>1</v>
      </c>
    </row>
    <row r="24" spans="1:29" ht="15">
      <c r="A24" s="771"/>
      <c r="B24" s="1030">
        <v>111</v>
      </c>
      <c r="C24" s="1023"/>
      <c r="D24" s="778">
        <v>100</v>
      </c>
      <c r="E24" s="93"/>
      <c r="F24" s="804">
        <f>SUMIF(73:73,E24,74:74)-SUMIF(73:73,C24,74:74)+100</f>
        <v>100</v>
      </c>
      <c r="G24" s="93"/>
      <c r="H24" s="778">
        <f>SUMIF(73:73,G24,74:74)-SUMIF(73:73,C24,74:74)+100</f>
        <v>100</v>
      </c>
      <c r="I24" s="93"/>
      <c r="J24" s="778">
        <f>SUMIF(73:73,I24,74:74)-SUMIF(73:73,C24,74:74)+100</f>
        <v>100</v>
      </c>
      <c r="K24" s="955"/>
      <c r="L24" s="2359"/>
      <c r="M24" s="2350"/>
      <c r="N24" s="2350"/>
      <c r="O24" s="2358"/>
      <c r="P24" s="3650"/>
      <c r="Q24" s="1322">
        <f t="shared" ref="Q24:Q34" si="11">B24</f>
        <v>111</v>
      </c>
      <c r="R24" s="1323" t="s">
        <v>65</v>
      </c>
      <c r="S24" s="1324">
        <f>F24</f>
        <v>100</v>
      </c>
      <c r="T24" s="1323" t="s">
        <v>65</v>
      </c>
      <c r="U24" s="1324">
        <f>H24</f>
        <v>100</v>
      </c>
      <c r="V24" s="1323" t="s">
        <v>65</v>
      </c>
      <c r="W24" s="1324">
        <f>J24</f>
        <v>100</v>
      </c>
      <c r="X24" s="1317"/>
      <c r="Y24" s="3650"/>
      <c r="Z24" s="1325">
        <f>Q24</f>
        <v>111</v>
      </c>
      <c r="AA24" s="1326">
        <f t="shared" si="3"/>
        <v>1</v>
      </c>
      <c r="AB24" s="1326">
        <f t="shared" si="4"/>
        <v>1</v>
      </c>
      <c r="AC24" s="1326">
        <f t="shared" si="5"/>
        <v>1</v>
      </c>
    </row>
    <row r="25" spans="1:29" s="407" customFormat="1" ht="15.75" thickBot="1">
      <c r="A25" s="774"/>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1"/>
      <c r="M25" s="2352"/>
      <c r="N25" s="2352"/>
      <c r="O25" s="2353"/>
      <c r="P25" s="3650"/>
      <c r="Q25" s="296">
        <f t="shared" si="11"/>
        <v>111</v>
      </c>
      <c r="R25" s="1318" t="s">
        <v>65</v>
      </c>
      <c r="S25" s="1319">
        <f>F25</f>
        <v>100</v>
      </c>
      <c r="T25" s="1318" t="s">
        <v>65</v>
      </c>
      <c r="U25" s="1319">
        <f>H25</f>
        <v>100</v>
      </c>
      <c r="V25" s="1318" t="s">
        <v>65</v>
      </c>
      <c r="W25" s="1319">
        <f>J25</f>
        <v>100</v>
      </c>
      <c r="X25" s="1320"/>
      <c r="Y25" s="3650"/>
      <c r="Z25" s="344">
        <f>Q25</f>
        <v>111</v>
      </c>
      <c r="AA25" s="1326">
        <f>D25/F25</f>
        <v>1</v>
      </c>
      <c r="AB25" s="1326">
        <f>D25/H25</f>
        <v>1</v>
      </c>
      <c r="AC25" s="1326">
        <f>D25/J25</f>
        <v>1</v>
      </c>
    </row>
    <row r="26" spans="1:29" ht="15">
      <c r="A26" s="808" t="s">
        <v>409</v>
      </c>
      <c r="B26" s="361" t="s">
        <v>462</v>
      </c>
      <c r="C26" s="197"/>
      <c r="D26" s="809">
        <v>100</v>
      </c>
      <c r="E26" s="197"/>
      <c r="F26" s="1009">
        <f>SUMIF(77:77,E26,78:78)-SUMIF(77:77,C26,78:78)+100</f>
        <v>100</v>
      </c>
      <c r="G26" s="197"/>
      <c r="H26" s="809">
        <f>SUMIF(77:77,G26,78:78)-SUMIF(77:77,C26,78:78)+100</f>
        <v>100</v>
      </c>
      <c r="I26" s="197"/>
      <c r="J26" s="809">
        <f>SUMIF(77:77,I26,78:78)-SUMIF(77:77,C26,78:78)+100</f>
        <v>100</v>
      </c>
      <c r="K26" s="954"/>
      <c r="L26" s="2359"/>
      <c r="M26" s="2350"/>
      <c r="N26" s="2350"/>
      <c r="O26" s="2358"/>
      <c r="P26" s="3651" t="s">
        <v>475</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652" t="s">
        <v>475</v>
      </c>
      <c r="Z26" s="1325" t="str">
        <f t="shared" ref="Z26:Z34" si="15">Q26</f>
        <v>公共部分装修</v>
      </c>
      <c r="AA26" s="1326">
        <f t="shared" si="3"/>
        <v>1</v>
      </c>
      <c r="AB26" s="1326">
        <f t="shared" si="4"/>
        <v>1</v>
      </c>
      <c r="AC26" s="1326">
        <f t="shared" si="5"/>
        <v>1</v>
      </c>
    </row>
    <row r="27" spans="1:29" s="813" customFormat="1" ht="15">
      <c r="A27" s="810"/>
      <c r="B27" s="765" t="s">
        <v>463</v>
      </c>
      <c r="C27" s="816"/>
      <c r="D27" s="426">
        <v>100</v>
      </c>
      <c r="E27" s="817"/>
      <c r="F27" s="804" t="e">
        <f>LOOKUP(E27,80:80,81:81)-LOOKUP(C27,80:80,81:81)+100</f>
        <v>#N/A</v>
      </c>
      <c r="G27" s="818"/>
      <c r="H27" s="778" t="e">
        <f>LOOKUP(G27,80:80,81:81)-LOOKUP(C27,80:80,81:81)+100</f>
        <v>#N/A</v>
      </c>
      <c r="I27" s="818"/>
      <c r="J27" s="778" t="e">
        <f>LOOKUP(I27,80:80,81:81)-LOOKUP(C27,80:80,81:81)+100</f>
        <v>#N/A</v>
      </c>
      <c r="K27" s="954"/>
      <c r="L27" s="2357"/>
      <c r="M27" s="2360"/>
      <c r="N27" s="2360"/>
      <c r="O27" s="2361"/>
      <c r="P27" s="3652"/>
      <c r="Q27" s="1327" t="str">
        <f t="shared" si="11"/>
        <v>成新率</v>
      </c>
      <c r="R27" s="1328" t="s">
        <v>65</v>
      </c>
      <c r="S27" s="1329" t="e">
        <f t="shared" si="12"/>
        <v>#N/A</v>
      </c>
      <c r="T27" s="1328" t="s">
        <v>65</v>
      </c>
      <c r="U27" s="1329" t="e">
        <f t="shared" si="13"/>
        <v>#N/A</v>
      </c>
      <c r="V27" s="1328" t="s">
        <v>65</v>
      </c>
      <c r="W27" s="1329" t="e">
        <f t="shared" si="14"/>
        <v>#N/A</v>
      </c>
      <c r="X27" s="1330"/>
      <c r="Y27" s="3652"/>
      <c r="Z27" s="1331" t="str">
        <f t="shared" si="15"/>
        <v>成新率</v>
      </c>
      <c r="AA27" s="1326" t="e">
        <f t="shared" si="3"/>
        <v>#N/A</v>
      </c>
      <c r="AB27" s="1326" t="e">
        <f t="shared" si="4"/>
        <v>#N/A</v>
      </c>
      <c r="AC27" s="1326" t="e">
        <f t="shared" si="5"/>
        <v>#N/A</v>
      </c>
    </row>
    <row r="28" spans="1:29" ht="15">
      <c r="A28" s="814"/>
      <c r="B28" s="765" t="s">
        <v>464</v>
      </c>
      <c r="C28" s="107"/>
      <c r="D28" s="778">
        <v>100</v>
      </c>
      <c r="E28" s="107"/>
      <c r="F28" s="804">
        <f>SUMIF(82:82,E28,83:83)-SUMIF(82:82,C28,83:83)+100</f>
        <v>100</v>
      </c>
      <c r="G28" s="107"/>
      <c r="H28" s="778">
        <f>SUMIF(82:82,G28,83:83)-SUMIF(82:82,C28,83:83)+100</f>
        <v>100</v>
      </c>
      <c r="I28" s="107"/>
      <c r="J28" s="778">
        <f>SUMIF(82:82,I28,83:83)-SUMIF(82:82,C28,83:83)+100</f>
        <v>100</v>
      </c>
      <c r="K28" s="954"/>
      <c r="L28" s="2359"/>
      <c r="M28" s="2350"/>
      <c r="N28" s="2350"/>
      <c r="O28" s="2358"/>
      <c r="P28" s="3652"/>
      <c r="Q28" s="1322" t="str">
        <f t="shared" si="11"/>
        <v>物业等级</v>
      </c>
      <c r="R28" s="1323" t="s">
        <v>65</v>
      </c>
      <c r="S28" s="1324">
        <f t="shared" si="12"/>
        <v>100</v>
      </c>
      <c r="T28" s="1323" t="s">
        <v>65</v>
      </c>
      <c r="U28" s="1324">
        <f t="shared" si="13"/>
        <v>100</v>
      </c>
      <c r="V28" s="1323" t="s">
        <v>65</v>
      </c>
      <c r="W28" s="1324">
        <f t="shared" si="14"/>
        <v>100</v>
      </c>
      <c r="X28" s="1317"/>
      <c r="Y28" s="3652"/>
      <c r="Z28" s="1325" t="str">
        <f t="shared" si="15"/>
        <v>物业等级</v>
      </c>
      <c r="AA28" s="1326">
        <f t="shared" si="3"/>
        <v>1</v>
      </c>
      <c r="AB28" s="1326">
        <f t="shared" si="4"/>
        <v>1</v>
      </c>
      <c r="AC28" s="1326">
        <f t="shared" si="5"/>
        <v>1</v>
      </c>
    </row>
    <row r="29" spans="1:29" ht="15">
      <c r="A29" s="814"/>
      <c r="B29" s="765" t="s">
        <v>476</v>
      </c>
      <c r="C29" s="1412"/>
      <c r="D29" s="778">
        <v>100</v>
      </c>
      <c r="E29" s="1412"/>
      <c r="F29" s="804">
        <f>SUMIF(84:84,E29,85:85)-SUMIF(84:84,C29,85:85)+100</f>
        <v>100</v>
      </c>
      <c r="G29" s="1412"/>
      <c r="H29" s="778">
        <f>SUMIF(84:84,G29,85:85)-SUMIF(84:84,C29,85:85)+100</f>
        <v>100</v>
      </c>
      <c r="I29" s="1412"/>
      <c r="J29" s="778">
        <f>SUMIF(84:84,I29,85:85)-SUMIF(84:84,C29,85:85)+100</f>
        <v>100</v>
      </c>
      <c r="K29" s="954"/>
      <c r="L29" s="2359"/>
      <c r="M29" s="2350"/>
      <c r="N29" s="2350"/>
      <c r="O29" s="2358"/>
      <c r="P29" s="3652"/>
      <c r="Q29" s="1322" t="str">
        <f t="shared" si="11"/>
        <v>有无电梯</v>
      </c>
      <c r="R29" s="1323" t="s">
        <v>65</v>
      </c>
      <c r="S29" s="1324">
        <f t="shared" si="12"/>
        <v>100</v>
      </c>
      <c r="T29" s="1323" t="s">
        <v>65</v>
      </c>
      <c r="U29" s="1324">
        <f t="shared" si="13"/>
        <v>100</v>
      </c>
      <c r="V29" s="1323" t="s">
        <v>65</v>
      </c>
      <c r="W29" s="1324">
        <f t="shared" si="14"/>
        <v>100</v>
      </c>
      <c r="X29" s="1317"/>
      <c r="Y29" s="3652"/>
      <c r="Z29" s="1325" t="str">
        <f t="shared" si="15"/>
        <v>有无电梯</v>
      </c>
      <c r="AA29" s="1326">
        <f t="shared" si="3"/>
        <v>1</v>
      </c>
      <c r="AB29" s="1326">
        <f t="shared" si="4"/>
        <v>1</v>
      </c>
      <c r="AC29" s="1326">
        <f t="shared" si="5"/>
        <v>1</v>
      </c>
    </row>
    <row r="30" spans="1:29" ht="15">
      <c r="A30" s="814"/>
      <c r="B30" s="765" t="s">
        <v>477</v>
      </c>
      <c r="C30" s="811"/>
      <c r="D30" s="778">
        <v>100</v>
      </c>
      <c r="E30" s="811"/>
      <c r="F30" s="804" t="e">
        <f>LOOKUP(E30,87:87,88:88)-LOOKUP(C30,87:87,88:88)+100</f>
        <v>#N/A</v>
      </c>
      <c r="G30" s="811"/>
      <c r="H30" s="778" t="e">
        <f>LOOKUP(G30,87:87,88:88)-LOOKUP(C30,87:87,88:88)+100</f>
        <v>#N/A</v>
      </c>
      <c r="I30" s="811"/>
      <c r="J30" s="778" t="e">
        <f>LOOKUP(I30,87:87,88:88)-LOOKUP(C30,87:87,88:88)+100</f>
        <v>#N/A</v>
      </c>
      <c r="K30" s="955"/>
      <c r="L30" s="2359"/>
      <c r="M30" s="2350"/>
      <c r="N30" s="2350"/>
      <c r="O30" s="2358"/>
      <c r="P30" s="3652"/>
      <c r="Q30" s="1322" t="str">
        <f t="shared" si="11"/>
        <v>建筑面积</v>
      </c>
      <c r="R30" s="1323" t="s">
        <v>65</v>
      </c>
      <c r="S30" s="1324" t="e">
        <f t="shared" si="12"/>
        <v>#N/A</v>
      </c>
      <c r="T30" s="1323" t="s">
        <v>65</v>
      </c>
      <c r="U30" s="1324" t="e">
        <f t="shared" si="13"/>
        <v>#N/A</v>
      </c>
      <c r="V30" s="1323" t="s">
        <v>65</v>
      </c>
      <c r="W30" s="1324" t="e">
        <f t="shared" si="14"/>
        <v>#N/A</v>
      </c>
      <c r="X30" s="1317"/>
      <c r="Y30" s="3652"/>
      <c r="Z30" s="1325" t="str">
        <f t="shared" si="15"/>
        <v>建筑面积</v>
      </c>
      <c r="AA30" s="1326" t="e">
        <f t="shared" si="3"/>
        <v>#N/A</v>
      </c>
      <c r="AB30" s="1326" t="e">
        <f t="shared" si="4"/>
        <v>#N/A</v>
      </c>
      <c r="AC30" s="1326" t="e">
        <f t="shared" si="5"/>
        <v>#N/A</v>
      </c>
    </row>
    <row r="31" spans="1:29" s="407" customFormat="1" ht="15">
      <c r="A31" s="815"/>
      <c r="B31" s="765" t="s">
        <v>478</v>
      </c>
      <c r="C31" s="1412"/>
      <c r="D31" s="426">
        <v>100</v>
      </c>
      <c r="E31" s="1412"/>
      <c r="F31" s="804">
        <f>SUMIF(89:89,E31,90:90)-SUMIF(89:89,C31,90:90)+100</f>
        <v>100</v>
      </c>
      <c r="G31" s="1412"/>
      <c r="H31" s="778">
        <f>SUMIF(89:89,G31,90:90)-SUMIF(89:89,C31,90:90)+100</f>
        <v>100</v>
      </c>
      <c r="I31" s="1412"/>
      <c r="J31" s="778">
        <f>SUMIF(89:89,I31,90:90)-SUMIF(89:89,C31,90:90)+100</f>
        <v>100</v>
      </c>
      <c r="K31" s="954"/>
      <c r="L31" s="2351"/>
      <c r="M31" s="2352"/>
      <c r="N31" s="2352"/>
      <c r="O31" s="2353"/>
      <c r="P31" s="3652"/>
      <c r="Q31" s="296" t="str">
        <f t="shared" si="11"/>
        <v>是否封闭</v>
      </c>
      <c r="R31" s="1318" t="s">
        <v>65</v>
      </c>
      <c r="S31" s="1319">
        <f t="shared" si="12"/>
        <v>100</v>
      </c>
      <c r="T31" s="1318" t="s">
        <v>65</v>
      </c>
      <c r="U31" s="1319">
        <f t="shared" si="13"/>
        <v>100</v>
      </c>
      <c r="V31" s="1318" t="s">
        <v>65</v>
      </c>
      <c r="W31" s="1319">
        <f t="shared" si="14"/>
        <v>100</v>
      </c>
      <c r="X31" s="1320"/>
      <c r="Y31" s="3652"/>
      <c r="Z31" s="344" t="str">
        <f t="shared" si="15"/>
        <v>是否封闭</v>
      </c>
      <c r="AA31" s="1321">
        <f t="shared" si="3"/>
        <v>1</v>
      </c>
      <c r="AB31" s="1321">
        <f t="shared" si="4"/>
        <v>1</v>
      </c>
      <c r="AC31" s="1321">
        <f t="shared" si="5"/>
        <v>1</v>
      </c>
    </row>
    <row r="32" spans="1:29" ht="15">
      <c r="A32" s="814"/>
      <c r="B32" s="1030">
        <v>111</v>
      </c>
      <c r="C32" s="1023"/>
      <c r="D32" s="778">
        <v>100</v>
      </c>
      <c r="E32" s="1357"/>
      <c r="F32" s="804">
        <f>SUMIF(91:91,E32,92:92)-SUMIF(91:91,C32,92:92)+100</f>
        <v>100</v>
      </c>
      <c r="G32" s="1357"/>
      <c r="H32" s="778">
        <f>SUMIF(91:91,G32,92:92)-SUMIF(91:91,C32,92:92)+100</f>
        <v>100</v>
      </c>
      <c r="I32" s="1357"/>
      <c r="J32" s="778">
        <f>SUMIF(91:91,I32,92:92)-SUMIF(91:91,C32,92:92)+100</f>
        <v>100</v>
      </c>
      <c r="K32" s="955"/>
      <c r="L32" s="2359"/>
      <c r="M32" s="2350"/>
      <c r="N32" s="2350"/>
      <c r="O32" s="2358"/>
      <c r="P32" s="3652" t="s">
        <v>410</v>
      </c>
      <c r="Q32" s="1322">
        <f t="shared" si="11"/>
        <v>111</v>
      </c>
      <c r="R32" s="1323" t="s">
        <v>65</v>
      </c>
      <c r="S32" s="1324">
        <f t="shared" si="12"/>
        <v>100</v>
      </c>
      <c r="T32" s="1323" t="s">
        <v>65</v>
      </c>
      <c r="U32" s="1324">
        <f t="shared" si="13"/>
        <v>100</v>
      </c>
      <c r="V32" s="1323" t="s">
        <v>65</v>
      </c>
      <c r="W32" s="1324">
        <f t="shared" si="14"/>
        <v>100</v>
      </c>
      <c r="X32" s="1317"/>
      <c r="Y32" s="3652" t="s">
        <v>410</v>
      </c>
      <c r="Z32" s="1325">
        <f t="shared" si="15"/>
        <v>111</v>
      </c>
      <c r="AA32" s="1326">
        <f t="shared" si="3"/>
        <v>1</v>
      </c>
      <c r="AB32" s="1326">
        <f t="shared" si="4"/>
        <v>1</v>
      </c>
      <c r="AC32" s="1326">
        <f t="shared" si="5"/>
        <v>1</v>
      </c>
    </row>
    <row r="33" spans="1:29" ht="15">
      <c r="A33" s="814"/>
      <c r="B33" s="1030">
        <v>111</v>
      </c>
      <c r="C33" s="1023"/>
      <c r="D33" s="778">
        <v>100</v>
      </c>
      <c r="E33" s="1357"/>
      <c r="F33" s="804">
        <f>SUMIF(93:93,E33,94:94)-SUMIF(93:93,C33,94:94)+100</f>
        <v>100</v>
      </c>
      <c r="G33" s="1357"/>
      <c r="H33" s="778">
        <f>SUMIF(93:93,G33,94:94)-SUMIF(93:93,C33,94:94)+100</f>
        <v>100</v>
      </c>
      <c r="I33" s="1357"/>
      <c r="J33" s="778">
        <f>SUMIF(93:93,I33,94:94)-SUMIF(93:93,C33,94:94)+100</f>
        <v>100</v>
      </c>
      <c r="K33" s="955"/>
      <c r="L33" s="2359"/>
      <c r="M33" s="2350"/>
      <c r="N33" s="2350"/>
      <c r="O33" s="2358"/>
      <c r="P33" s="3652"/>
      <c r="Q33" s="1322">
        <f t="shared" si="11"/>
        <v>111</v>
      </c>
      <c r="R33" s="1323" t="s">
        <v>65</v>
      </c>
      <c r="S33" s="1324">
        <f t="shared" si="12"/>
        <v>100</v>
      </c>
      <c r="T33" s="1323" t="s">
        <v>65</v>
      </c>
      <c r="U33" s="1324">
        <f t="shared" si="13"/>
        <v>100</v>
      </c>
      <c r="V33" s="1323" t="s">
        <v>65</v>
      </c>
      <c r="W33" s="1324">
        <f t="shared" si="14"/>
        <v>100</v>
      </c>
      <c r="X33" s="1317"/>
      <c r="Y33" s="3652"/>
      <c r="Z33" s="1325">
        <f t="shared" si="15"/>
        <v>111</v>
      </c>
      <c r="AA33" s="1326">
        <f t="shared" si="3"/>
        <v>1</v>
      </c>
      <c r="AB33" s="1326">
        <f t="shared" si="4"/>
        <v>1</v>
      </c>
      <c r="AC33" s="1326">
        <f t="shared" si="5"/>
        <v>1</v>
      </c>
    </row>
    <row r="34" spans="1:29" ht="15.75" thickBot="1">
      <c r="A34" s="820"/>
      <c r="B34" s="1031">
        <v>111</v>
      </c>
      <c r="C34" s="94"/>
      <c r="D34" s="781">
        <v>100</v>
      </c>
      <c r="E34" s="1413"/>
      <c r="F34" s="782">
        <f>SUMIF(95:95,E34,96:96)-SUMIF(95:95,C34,96:96)+100</f>
        <v>100</v>
      </c>
      <c r="G34" s="1413"/>
      <c r="H34" s="781">
        <f>SUMIF(95:95,G34,96:96)-SUMIF(95:95,C34,96:96)+100</f>
        <v>100</v>
      </c>
      <c r="I34" s="1413"/>
      <c r="J34" s="781">
        <f>SUMIF(95:95,I34,96:96)-SUMIF(95:95,C34,96:96)+100</f>
        <v>100</v>
      </c>
      <c r="K34" s="955"/>
      <c r="L34" s="2359"/>
      <c r="M34" s="2350"/>
      <c r="N34" s="2350"/>
      <c r="O34" s="2358"/>
      <c r="P34" s="3652"/>
      <c r="Q34" s="1322">
        <f t="shared" si="11"/>
        <v>111</v>
      </c>
      <c r="R34" s="1323" t="s">
        <v>65</v>
      </c>
      <c r="S34" s="1324">
        <f t="shared" si="12"/>
        <v>100</v>
      </c>
      <c r="T34" s="1323" t="s">
        <v>65</v>
      </c>
      <c r="U34" s="1324">
        <f t="shared" si="13"/>
        <v>100</v>
      </c>
      <c r="V34" s="1323" t="s">
        <v>65</v>
      </c>
      <c r="W34" s="1324">
        <f t="shared" si="14"/>
        <v>100</v>
      </c>
      <c r="X34" s="1317"/>
      <c r="Y34" s="3652"/>
      <c r="Z34" s="1325">
        <f t="shared" si="15"/>
        <v>111</v>
      </c>
      <c r="AA34" s="1326">
        <f t="shared" si="3"/>
        <v>1</v>
      </c>
      <c r="AB34" s="1326">
        <f t="shared" si="4"/>
        <v>1</v>
      </c>
      <c r="AC34" s="1326">
        <f t="shared" si="5"/>
        <v>1</v>
      </c>
    </row>
    <row r="35" spans="1:29" ht="15">
      <c r="A35" s="821" t="s">
        <v>411</v>
      </c>
      <c r="B35" s="822"/>
      <c r="C35" s="2837" t="s">
        <v>23</v>
      </c>
      <c r="D35" s="2838"/>
      <c r="E35" s="2839"/>
      <c r="F35" s="2840"/>
      <c r="G35" s="2841"/>
      <c r="H35" s="2842"/>
      <c r="I35" s="2839"/>
      <c r="J35" s="2842"/>
      <c r="K35" s="1399"/>
      <c r="L35" s="2362"/>
      <c r="M35" s="2363"/>
      <c r="N35" s="2350"/>
      <c r="O35" s="2363"/>
      <c r="P35" s="3634" t="str">
        <f>A35</f>
        <v>成交单价（元/平方米）</v>
      </c>
      <c r="Q35" s="3634"/>
      <c r="R35" s="3653">
        <f>E35</f>
        <v>0</v>
      </c>
      <c r="S35" s="3653"/>
      <c r="T35" s="3653">
        <f>G35</f>
        <v>0</v>
      </c>
      <c r="U35" s="3653"/>
      <c r="V35" s="3653">
        <f>I35</f>
        <v>0</v>
      </c>
      <c r="W35" s="3653"/>
      <c r="X35" s="1306"/>
      <c r="Y35" s="1332"/>
      <c r="Z35" s="1306"/>
      <c r="AA35" s="1306"/>
      <c r="AB35" s="1306"/>
      <c r="AC35" s="1306"/>
    </row>
    <row r="36" spans="1:29" ht="15.75" thickBot="1">
      <c r="A36" s="828" t="s">
        <v>412</v>
      </c>
      <c r="B36" s="829"/>
      <c r="C36" s="2843" t="e">
        <f>R37</f>
        <v>#DIV/0!</v>
      </c>
      <c r="D36" s="2844"/>
      <c r="E36" s="2845" t="e">
        <f>R36</f>
        <v>#DIV/0!</v>
      </c>
      <c r="F36" s="2845"/>
      <c r="G36" s="2843" t="e">
        <f>T36</f>
        <v>#DIV/0!</v>
      </c>
      <c r="H36" s="2844"/>
      <c r="I36" s="2845" t="e">
        <f>V36</f>
        <v>#DIV/0!</v>
      </c>
      <c r="J36" s="2844"/>
      <c r="K36" s="1400"/>
      <c r="L36" s="2362"/>
      <c r="M36" s="2363"/>
      <c r="N36" s="2350"/>
      <c r="O36" s="2363"/>
      <c r="P36" s="3634" t="str">
        <f>A36</f>
        <v>比较价值（元/平方米）</v>
      </c>
      <c r="Q36" s="3634"/>
      <c r="R36" s="3653" t="e">
        <f>IF(F1="售价",ROUND(PRODUCT(R35,AA7:AA34),0),ROUND(PRODUCT(R35,AA7:AA34),1))</f>
        <v>#DIV/0!</v>
      </c>
      <c r="S36" s="3653"/>
      <c r="T36" s="3653" t="e">
        <f>IF(F1="售价",ROUND(PRODUCT(T35,AB7:AB34),0),ROUND(PRODUCT(T35,AB7:AB34),1))</f>
        <v>#DIV/0!</v>
      </c>
      <c r="U36" s="3653"/>
      <c r="V36" s="3653" t="e">
        <f>IF(F1="售价",ROUND(PRODUCT(V35,AC7:AC34),0),ROUND(PRODUCT(V35,AC7:AC34),1))</f>
        <v>#DIV/0!</v>
      </c>
      <c r="W36" s="3653"/>
      <c r="X36" s="1306"/>
      <c r="Y36" s="1306"/>
      <c r="Z36" s="1306"/>
      <c r="AA36" s="1306"/>
      <c r="AB36" s="1306"/>
      <c r="AC36" s="1306"/>
    </row>
    <row r="37" spans="1:29" ht="15.75" thickBot="1">
      <c r="A37" s="115" t="s">
        <v>3022</v>
      </c>
      <c r="B37" s="835"/>
      <c r="C37" s="2847" t="e">
        <f>R37</f>
        <v>#DIV/0!</v>
      </c>
      <c r="D37" s="2847"/>
      <c r="E37" s="2847"/>
      <c r="F37" s="2847"/>
      <c r="G37" s="2847"/>
      <c r="H37" s="2847"/>
      <c r="I37" s="2847"/>
      <c r="J37" s="2847"/>
      <c r="K37" s="1401"/>
      <c r="L37" s="2362"/>
      <c r="M37" s="2363"/>
      <c r="N37" s="2363"/>
      <c r="O37" s="2363"/>
      <c r="P37" s="3654" t="str">
        <f>A37</f>
        <v>估价对象XX用房的比较价值（楼面单价，元/平方米）</v>
      </c>
      <c r="Q37" s="3655"/>
      <c r="R37" s="3656" t="e">
        <f>IF(F1="售价",ROUND(AVERAGE(R36:V36),0),ROUND(AVERAGE(R36:V36),1))</f>
        <v>#DIV/0!</v>
      </c>
      <c r="S37" s="3656"/>
      <c r="T37" s="3656"/>
      <c r="U37" s="3656"/>
      <c r="V37" s="3656"/>
      <c r="W37" s="3656"/>
      <c r="X37" s="1306"/>
      <c r="Y37" s="1306"/>
      <c r="Z37" s="1306"/>
      <c r="AA37" s="1306"/>
      <c r="AB37" s="1306"/>
      <c r="AC37" s="1306"/>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39" t="s">
        <v>413</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9"/>
      <c r="L40" s="2190"/>
      <c r="M40" s="2363"/>
      <c r="N40" s="2363"/>
      <c r="O40" s="2363"/>
    </row>
    <row r="41" spans="1:29" ht="13.5" customHeight="1">
      <c r="A41" s="2363"/>
      <c r="B41" s="2363"/>
      <c r="C41" s="839" t="s">
        <v>414</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9"/>
      <c r="L41" s="2190"/>
      <c r="M41" s="2363"/>
      <c r="N41" s="2363"/>
      <c r="O41" s="2363"/>
    </row>
    <row r="42" spans="1:29" s="844" customFormat="1" ht="13.5" customHeight="1">
      <c r="A42" s="2364"/>
      <c r="B42" s="2364"/>
      <c r="C42" s="839" t="s">
        <v>415</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7"/>
      <c r="L42" s="2368"/>
      <c r="M42" s="2364"/>
      <c r="N42" s="2364"/>
      <c r="O42" s="2364"/>
    </row>
    <row r="43" spans="1:29" s="844"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0" t="s">
        <v>416</v>
      </c>
      <c r="B45" s="1306"/>
      <c r="C45" s="1311"/>
      <c r="D45" s="1311"/>
      <c r="E45" s="1311"/>
      <c r="F45" s="1312"/>
      <c r="G45" s="1312"/>
      <c r="H45" s="1311"/>
      <c r="I45" s="1311"/>
      <c r="J45" s="1311"/>
      <c r="K45" s="1313"/>
      <c r="L45" s="1314"/>
      <c r="M45" s="1311"/>
      <c r="N45" s="1311"/>
      <c r="O45" s="1311"/>
      <c r="P45" s="845"/>
      <c r="Q45" s="846"/>
    </row>
    <row r="46" spans="1:29" s="850" customFormat="1" ht="15">
      <c r="A46" s="847" t="s">
        <v>399</v>
      </c>
      <c r="B46" s="848"/>
      <c r="C46" s="3046" t="str">
        <f>YEAR(C7)&amp;"-"&amp;MONTH(C7)</f>
        <v>2017-7</v>
      </c>
      <c r="D46" s="3047">
        <f>EDATE(C46,-1)</f>
        <v>42887</v>
      </c>
      <c r="E46" s="3047">
        <f t="shared" ref="E46:O46" si="16">EDATE(D46,-1)</f>
        <v>42856</v>
      </c>
      <c r="F46" s="3047">
        <f t="shared" si="16"/>
        <v>42826</v>
      </c>
      <c r="G46" s="3047">
        <f t="shared" si="16"/>
        <v>42795</v>
      </c>
      <c r="H46" s="3047">
        <f t="shared" si="16"/>
        <v>42767</v>
      </c>
      <c r="I46" s="3047">
        <f t="shared" si="16"/>
        <v>42736</v>
      </c>
      <c r="J46" s="3047">
        <f t="shared" si="16"/>
        <v>42705</v>
      </c>
      <c r="K46" s="3047">
        <f t="shared" si="16"/>
        <v>42675</v>
      </c>
      <c r="L46" s="3047">
        <f t="shared" si="16"/>
        <v>42644</v>
      </c>
      <c r="M46" s="3047">
        <f t="shared" si="16"/>
        <v>42614</v>
      </c>
      <c r="N46" s="3047">
        <f t="shared" si="16"/>
        <v>42583</v>
      </c>
      <c r="O46" s="3047">
        <f t="shared" si="16"/>
        <v>42552</v>
      </c>
      <c r="P46" s="849"/>
    </row>
    <row r="47" spans="1:29" s="407" customFormat="1" ht="15">
      <c r="A47" s="851"/>
      <c r="B47" s="852"/>
      <c r="C47" s="3044">
        <v>100</v>
      </c>
      <c r="D47" s="854"/>
      <c r="E47" s="854"/>
      <c r="F47" s="854"/>
      <c r="G47" s="854"/>
      <c r="H47" s="854"/>
      <c r="I47" s="854"/>
      <c r="J47" s="854"/>
      <c r="K47" s="854"/>
      <c r="L47" s="854"/>
      <c r="M47" s="855"/>
      <c r="N47" s="854"/>
      <c r="O47" s="856"/>
      <c r="P47" s="846"/>
    </row>
    <row r="48" spans="1:29" s="407" customFormat="1" ht="15.75" thickBot="1">
      <c r="A48" s="857" t="s">
        <v>417</v>
      </c>
      <c r="B48" s="858"/>
      <c r="C48" s="859"/>
      <c r="D48" s="860"/>
      <c r="E48" s="860"/>
      <c r="F48" s="860"/>
      <c r="G48" s="860"/>
      <c r="H48" s="860"/>
      <c r="I48" s="860"/>
      <c r="J48" s="860"/>
      <c r="K48" s="860"/>
      <c r="L48" s="860"/>
      <c r="M48" s="861"/>
      <c r="N48" s="860"/>
      <c r="O48" s="862"/>
      <c r="P48" s="846"/>
      <c r="Q48" s="846"/>
    </row>
    <row r="49" spans="1:17" s="407" customFormat="1" ht="15">
      <c r="A49" s="863" t="s">
        <v>401</v>
      </c>
      <c r="B49" s="852"/>
      <c r="C49" s="864" t="s">
        <v>418</v>
      </c>
      <c r="D49" s="140"/>
      <c r="E49" s="140"/>
      <c r="F49" s="140"/>
      <c r="G49" s="140"/>
      <c r="H49" s="140"/>
      <c r="I49" s="140"/>
      <c r="J49" s="140"/>
      <c r="K49" s="140"/>
      <c r="L49" s="141"/>
      <c r="M49" s="1050"/>
      <c r="N49" s="2370"/>
      <c r="O49" s="2370"/>
      <c r="P49" s="868"/>
      <c r="Q49" s="846"/>
    </row>
    <row r="50" spans="1:17" s="407" customFormat="1" ht="15.75" thickBot="1">
      <c r="A50" s="863"/>
      <c r="B50" s="852"/>
      <c r="C50" s="981">
        <v>100</v>
      </c>
      <c r="D50" s="854"/>
      <c r="E50" s="854"/>
      <c r="F50" s="854"/>
      <c r="G50" s="854"/>
      <c r="H50" s="854"/>
      <c r="I50" s="854"/>
      <c r="J50" s="854"/>
      <c r="K50" s="854"/>
      <c r="L50" s="854"/>
      <c r="M50" s="856"/>
      <c r="N50" s="2370"/>
      <c r="O50" s="2370"/>
      <c r="P50" s="846"/>
      <c r="Q50" s="846"/>
    </row>
    <row r="51" spans="1:17">
      <c r="A51" s="869" t="s">
        <v>419</v>
      </c>
      <c r="B51" s="870" t="s">
        <v>420</v>
      </c>
      <c r="C51" s="871">
        <f>C9</f>
        <v>0</v>
      </c>
      <c r="D51" s="122"/>
      <c r="E51" s="122"/>
      <c r="F51" s="122"/>
      <c r="G51" s="122"/>
      <c r="H51" s="122"/>
      <c r="I51" s="122"/>
      <c r="J51" s="122"/>
      <c r="K51" s="123"/>
      <c r="L51" s="124"/>
      <c r="M51" s="125"/>
      <c r="N51" s="2371"/>
      <c r="O51" s="2371"/>
      <c r="P51" s="334"/>
      <c r="Q51" s="846"/>
    </row>
    <row r="52" spans="1:17" ht="15.75" thickBot="1">
      <c r="A52" s="876"/>
      <c r="B52" s="877"/>
      <c r="C52" s="878">
        <v>100</v>
      </c>
      <c r="D52" s="878"/>
      <c r="E52" s="878"/>
      <c r="F52" s="878"/>
      <c r="G52" s="878"/>
      <c r="H52" s="878"/>
      <c r="I52" s="878"/>
      <c r="J52" s="878"/>
      <c r="K52" s="878"/>
      <c r="L52" s="878"/>
      <c r="M52" s="879"/>
      <c r="N52" s="2372"/>
      <c r="O52" s="2372"/>
      <c r="P52" s="334"/>
      <c r="Q52" s="846"/>
    </row>
    <row r="53" spans="1:17" ht="27.75" thickTop="1">
      <c r="A53" s="876"/>
      <c r="B53" s="880" t="s">
        <v>405</v>
      </c>
      <c r="C53" s="881" t="s">
        <v>421</v>
      </c>
      <c r="D53" s="881" t="s">
        <v>422</v>
      </c>
      <c r="E53" s="881" t="s">
        <v>423</v>
      </c>
      <c r="F53" s="881" t="s">
        <v>424</v>
      </c>
      <c r="G53" s="881" t="s">
        <v>439</v>
      </c>
      <c r="H53" s="881" t="s">
        <v>440</v>
      </c>
      <c r="I53" s="881" t="s">
        <v>441</v>
      </c>
      <c r="J53" s="881"/>
      <c r="K53" s="882"/>
      <c r="L53" s="883"/>
      <c r="M53" s="884"/>
      <c r="N53" s="2371"/>
      <c r="O53" s="2371"/>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2"/>
      <c r="O54" s="2372"/>
      <c r="P54" s="334"/>
      <c r="Q54" s="846"/>
    </row>
    <row r="55" spans="1:17" ht="15.75" thickTop="1">
      <c r="A55" s="876"/>
      <c r="B55" s="213">
        <f>B11</f>
        <v>111</v>
      </c>
      <c r="C55" s="126"/>
      <c r="D55" s="126"/>
      <c r="E55" s="126"/>
      <c r="F55" s="126"/>
      <c r="G55" s="126"/>
      <c r="H55" s="126"/>
      <c r="I55" s="126"/>
      <c r="J55" s="126"/>
      <c r="K55" s="127"/>
      <c r="L55" s="128"/>
      <c r="M55" s="129"/>
      <c r="N55" s="2371"/>
      <c r="O55" s="2371"/>
      <c r="P55" s="334"/>
      <c r="Q55" s="846"/>
    </row>
    <row r="56" spans="1:17" ht="15.75" thickBot="1">
      <c r="A56" s="876"/>
      <c r="B56" s="1052"/>
      <c r="C56" s="902"/>
      <c r="D56" s="878"/>
      <c r="E56" s="878"/>
      <c r="F56" s="878"/>
      <c r="G56" s="878"/>
      <c r="H56" s="878"/>
      <c r="I56" s="878"/>
      <c r="J56" s="878"/>
      <c r="K56" s="878"/>
      <c r="L56" s="878"/>
      <c r="M56" s="879"/>
      <c r="N56" s="2372"/>
      <c r="O56" s="2372"/>
      <c r="P56" s="334"/>
      <c r="Q56" s="846"/>
    </row>
    <row r="57" spans="1:17" s="813" customFormat="1" ht="15.75" thickTop="1">
      <c r="A57" s="895"/>
      <c r="B57" s="1053">
        <f>B12</f>
        <v>111</v>
      </c>
      <c r="C57" s="126"/>
      <c r="D57" s="126"/>
      <c r="E57" s="126"/>
      <c r="F57" s="126"/>
      <c r="G57" s="139"/>
      <c r="H57" s="1058"/>
      <c r="I57" s="1058"/>
      <c r="J57" s="1058"/>
      <c r="K57" s="1058"/>
      <c r="L57" s="1059"/>
      <c r="M57" s="1060"/>
      <c r="N57" s="2373"/>
      <c r="O57" s="2373"/>
      <c r="P57" s="900"/>
      <c r="Q57" s="901"/>
    </row>
    <row r="58" spans="1:17" s="813" customFormat="1" ht="15.75" thickBot="1">
      <c r="A58" s="895"/>
      <c r="B58" s="1054"/>
      <c r="C58" s="902"/>
      <c r="D58" s="878"/>
      <c r="E58" s="878"/>
      <c r="F58" s="878"/>
      <c r="G58" s="878"/>
      <c r="H58" s="878"/>
      <c r="I58" s="878"/>
      <c r="J58" s="878"/>
      <c r="K58" s="878"/>
      <c r="L58" s="878"/>
      <c r="M58" s="879"/>
      <c r="N58" s="2372"/>
      <c r="O58" s="2372"/>
      <c r="P58" s="900"/>
      <c r="Q58" s="901"/>
    </row>
    <row r="59" spans="1:17" s="813" customFormat="1" ht="15.75" thickTop="1">
      <c r="A59" s="895"/>
      <c r="B59" s="1053">
        <f>B13</f>
        <v>111</v>
      </c>
      <c r="C59" s="126"/>
      <c r="D59" s="126"/>
      <c r="E59" s="126"/>
      <c r="F59" s="126"/>
      <c r="G59" s="139"/>
      <c r="H59" s="1058"/>
      <c r="I59" s="1058"/>
      <c r="J59" s="1058"/>
      <c r="K59" s="1058"/>
      <c r="L59" s="1059"/>
      <c r="M59" s="1060"/>
      <c r="N59" s="2373"/>
      <c r="O59" s="2373"/>
      <c r="P59" s="812"/>
      <c r="Q59" s="903"/>
    </row>
    <row r="60" spans="1:17" s="813" customFormat="1" ht="15.75" thickBot="1">
      <c r="A60" s="895"/>
      <c r="B60" s="1054"/>
      <c r="C60" s="902"/>
      <c r="D60" s="902"/>
      <c r="E60" s="902"/>
      <c r="F60" s="902"/>
      <c r="G60" s="902"/>
      <c r="H60" s="904"/>
      <c r="I60" s="904"/>
      <c r="J60" s="904"/>
      <c r="K60" s="904"/>
      <c r="L60" s="904"/>
      <c r="M60" s="905"/>
      <c r="N60" s="2373"/>
      <c r="O60" s="2373"/>
      <c r="P60" s="900"/>
      <c r="Q60" s="901"/>
    </row>
    <row r="61" spans="1:17" ht="15" thickTop="1">
      <c r="A61" s="869" t="s">
        <v>407</v>
      </c>
      <c r="B61" s="870" t="s">
        <v>431</v>
      </c>
      <c r="C61" s="915" t="s">
        <v>426</v>
      </c>
      <c r="D61" s="915" t="s">
        <v>427</v>
      </c>
      <c r="E61" s="915" t="s">
        <v>428</v>
      </c>
      <c r="F61" s="915" t="s">
        <v>429</v>
      </c>
      <c r="G61" s="915" t="s">
        <v>430</v>
      </c>
      <c r="H61" s="871"/>
      <c r="I61" s="871"/>
      <c r="J61" s="871"/>
      <c r="K61" s="916"/>
      <c r="L61" s="917"/>
      <c r="M61" s="918"/>
      <c r="N61" s="2371"/>
      <c r="O61" s="2371"/>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2"/>
      <c r="O62" s="2372"/>
      <c r="P62" s="334"/>
      <c r="Q62" s="846"/>
    </row>
    <row r="63" spans="1:17" ht="27.75" thickTop="1">
      <c r="A63" s="876"/>
      <c r="B63" s="880" t="s">
        <v>432</v>
      </c>
      <c r="C63" s="920" t="s">
        <v>426</v>
      </c>
      <c r="D63" s="920" t="s">
        <v>427</v>
      </c>
      <c r="E63" s="920" t="s">
        <v>428</v>
      </c>
      <c r="F63" s="920" t="s">
        <v>429</v>
      </c>
      <c r="G63" s="920" t="s">
        <v>430</v>
      </c>
      <c r="H63" s="881"/>
      <c r="I63" s="881"/>
      <c r="J63" s="881"/>
      <c r="K63" s="882"/>
      <c r="L63" s="883"/>
      <c r="M63" s="884"/>
      <c r="N63" s="2371"/>
      <c r="O63" s="2371"/>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2"/>
      <c r="O64" s="2372"/>
      <c r="P64" s="334"/>
      <c r="Q64" s="846"/>
    </row>
    <row r="65" spans="1:17" ht="15.75" thickTop="1">
      <c r="A65" s="876"/>
      <c r="B65" s="1055" t="s">
        <v>2669</v>
      </c>
      <c r="C65" s="213" t="s">
        <v>2659</v>
      </c>
      <c r="D65" s="213" t="s">
        <v>2660</v>
      </c>
      <c r="E65" s="213" t="s">
        <v>2661</v>
      </c>
      <c r="F65" s="213" t="s">
        <v>2662</v>
      </c>
      <c r="G65" s="213" t="s">
        <v>2663</v>
      </c>
      <c r="H65" s="881"/>
      <c r="I65" s="881"/>
      <c r="J65" s="881"/>
      <c r="K65" s="881"/>
      <c r="L65" s="881"/>
      <c r="M65" s="2766"/>
      <c r="N65" s="2372"/>
      <c r="O65" s="2372"/>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3"/>
      <c r="N66" s="2372"/>
      <c r="O66" s="2372"/>
      <c r="P66" s="334"/>
      <c r="Q66" s="846"/>
    </row>
    <row r="67" spans="1:17" ht="15.75" thickTop="1">
      <c r="A67" s="876"/>
      <c r="B67" s="880" t="s">
        <v>433</v>
      </c>
      <c r="C67" s="920" t="s">
        <v>426</v>
      </c>
      <c r="D67" s="920" t="s">
        <v>427</v>
      </c>
      <c r="E67" s="920" t="s">
        <v>428</v>
      </c>
      <c r="F67" s="920" t="s">
        <v>429</v>
      </c>
      <c r="G67" s="920" t="s">
        <v>430</v>
      </c>
      <c r="H67" s="881"/>
      <c r="I67" s="881"/>
      <c r="J67" s="881"/>
      <c r="K67" s="882"/>
      <c r="L67" s="883"/>
      <c r="M67" s="884"/>
      <c r="N67" s="2371"/>
      <c r="O67" s="2371"/>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2"/>
      <c r="O68" s="2372"/>
      <c r="P68" s="334"/>
      <c r="Q68" s="846"/>
    </row>
    <row r="69" spans="1:17" ht="15.75" thickTop="1">
      <c r="A69" s="876"/>
      <c r="B69" s="880" t="s">
        <v>434</v>
      </c>
      <c r="C69" s="139"/>
      <c r="D69" s="139"/>
      <c r="E69" s="139"/>
      <c r="F69" s="139"/>
      <c r="G69" s="139"/>
      <c r="H69" s="131"/>
      <c r="I69" s="131"/>
      <c r="J69" s="131"/>
      <c r="K69" s="132"/>
      <c r="L69" s="133"/>
      <c r="M69" s="134"/>
      <c r="N69" s="2371"/>
      <c r="O69" s="2371"/>
      <c r="P69" s="334"/>
      <c r="Q69" s="846"/>
    </row>
    <row r="70" spans="1:17" ht="15.75" thickBot="1">
      <c r="A70" s="876"/>
      <c r="B70" s="885"/>
      <c r="C70" s="886">
        <v>100</v>
      </c>
      <c r="D70" s="886">
        <f>C70-$K22</f>
        <v>100</v>
      </c>
      <c r="E70" s="886"/>
      <c r="F70" s="886"/>
      <c r="G70" s="886"/>
      <c r="H70" s="886"/>
      <c r="I70" s="886"/>
      <c r="J70" s="886"/>
      <c r="K70" s="886"/>
      <c r="L70" s="886"/>
      <c r="M70" s="887"/>
      <c r="N70" s="2372"/>
      <c r="O70" s="2372"/>
      <c r="P70" s="334"/>
      <c r="Q70" s="846"/>
    </row>
    <row r="71" spans="1:17" s="407" customFormat="1" ht="15.75" thickTop="1">
      <c r="A71" s="921"/>
      <c r="B71" s="1053">
        <f>B23</f>
        <v>111</v>
      </c>
      <c r="C71" s="126"/>
      <c r="D71" s="126"/>
      <c r="E71" s="126"/>
      <c r="F71" s="126"/>
      <c r="G71" s="139"/>
      <c r="H71" s="139"/>
      <c r="I71" s="139"/>
      <c r="J71" s="139"/>
      <c r="K71" s="139"/>
      <c r="L71" s="1383"/>
      <c r="M71" s="1384"/>
      <c r="N71" s="2370"/>
      <c r="O71" s="2370"/>
      <c r="P71" s="334"/>
      <c r="Q71" s="846"/>
    </row>
    <row r="72" spans="1:17" s="407" customFormat="1" ht="15.75" thickBot="1">
      <c r="A72" s="921"/>
      <c r="B72" s="1054"/>
      <c r="C72" s="902"/>
      <c r="D72" s="878"/>
      <c r="E72" s="878"/>
      <c r="F72" s="878"/>
      <c r="G72" s="878"/>
      <c r="H72" s="878"/>
      <c r="I72" s="878"/>
      <c r="J72" s="878"/>
      <c r="K72" s="878"/>
      <c r="L72" s="878"/>
      <c r="M72" s="879"/>
      <c r="N72" s="2372"/>
      <c r="O72" s="2372"/>
      <c r="P72" s="334"/>
      <c r="Q72" s="846"/>
    </row>
    <row r="73" spans="1:17" s="407" customFormat="1" ht="15.75" thickTop="1">
      <c r="A73" s="921"/>
      <c r="B73" s="1053">
        <f>B24</f>
        <v>111</v>
      </c>
      <c r="C73" s="126"/>
      <c r="D73" s="126"/>
      <c r="E73" s="126"/>
      <c r="F73" s="126"/>
      <c r="G73" s="139"/>
      <c r="H73" s="139"/>
      <c r="I73" s="139"/>
      <c r="J73" s="139"/>
      <c r="K73" s="139"/>
      <c r="L73" s="139"/>
      <c r="M73" s="1384"/>
      <c r="N73" s="2370"/>
      <c r="O73" s="2370"/>
      <c r="P73" s="334"/>
      <c r="Q73" s="846"/>
    </row>
    <row r="74" spans="1:17" s="407" customFormat="1" ht="15.75" thickBot="1">
      <c r="A74" s="921"/>
      <c r="B74" s="1054"/>
      <c r="C74" s="902"/>
      <c r="D74" s="878"/>
      <c r="E74" s="878"/>
      <c r="F74" s="878"/>
      <c r="G74" s="878"/>
      <c r="H74" s="878"/>
      <c r="I74" s="878"/>
      <c r="J74" s="878"/>
      <c r="K74" s="878"/>
      <c r="L74" s="878"/>
      <c r="M74" s="879"/>
      <c r="N74" s="2372"/>
      <c r="O74" s="2372"/>
      <c r="P74" s="334"/>
      <c r="Q74" s="846"/>
    </row>
    <row r="75" spans="1:17" s="813" customFormat="1" ht="15.75" thickTop="1">
      <c r="A75" s="895"/>
      <c r="B75" s="1053">
        <f>B25</f>
        <v>111</v>
      </c>
      <c r="C75" s="126"/>
      <c r="D75" s="126"/>
      <c r="E75" s="126"/>
      <c r="F75" s="126"/>
      <c r="G75" s="139"/>
      <c r="H75" s="1058"/>
      <c r="I75" s="1058"/>
      <c r="J75" s="1058"/>
      <c r="K75" s="1058"/>
      <c r="L75" s="1059"/>
      <c r="M75" s="1060"/>
      <c r="N75" s="2373"/>
      <c r="O75" s="2373"/>
      <c r="P75" s="900"/>
      <c r="Q75" s="901"/>
    </row>
    <row r="76" spans="1:17" s="813" customFormat="1" ht="15.75" thickBot="1">
      <c r="A76" s="895"/>
      <c r="B76" s="1054"/>
      <c r="C76" s="902"/>
      <c r="D76" s="902"/>
      <c r="E76" s="902"/>
      <c r="F76" s="902"/>
      <c r="G76" s="878"/>
      <c r="H76" s="878"/>
      <c r="I76" s="878"/>
      <c r="J76" s="878"/>
      <c r="K76" s="878"/>
      <c r="L76" s="878"/>
      <c r="M76" s="879"/>
      <c r="N76" s="2373"/>
      <c r="O76" s="2373"/>
      <c r="P76" s="900"/>
      <c r="Q76" s="901"/>
    </row>
    <row r="77" spans="1:17" ht="15" thickTop="1">
      <c r="A77" s="869" t="s">
        <v>409</v>
      </c>
      <c r="B77" s="870" t="s">
        <v>435</v>
      </c>
      <c r="C77" s="139"/>
      <c r="D77" s="139"/>
      <c r="E77" s="122"/>
      <c r="F77" s="122"/>
      <c r="G77" s="122"/>
      <c r="H77" s="122"/>
      <c r="I77" s="122"/>
      <c r="J77" s="122"/>
      <c r="K77" s="123"/>
      <c r="L77" s="124"/>
      <c r="M77" s="125"/>
      <c r="N77" s="2371"/>
      <c r="O77" s="2371"/>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2"/>
      <c r="O78" s="2372"/>
      <c r="P78" s="334"/>
      <c r="Q78" s="846"/>
    </row>
    <row r="79" spans="1:17" ht="15.75" thickTop="1">
      <c r="A79" s="876"/>
      <c r="B79" s="880" t="s">
        <v>470</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70"/>
      <c r="O79" s="2370"/>
      <c r="P79" s="334"/>
      <c r="Q79" s="846"/>
    </row>
    <row r="80" spans="1:17" ht="15">
      <c r="A80" s="876"/>
      <c r="B80" s="888"/>
      <c r="C80" s="945">
        <v>0.5</v>
      </c>
      <c r="D80" s="945">
        <v>0.6</v>
      </c>
      <c r="E80" s="945">
        <v>0.7</v>
      </c>
      <c r="F80" s="945">
        <v>0.8</v>
      </c>
      <c r="G80" s="945">
        <v>0.9</v>
      </c>
      <c r="H80" s="945">
        <v>1.0001</v>
      </c>
      <c r="I80" s="1002"/>
      <c r="J80" s="1002"/>
      <c r="K80" s="1010"/>
      <c r="L80" s="1011"/>
      <c r="M80" s="1012"/>
      <c r="N80" s="2370"/>
      <c r="O80" s="2370"/>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2"/>
      <c r="O81" s="2372"/>
      <c r="P81" s="900"/>
      <c r="Q81" s="901"/>
    </row>
    <row r="82" spans="1:17" ht="15" thickTop="1">
      <c r="A82" s="941"/>
      <c r="B82" s="888" t="s">
        <v>471</v>
      </c>
      <c r="C82" s="139"/>
      <c r="D82" s="139"/>
      <c r="E82" s="131"/>
      <c r="F82" s="131"/>
      <c r="G82" s="131"/>
      <c r="H82" s="131"/>
      <c r="I82" s="131"/>
      <c r="J82" s="131"/>
      <c r="K82" s="132"/>
      <c r="L82" s="133"/>
      <c r="M82" s="134"/>
      <c r="N82" s="2371"/>
      <c r="O82" s="2371"/>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2"/>
      <c r="O83" s="2372"/>
      <c r="P83" s="334"/>
      <c r="Q83" s="846"/>
    </row>
    <row r="84" spans="1:17" ht="15" thickTop="1">
      <c r="A84" s="941"/>
      <c r="B84" s="880" t="s">
        <v>479</v>
      </c>
      <c r="C84" s="139"/>
      <c r="D84" s="139"/>
      <c r="E84" s="139"/>
      <c r="F84" s="139"/>
      <c r="G84" s="139"/>
      <c r="H84" s="139"/>
      <c r="I84" s="131"/>
      <c r="J84" s="131"/>
      <c r="K84" s="132"/>
      <c r="L84" s="133"/>
      <c r="M84" s="134"/>
      <c r="N84" s="2371"/>
      <c r="O84" s="2371"/>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2"/>
      <c r="O85" s="2372"/>
      <c r="P85" s="334"/>
      <c r="Q85" s="846"/>
    </row>
    <row r="86" spans="1:17" ht="15" thickTop="1">
      <c r="A86" s="941"/>
      <c r="B86" s="888" t="s">
        <v>480</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1"/>
      <c r="O86" s="2371"/>
      <c r="P86" s="334"/>
      <c r="Q86" s="846"/>
    </row>
    <row r="87" spans="1:17">
      <c r="A87" s="941"/>
      <c r="B87" s="888"/>
      <c r="C87" s="937"/>
      <c r="D87" s="937"/>
      <c r="E87" s="937"/>
      <c r="F87" s="937"/>
      <c r="G87" s="937"/>
      <c r="H87" s="937"/>
      <c r="I87" s="937"/>
      <c r="J87" s="938"/>
      <c r="K87" s="938"/>
      <c r="L87" s="939"/>
      <c r="M87" s="940"/>
      <c r="N87" s="2371"/>
      <c r="O87" s="2371"/>
      <c r="P87" s="334"/>
      <c r="Q87" s="846"/>
    </row>
    <row r="88" spans="1:17" ht="15.75" thickBot="1">
      <c r="A88" s="876"/>
      <c r="B88" s="885"/>
      <c r="C88" s="902"/>
      <c r="D88" s="878"/>
      <c r="E88" s="878"/>
      <c r="F88" s="878"/>
      <c r="G88" s="878"/>
      <c r="H88" s="878"/>
      <c r="I88" s="878"/>
      <c r="J88" s="878"/>
      <c r="K88" s="878"/>
      <c r="L88" s="878"/>
      <c r="M88" s="878"/>
      <c r="N88" s="2372"/>
      <c r="O88" s="2372"/>
      <c r="P88" s="334"/>
      <c r="Q88" s="846"/>
    </row>
    <row r="89" spans="1:17" s="813" customFormat="1" ht="15" thickTop="1">
      <c r="A89" s="935"/>
      <c r="B89" s="880" t="s">
        <v>481</v>
      </c>
      <c r="C89" s="139"/>
      <c r="D89" s="139"/>
      <c r="E89" s="139"/>
      <c r="F89" s="139"/>
      <c r="G89" s="139"/>
      <c r="H89" s="139"/>
      <c r="I89" s="139"/>
      <c r="J89" s="139"/>
      <c r="K89" s="139"/>
      <c r="L89" s="139"/>
      <c r="M89" s="1384"/>
      <c r="N89" s="2373"/>
      <c r="O89" s="2373"/>
      <c r="P89" s="900"/>
      <c r="Q89" s="901"/>
    </row>
    <row r="90" spans="1:17" s="813" customFormat="1" ht="15.75" thickBot="1">
      <c r="A90" s="895"/>
      <c r="B90" s="885"/>
      <c r="C90" s="902"/>
      <c r="D90" s="878"/>
      <c r="E90" s="878"/>
      <c r="F90" s="878"/>
      <c r="G90" s="878"/>
      <c r="H90" s="878"/>
      <c r="I90" s="878"/>
      <c r="J90" s="878"/>
      <c r="K90" s="878"/>
      <c r="L90" s="878"/>
      <c r="M90" s="879"/>
      <c r="N90" s="2373"/>
      <c r="O90" s="2373"/>
      <c r="P90" s="900"/>
      <c r="Q90" s="901"/>
    </row>
    <row r="91" spans="1:17" ht="15" thickTop="1">
      <c r="A91" s="941"/>
      <c r="B91" s="1053">
        <f>B32</f>
        <v>111</v>
      </c>
      <c r="C91" s="126"/>
      <c r="D91" s="126"/>
      <c r="E91" s="126"/>
      <c r="F91" s="126"/>
      <c r="G91" s="139"/>
      <c r="H91" s="1058"/>
      <c r="I91" s="1058"/>
      <c r="J91" s="1058"/>
      <c r="K91" s="1058"/>
      <c r="L91" s="1059"/>
      <c r="M91" s="1060"/>
      <c r="N91" s="2371"/>
      <c r="O91" s="2371"/>
      <c r="P91" s="334"/>
      <c r="Q91" s="846"/>
    </row>
    <row r="92" spans="1:17" ht="15.75" thickBot="1">
      <c r="A92" s="876"/>
      <c r="B92" s="1054"/>
      <c r="C92" s="902"/>
      <c r="D92" s="878"/>
      <c r="E92" s="878"/>
      <c r="F92" s="878"/>
      <c r="G92" s="902"/>
      <c r="H92" s="904"/>
      <c r="I92" s="904"/>
      <c r="J92" s="904"/>
      <c r="K92" s="904"/>
      <c r="L92" s="904"/>
      <c r="M92" s="905"/>
      <c r="N92" s="2372"/>
      <c r="O92" s="2372"/>
      <c r="P92" s="334"/>
      <c r="Q92" s="846"/>
    </row>
    <row r="93" spans="1:17" ht="15" thickTop="1">
      <c r="A93" s="941"/>
      <c r="B93" s="1053">
        <f>B33</f>
        <v>111</v>
      </c>
      <c r="C93" s="126"/>
      <c r="D93" s="126"/>
      <c r="E93" s="126"/>
      <c r="F93" s="126"/>
      <c r="G93" s="139"/>
      <c r="H93" s="1058"/>
      <c r="I93" s="1058"/>
      <c r="J93" s="1058"/>
      <c r="K93" s="1058"/>
      <c r="L93" s="1059"/>
      <c r="M93" s="1060"/>
      <c r="N93" s="2371"/>
      <c r="O93" s="2371"/>
      <c r="P93" s="334"/>
      <c r="Q93" s="846"/>
    </row>
    <row r="94" spans="1:17" ht="15.75" thickBot="1">
      <c r="A94" s="876"/>
      <c r="B94" s="1054"/>
      <c r="C94" s="902"/>
      <c r="D94" s="878"/>
      <c r="E94" s="878"/>
      <c r="F94" s="878"/>
      <c r="G94" s="902"/>
      <c r="H94" s="904"/>
      <c r="I94" s="904"/>
      <c r="J94" s="904"/>
      <c r="K94" s="904"/>
      <c r="L94" s="904"/>
      <c r="M94" s="905"/>
      <c r="N94" s="2372"/>
      <c r="O94" s="2372"/>
      <c r="P94" s="334"/>
      <c r="Q94" s="846"/>
    </row>
    <row r="95" spans="1:17" ht="15" thickTop="1">
      <c r="A95" s="941"/>
      <c r="B95" s="211">
        <f>B34</f>
        <v>111</v>
      </c>
      <c r="C95" s="126"/>
      <c r="D95" s="126"/>
      <c r="E95" s="126"/>
      <c r="F95" s="126"/>
      <c r="G95" s="139"/>
      <c r="H95" s="1058"/>
      <c r="I95" s="1058"/>
      <c r="J95" s="1058"/>
      <c r="K95" s="1058"/>
      <c r="L95" s="1059"/>
      <c r="M95" s="1060"/>
      <c r="N95" s="2372"/>
      <c r="O95" s="2372"/>
      <c r="P95" s="979"/>
      <c r="Q95" s="980"/>
    </row>
    <row r="96" spans="1:17" ht="15.75" thickBot="1">
      <c r="A96" s="876"/>
      <c r="B96" s="1054"/>
      <c r="C96" s="902"/>
      <c r="D96" s="902"/>
      <c r="E96" s="902"/>
      <c r="F96" s="902"/>
      <c r="G96" s="902"/>
      <c r="H96" s="904"/>
      <c r="I96" s="904"/>
      <c r="J96" s="904"/>
      <c r="K96" s="904"/>
      <c r="L96" s="904"/>
      <c r="M96" s="905"/>
      <c r="N96" s="2372"/>
      <c r="O96" s="2372"/>
      <c r="P96" s="334"/>
      <c r="Q96" s="846"/>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4" priority="14" stopIfTrue="1" operator="containsText" text="超过">
      <formula>NOT(ISERROR(SEARCH("超过",F40)))</formula>
    </cfRule>
  </conditionalFormatting>
  <conditionalFormatting sqref="J42">
    <cfRule type="containsText" dxfId="53" priority="13" stopIfTrue="1" operator="containsText" text="超过">
      <formula>NOT(ISERROR(SEARCH("超过",J42)))</formula>
    </cfRule>
  </conditionalFormatting>
  <conditionalFormatting sqref="H42">
    <cfRule type="containsText" dxfId="52" priority="12" stopIfTrue="1" operator="containsText" text="超过">
      <formula>NOT(ISERROR(SEARCH("超过",H42)))</formula>
    </cfRule>
  </conditionalFormatting>
  <conditionalFormatting sqref="F42">
    <cfRule type="containsText" dxfId="51" priority="11" stopIfTrue="1" operator="containsText" text="超过">
      <formula>NOT(ISERROR(SEARCH("超过",F42)))</formula>
    </cfRule>
  </conditionalFormatting>
  <conditionalFormatting sqref="F41 H41 J41">
    <cfRule type="containsText" dxfId="50" priority="10" stopIfTrue="1" operator="containsText" text="超过">
      <formula>NOT(ISERROR(SEARCH("超过",F41)))</formula>
    </cfRule>
  </conditionalFormatting>
  <conditionalFormatting sqref="E40">
    <cfRule type="expression" dxfId="49" priority="9" stopIfTrue="1">
      <formula>$F$40="超过30%"</formula>
    </cfRule>
  </conditionalFormatting>
  <conditionalFormatting sqref="G42">
    <cfRule type="expression" dxfId="48" priority="8" stopIfTrue="1">
      <formula>$H$54+$H$42="超过30%"</formula>
    </cfRule>
  </conditionalFormatting>
  <conditionalFormatting sqref="E41">
    <cfRule type="expression" dxfId="47" priority="7" stopIfTrue="1">
      <formula>$F$41="超过20%"</formula>
    </cfRule>
  </conditionalFormatting>
  <conditionalFormatting sqref="E42">
    <cfRule type="expression" dxfId="46" priority="6" stopIfTrue="1">
      <formula>$F$42="超过30%"</formula>
    </cfRule>
  </conditionalFormatting>
  <conditionalFormatting sqref="G40">
    <cfRule type="expression" dxfId="45" priority="5" stopIfTrue="1">
      <formula>$H$52+$H$40="超过30%"</formula>
    </cfRule>
  </conditionalFormatting>
  <conditionalFormatting sqref="G41">
    <cfRule type="expression" dxfId="44" priority="4" stopIfTrue="1">
      <formula>$H$53+$H$41="超过20%"</formula>
    </cfRule>
  </conditionalFormatting>
  <conditionalFormatting sqref="I40">
    <cfRule type="expression" dxfId="43" priority="3" stopIfTrue="1">
      <formula>$J$40="超过30%"</formula>
    </cfRule>
  </conditionalFormatting>
  <conditionalFormatting sqref="I41">
    <cfRule type="expression" dxfId="42" priority="2" stopIfTrue="1">
      <formula>$J$41="超过20%"</formula>
    </cfRule>
  </conditionalFormatting>
  <conditionalFormatting sqref="I42">
    <cfRule type="expression" dxfId="41"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5" zoomScale="80" zoomScaleNormal="80" workbookViewId="0">
      <selection activeCell="N29" sqref="N2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2"/>
      <c r="E1" s="1302"/>
      <c r="F1" s="1301" t="s">
        <v>390</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346</v>
      </c>
      <c r="B2" s="1079">
        <f>F66</f>
        <v>20591</v>
      </c>
      <c r="C2" s="2343"/>
      <c r="D2" s="2343"/>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c r="AD2" s="740"/>
    </row>
    <row r="3" spans="1:30" s="741" customFormat="1" ht="28.5" customHeight="1" thickBot="1">
      <c r="A3" s="579" t="s">
        <v>347</v>
      </c>
      <c r="B3" s="951">
        <f>ROUND(IF(D3="",B2*10000/'数据-汇总表'!E3,B2*10000/D3),0)</f>
        <v>28806</v>
      </c>
      <c r="C3" s="579" t="s">
        <v>2891</v>
      </c>
      <c r="D3" s="3058">
        <f>'数据-取费表'!K6</f>
        <v>7148.0899999999992</v>
      </c>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30" ht="15">
      <c r="A4" s="744" t="s">
        <v>391</v>
      </c>
      <c r="B4" s="745"/>
      <c r="C4" s="3635" t="s">
        <v>392</v>
      </c>
      <c r="D4" s="3636"/>
      <c r="E4" s="3637" t="s">
        <v>393</v>
      </c>
      <c r="F4" s="3638"/>
      <c r="G4" s="3635" t="s">
        <v>394</v>
      </c>
      <c r="H4" s="3636"/>
      <c r="I4" s="3635" t="s">
        <v>395</v>
      </c>
      <c r="J4" s="3636"/>
      <c r="K4" s="952" t="s">
        <v>396</v>
      </c>
      <c r="L4" s="2349"/>
      <c r="M4" s="2350"/>
      <c r="N4" s="2350"/>
      <c r="O4" s="2350"/>
      <c r="P4" s="3639" t="s">
        <v>397</v>
      </c>
      <c r="Q4" s="3640"/>
      <c r="R4" s="3622" t="s">
        <v>393</v>
      </c>
      <c r="S4" s="3623"/>
      <c r="T4" s="3622" t="s">
        <v>394</v>
      </c>
      <c r="U4" s="3623"/>
      <c r="V4" s="3647" t="s">
        <v>395</v>
      </c>
      <c r="W4" s="3647"/>
      <c r="X4" s="1317"/>
      <c r="Y4" s="3622" t="s">
        <v>397</v>
      </c>
      <c r="Z4" s="3623"/>
      <c r="AA4" s="3617" t="s">
        <v>393</v>
      </c>
      <c r="AB4" s="3618" t="s">
        <v>394</v>
      </c>
      <c r="AC4" s="3617" t="s">
        <v>395</v>
      </c>
    </row>
    <row r="5" spans="1:30" ht="39.75" customHeight="1">
      <c r="A5" s="747"/>
      <c r="B5" s="748"/>
      <c r="C5" s="3566" t="s">
        <v>1129</v>
      </c>
      <c r="D5" s="3567"/>
      <c r="E5" s="3564" t="str">
        <f>Sheet2!$A$5</f>
        <v>海淀区“海淀北部地区整体开发”中关村环保科技园HD-0303-0071地块</v>
      </c>
      <c r="F5" s="3565"/>
      <c r="G5" s="3566" t="str">
        <f>Sheet2!$A$17</f>
        <v>丰台区花乡四合庄(中关村科技园丰台园东区三期)1516-28-B地块</v>
      </c>
      <c r="H5" s="3567"/>
      <c r="I5" s="3566" t="str">
        <f>Sheet2!$A$18</f>
        <v>丰台区花乡四合庄(中关村科技园丰台园东区三期)1516-28-A地块</v>
      </c>
      <c r="J5" s="3567"/>
      <c r="K5" s="952"/>
      <c r="L5" s="2349"/>
      <c r="M5" s="2350"/>
      <c r="N5" s="2350"/>
      <c r="O5" s="2350"/>
      <c r="P5" s="3641"/>
      <c r="Q5" s="3642"/>
      <c r="R5" s="3624"/>
      <c r="S5" s="3625"/>
      <c r="T5" s="3624"/>
      <c r="U5" s="3625"/>
      <c r="V5" s="3647"/>
      <c r="W5" s="3647"/>
      <c r="X5" s="1317"/>
      <c r="Y5" s="3624"/>
      <c r="Z5" s="3625"/>
      <c r="AA5" s="3618"/>
      <c r="AB5" s="3618"/>
      <c r="AC5" s="3618"/>
    </row>
    <row r="6" spans="1:30" ht="39" customHeight="1" thickBot="1">
      <c r="A6" s="749"/>
      <c r="B6" s="750"/>
      <c r="C6" s="3568" t="s">
        <v>1132</v>
      </c>
      <c r="D6" s="3569"/>
      <c r="E6" s="3570" t="s">
        <v>3187</v>
      </c>
      <c r="F6" s="3571"/>
      <c r="G6" s="3568" t="s">
        <v>3188</v>
      </c>
      <c r="H6" s="3569"/>
      <c r="I6" s="3568" t="s">
        <v>3189</v>
      </c>
      <c r="J6" s="3569"/>
      <c r="K6" s="952" t="s">
        <v>398</v>
      </c>
      <c r="L6" s="2349"/>
      <c r="M6" s="2350"/>
      <c r="N6" s="2350"/>
      <c r="O6" s="2350"/>
      <c r="P6" s="3643"/>
      <c r="Q6" s="3644"/>
      <c r="R6" s="3624"/>
      <c r="S6" s="3625"/>
      <c r="T6" s="3645"/>
      <c r="U6" s="3646"/>
      <c r="V6" s="3647"/>
      <c r="W6" s="3647"/>
      <c r="X6" s="1317"/>
      <c r="Y6" s="3645"/>
      <c r="Z6" s="3646"/>
      <c r="AA6" s="3619"/>
      <c r="AB6" s="3619"/>
      <c r="AC6" s="3619"/>
    </row>
    <row r="7" spans="1:30" s="407" customFormat="1" ht="15.75" thickBot="1">
      <c r="A7" s="751" t="s">
        <v>399</v>
      </c>
      <c r="B7" s="752"/>
      <c r="C7" s="753">
        <f>'数据-取费表'!B2</f>
        <v>42928</v>
      </c>
      <c r="D7" s="754">
        <v>100</v>
      </c>
      <c r="E7" s="1016" t="str">
        <f>Sheet2!$K$5</f>
        <v>2016-06-02</v>
      </c>
      <c r="F7" s="756">
        <f>SUMIF(70:70,YEAR(E7)&amp;"-"&amp;INT((MONTH(E7)+2)/3),71:71)</f>
        <v>97.5</v>
      </c>
      <c r="G7" s="1017" t="str">
        <f>Sheet2!$K$17</f>
        <v>2015-10-21</v>
      </c>
      <c r="H7" s="754">
        <f>SUMIF(70:70,YEAR(G7)&amp;"-"&amp;INT((MONTH(G7)+2)/3),71:71)</f>
        <v>96.5</v>
      </c>
      <c r="I7" s="1017" t="str">
        <f>Sheet2!$K$18</f>
        <v>2015-10-21</v>
      </c>
      <c r="J7" s="754">
        <f>SUMIF(70:70,YEAR(I7)&amp;"-"&amp;INT((MONTH(I7)+2)/3),71:71)</f>
        <v>96.5</v>
      </c>
      <c r="K7" s="953"/>
      <c r="L7" s="2351"/>
      <c r="M7" s="2352"/>
      <c r="N7" s="2352"/>
      <c r="O7" s="2352"/>
      <c r="P7" s="3620" t="s">
        <v>400</v>
      </c>
      <c r="Q7" s="3648"/>
      <c r="R7" s="1318" t="s">
        <v>65</v>
      </c>
      <c r="S7" s="1319">
        <f t="shared" ref="S7:S15" si="0">F7</f>
        <v>97.5</v>
      </c>
      <c r="T7" s="1318" t="s">
        <v>65</v>
      </c>
      <c r="U7" s="1319">
        <f t="shared" ref="U7:U15" si="1">H7</f>
        <v>96.5</v>
      </c>
      <c r="V7" s="1318" t="s">
        <v>65</v>
      </c>
      <c r="W7" s="1319">
        <f t="shared" ref="W7:W15" si="2">J7</f>
        <v>96.5</v>
      </c>
      <c r="X7" s="1320"/>
      <c r="Y7" s="3620" t="s">
        <v>400</v>
      </c>
      <c r="Z7" s="3621"/>
      <c r="AA7" s="1321">
        <f>D7/F7</f>
        <v>1.0256410256410255</v>
      </c>
      <c r="AB7" s="1321">
        <f>D7/H7</f>
        <v>1.0362694300518134</v>
      </c>
      <c r="AC7" s="1321">
        <f>D7/J7</f>
        <v>1.0362694300518134</v>
      </c>
    </row>
    <row r="8" spans="1:30" s="407" customFormat="1" ht="15.75" thickBot="1">
      <c r="A8" s="751" t="s">
        <v>401</v>
      </c>
      <c r="B8" s="752"/>
      <c r="C8" s="1019" t="s">
        <v>155</v>
      </c>
      <c r="D8" s="754">
        <v>100</v>
      </c>
      <c r="E8" s="1019" t="s">
        <v>155</v>
      </c>
      <c r="F8" s="756">
        <f>SUMIF(73:73,E8,74:74)-SUMIF(73:73,C8,74:74)+100</f>
        <v>100</v>
      </c>
      <c r="G8" s="1019" t="s">
        <v>155</v>
      </c>
      <c r="H8" s="754">
        <f>SUMIF(73:73,G8,74:74)-SUMIF(73:73,C8,74:74)+100</f>
        <v>100</v>
      </c>
      <c r="I8" s="1019" t="s">
        <v>155</v>
      </c>
      <c r="J8" s="754">
        <f>SUMIF(73:73,I8,74:74)-SUMIF(73:73,C8,74:74)+100</f>
        <v>100</v>
      </c>
      <c r="K8" s="953"/>
      <c r="L8" s="2351"/>
      <c r="M8" s="2352"/>
      <c r="N8" s="2352"/>
      <c r="O8" s="2352"/>
      <c r="P8" s="3620" t="s">
        <v>436</v>
      </c>
      <c r="Q8" s="3621"/>
      <c r="R8" s="1318" t="s">
        <v>65</v>
      </c>
      <c r="S8" s="1319">
        <f t="shared" si="0"/>
        <v>100</v>
      </c>
      <c r="T8" s="1318" t="s">
        <v>65</v>
      </c>
      <c r="U8" s="1319">
        <f t="shared" si="1"/>
        <v>100</v>
      </c>
      <c r="V8" s="1318" t="s">
        <v>65</v>
      </c>
      <c r="W8" s="1319">
        <f t="shared" si="2"/>
        <v>100</v>
      </c>
      <c r="X8" s="1320"/>
      <c r="Y8" s="3620" t="s">
        <v>436</v>
      </c>
      <c r="Z8" s="3621"/>
      <c r="AA8" s="1321">
        <f t="shared" ref="AA8:AA45" si="3">D8/F8</f>
        <v>1</v>
      </c>
      <c r="AB8" s="1321">
        <f t="shared" ref="AB8:AB45" si="4">D8/H8</f>
        <v>1</v>
      </c>
      <c r="AC8" s="1321">
        <f t="shared" ref="AC8:AC45" si="5">D8/J8</f>
        <v>1</v>
      </c>
    </row>
    <row r="9" spans="1:30" s="407" customFormat="1">
      <c r="A9" s="758" t="s">
        <v>402</v>
      </c>
      <c r="B9" s="361" t="s">
        <v>420</v>
      </c>
      <c r="C9" s="1021" t="s">
        <v>3056</v>
      </c>
      <c r="D9" s="425">
        <v>100</v>
      </c>
      <c r="E9" s="1021" t="s">
        <v>3067</v>
      </c>
      <c r="F9" s="425">
        <f>SUMIF(75:75,E9,76:76)-SUMIF(75:75,C9,76:76)+100</f>
        <v>95</v>
      </c>
      <c r="G9" s="1021" t="s">
        <v>3067</v>
      </c>
      <c r="H9" s="425">
        <f>SUMIF(75:75,G9,76:76)-SUMIF(75:75,C9,76:76)+100</f>
        <v>95</v>
      </c>
      <c r="I9" s="1021" t="s">
        <v>3067</v>
      </c>
      <c r="J9" s="425">
        <f>SUMIF(75:75,I9,76:76)-SUMIF(75:75,C9,76:76)+100</f>
        <v>95</v>
      </c>
      <c r="K9" s="953"/>
      <c r="L9" s="2351"/>
      <c r="M9" s="2352"/>
      <c r="N9" s="2352"/>
      <c r="O9" s="2353"/>
      <c r="P9" s="3634" t="s">
        <v>403</v>
      </c>
      <c r="Q9" s="296" t="str">
        <f t="shared" ref="Q9:Q15" si="6">B9</f>
        <v>用途</v>
      </c>
      <c r="R9" s="1318" t="s">
        <v>65</v>
      </c>
      <c r="S9" s="1319">
        <f t="shared" si="0"/>
        <v>95</v>
      </c>
      <c r="T9" s="1318" t="s">
        <v>65</v>
      </c>
      <c r="U9" s="1319">
        <f t="shared" si="1"/>
        <v>95</v>
      </c>
      <c r="V9" s="1318" t="s">
        <v>65</v>
      </c>
      <c r="W9" s="1319">
        <f t="shared" si="2"/>
        <v>95</v>
      </c>
      <c r="X9" s="1320"/>
      <c r="Y9" s="3505" t="s">
        <v>404</v>
      </c>
      <c r="Z9" s="344" t="str">
        <f t="shared" ref="Z9:Z15" si="7">Q9</f>
        <v>用途</v>
      </c>
      <c r="AA9" s="1321">
        <f t="shared" si="3"/>
        <v>1.0526315789473684</v>
      </c>
      <c r="AB9" s="1321">
        <f t="shared" si="4"/>
        <v>1.0526315789473684</v>
      </c>
      <c r="AC9" s="1321">
        <f t="shared" si="5"/>
        <v>1.0526315789473684</v>
      </c>
    </row>
    <row r="10" spans="1:30" s="770" customFormat="1" ht="28.5">
      <c r="A10" s="764"/>
      <c r="B10" s="765" t="s">
        <v>405</v>
      </c>
      <c r="C10" s="775">
        <f>项目基本情况!E15</f>
        <v>30.09</v>
      </c>
      <c r="D10" s="426">
        <v>100</v>
      </c>
      <c r="E10" s="807" t="s">
        <v>3186</v>
      </c>
      <c r="F10" s="426">
        <f>ROUND(100/'数据-取费表'!G16,0)</f>
        <v>110</v>
      </c>
      <c r="G10" s="807" t="s">
        <v>3186</v>
      </c>
      <c r="H10" s="426">
        <f>ROUND(100/'数据-取费表'!G16,0)</f>
        <v>110</v>
      </c>
      <c r="I10" s="807" t="s">
        <v>3186</v>
      </c>
      <c r="J10" s="426">
        <f>ROUND(100/'数据-取费表'!G16,0)</f>
        <v>110</v>
      </c>
      <c r="K10" s="1080"/>
      <c r="L10" s="2354"/>
      <c r="M10" s="2355"/>
      <c r="N10" s="2355"/>
      <c r="O10" s="2356"/>
      <c r="P10" s="3634"/>
      <c r="Q10" s="296" t="str">
        <f t="shared" si="6"/>
        <v>土地使用年限（年）</v>
      </c>
      <c r="R10" s="1318" t="s">
        <v>65</v>
      </c>
      <c r="S10" s="1319">
        <f t="shared" si="0"/>
        <v>110</v>
      </c>
      <c r="T10" s="1318" t="s">
        <v>65</v>
      </c>
      <c r="U10" s="1319">
        <f t="shared" si="1"/>
        <v>110</v>
      </c>
      <c r="V10" s="1318" t="s">
        <v>65</v>
      </c>
      <c r="W10" s="1319">
        <f t="shared" si="2"/>
        <v>110</v>
      </c>
      <c r="X10" s="1320"/>
      <c r="Y10" s="3505"/>
      <c r="Z10" s="344" t="str">
        <f t="shared" si="7"/>
        <v>土地使用年限（年）</v>
      </c>
      <c r="AA10" s="1321">
        <f t="shared" si="3"/>
        <v>0.90909090909090906</v>
      </c>
      <c r="AB10" s="1321">
        <f t="shared" si="4"/>
        <v>0.90909090909090906</v>
      </c>
      <c r="AC10" s="1321">
        <f t="shared" si="5"/>
        <v>0.90909090909090906</v>
      </c>
    </row>
    <row r="11" spans="1:30" ht="15">
      <c r="A11" s="771"/>
      <c r="B11" s="765" t="s">
        <v>406</v>
      </c>
      <c r="C11" s="772">
        <f>'数据-汇总表'!I6</f>
        <v>3.71</v>
      </c>
      <c r="D11" s="426">
        <v>100</v>
      </c>
      <c r="E11" s="772">
        <f>Sheet2!$G$5</f>
        <v>3.5</v>
      </c>
      <c r="F11" s="426">
        <f>LOOKUP(E11,80:80,81:81)-LOOKUP(C11,80:80,81:81)+100</f>
        <v>100</v>
      </c>
      <c r="G11" s="773">
        <f>Sheet2!$G$17</f>
        <v>4</v>
      </c>
      <c r="H11" s="426">
        <f>LOOKUP(G11,80:80,81:81)-LOOKUP(C11,80:80,81:81)+100</f>
        <v>100</v>
      </c>
      <c r="I11" s="772">
        <f>Sheet2!$G$18</f>
        <v>4</v>
      </c>
      <c r="J11" s="426">
        <f>LOOKUP(I11,80:80,81:81)-LOOKUP(C11,80:80,81:81)+100</f>
        <v>100</v>
      </c>
      <c r="K11" s="1081"/>
      <c r="L11" s="2357"/>
      <c r="M11" s="2350"/>
      <c r="N11" s="2350"/>
      <c r="O11" s="2358"/>
      <c r="P11" s="3634"/>
      <c r="Q11" s="296" t="str">
        <f t="shared" si="6"/>
        <v>容积率</v>
      </c>
      <c r="R11" s="1318" t="s">
        <v>65</v>
      </c>
      <c r="S11" s="1319">
        <f t="shared" si="0"/>
        <v>100</v>
      </c>
      <c r="T11" s="1318" t="s">
        <v>65</v>
      </c>
      <c r="U11" s="1319">
        <f t="shared" si="1"/>
        <v>100</v>
      </c>
      <c r="V11" s="1318" t="s">
        <v>65</v>
      </c>
      <c r="W11" s="1319">
        <f t="shared" si="2"/>
        <v>100</v>
      </c>
      <c r="X11" s="1320"/>
      <c r="Y11" s="3505"/>
      <c r="Z11" s="344" t="str">
        <f t="shared" si="7"/>
        <v>容积率</v>
      </c>
      <c r="AA11" s="1321">
        <f t="shared" si="3"/>
        <v>1</v>
      </c>
      <c r="AB11" s="1321">
        <f t="shared" si="4"/>
        <v>1</v>
      </c>
      <c r="AC11" s="1321">
        <f t="shared" si="5"/>
        <v>1</v>
      </c>
    </row>
    <row r="12" spans="1:30" s="407" customFormat="1" ht="15">
      <c r="A12" s="774"/>
      <c r="B12" s="1030" t="s">
        <v>160</v>
      </c>
      <c r="C12" s="1023"/>
      <c r="D12" s="776">
        <v>100</v>
      </c>
      <c r="E12" s="1025"/>
      <c r="F12" s="426">
        <f>SUMIF(82:82,E12,83:83)-SUMIF(82:82,C12,83:83)+100</f>
        <v>100</v>
      </c>
      <c r="G12" s="1026"/>
      <c r="H12" s="426">
        <f>SUMIF(82:82,G12,83:83)-SUMIF(82:82,C12,83:83)+100</f>
        <v>100</v>
      </c>
      <c r="I12" s="1025"/>
      <c r="J12" s="426">
        <f>SUMIF(82:82,I12,83:83)-SUMIF(82:82,C12,83:83)+100</f>
        <v>100</v>
      </c>
      <c r="K12" s="1080"/>
      <c r="L12" s="2351"/>
      <c r="M12" s="2352"/>
      <c r="N12" s="2352"/>
      <c r="O12" s="2353"/>
      <c r="P12" s="3634"/>
      <c r="Q12" s="296" t="str">
        <f t="shared" si="6"/>
        <v>配建</v>
      </c>
      <c r="R12" s="1318" t="s">
        <v>65</v>
      </c>
      <c r="S12" s="1319">
        <f t="shared" si="0"/>
        <v>100</v>
      </c>
      <c r="T12" s="1318" t="s">
        <v>65</v>
      </c>
      <c r="U12" s="1319">
        <f t="shared" si="1"/>
        <v>100</v>
      </c>
      <c r="V12" s="1318" t="s">
        <v>65</v>
      </c>
      <c r="W12" s="1319">
        <f t="shared" si="2"/>
        <v>100</v>
      </c>
      <c r="X12" s="1320"/>
      <c r="Y12" s="3505"/>
      <c r="Z12" s="344" t="str">
        <f t="shared" si="7"/>
        <v>配建</v>
      </c>
      <c r="AA12" s="1321">
        <f>D12/F12</f>
        <v>1</v>
      </c>
      <c r="AB12" s="1321">
        <f>D12/H12</f>
        <v>1</v>
      </c>
      <c r="AC12" s="1321">
        <f>D12/J12</f>
        <v>1</v>
      </c>
    </row>
    <row r="13" spans="1:30" ht="15">
      <c r="A13" s="771"/>
      <c r="B13" s="1030"/>
      <c r="C13" s="93"/>
      <c r="D13" s="778">
        <v>100</v>
      </c>
      <c r="E13" s="126"/>
      <c r="F13" s="426">
        <f>SUMIF(84:84,E13,85:85)-SUMIF(84:84,C13,85:85)+100</f>
        <v>100</v>
      </c>
      <c r="G13" s="203"/>
      <c r="H13" s="778">
        <f>SUMIF(84:84,G13,85:85)-SUMIF(84:84,C13,85:85)+100</f>
        <v>100</v>
      </c>
      <c r="I13" s="203"/>
      <c r="J13" s="778">
        <f>SUMIF(84:84,I13,85:85)-SUMIF(84:84,C13,85:85)+100</f>
        <v>100</v>
      </c>
      <c r="K13" s="1080"/>
      <c r="L13" s="2359"/>
      <c r="M13" s="2350"/>
      <c r="N13" s="2350"/>
      <c r="O13" s="2358"/>
      <c r="P13" s="3634"/>
      <c r="Q13" s="296">
        <f t="shared" si="6"/>
        <v>0</v>
      </c>
      <c r="R13" s="1318" t="s">
        <v>65</v>
      </c>
      <c r="S13" s="1319">
        <f t="shared" si="0"/>
        <v>100</v>
      </c>
      <c r="T13" s="1318" t="s">
        <v>65</v>
      </c>
      <c r="U13" s="1319">
        <f t="shared" si="1"/>
        <v>100</v>
      </c>
      <c r="V13" s="1318" t="s">
        <v>65</v>
      </c>
      <c r="W13" s="1319">
        <f t="shared" si="2"/>
        <v>100</v>
      </c>
      <c r="X13" s="1320"/>
      <c r="Y13" s="3505"/>
      <c r="Z13" s="344">
        <f t="shared" si="7"/>
        <v>0</v>
      </c>
      <c r="AA13" s="1321">
        <f>D13/F13</f>
        <v>1</v>
      </c>
      <c r="AB13" s="1321">
        <f>D13/H13</f>
        <v>1</v>
      </c>
      <c r="AC13" s="1321">
        <f>D13/J13</f>
        <v>1</v>
      </c>
    </row>
    <row r="14" spans="1:30" ht="15.75" thickBot="1">
      <c r="A14" s="779"/>
      <c r="B14" s="1031"/>
      <c r="C14" s="94"/>
      <c r="D14" s="781">
        <v>100</v>
      </c>
      <c r="E14" s="126"/>
      <c r="F14" s="781">
        <f>SUMIF(86:86,E14,87:87)-SUMIF(86:86,C14,87:87)+100</f>
        <v>100</v>
      </c>
      <c r="G14" s="203"/>
      <c r="H14" s="781">
        <f>SUMIF(86:86,G14,87:87)-SUMIF(86:86,C14,87:87)+100</f>
        <v>100</v>
      </c>
      <c r="I14" s="203"/>
      <c r="J14" s="781">
        <f>SUMIF(86:86,I14,87:87)-SUMIF(86:86,C14,87:87)+100</f>
        <v>100</v>
      </c>
      <c r="K14" s="1080"/>
      <c r="L14" s="2359"/>
      <c r="M14" s="2350"/>
      <c r="N14" s="2350"/>
      <c r="O14" s="2358"/>
      <c r="P14" s="3634"/>
      <c r="Q14" s="296">
        <f t="shared" si="6"/>
        <v>0</v>
      </c>
      <c r="R14" s="1318" t="s">
        <v>65</v>
      </c>
      <c r="S14" s="1319">
        <f t="shared" si="0"/>
        <v>100</v>
      </c>
      <c r="T14" s="1318" t="s">
        <v>65</v>
      </c>
      <c r="U14" s="1319">
        <f t="shared" si="1"/>
        <v>100</v>
      </c>
      <c r="V14" s="1318" t="s">
        <v>65</v>
      </c>
      <c r="W14" s="1319">
        <f t="shared" si="2"/>
        <v>100</v>
      </c>
      <c r="X14" s="1320"/>
      <c r="Y14" s="3505"/>
      <c r="Z14" s="344">
        <f t="shared" si="7"/>
        <v>0</v>
      </c>
      <c r="AA14" s="1321">
        <f>D14/F14</f>
        <v>1</v>
      </c>
      <c r="AB14" s="1321">
        <f>D14/H14</f>
        <v>1</v>
      </c>
      <c r="AC14" s="1321">
        <f>D14/J14</f>
        <v>1</v>
      </c>
    </row>
    <row r="15" spans="1:30" ht="15">
      <c r="A15" s="783" t="s">
        <v>407</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1"/>
      <c r="L15" s="2359"/>
      <c r="M15" s="2350"/>
      <c r="N15" s="2350"/>
      <c r="O15" s="2358"/>
      <c r="P15" s="3649" t="s">
        <v>408</v>
      </c>
      <c r="Q15" s="1322" t="str">
        <f t="shared" si="6"/>
        <v>居住社区成熟度</v>
      </c>
      <c r="R15" s="1323" t="s">
        <v>65</v>
      </c>
      <c r="S15" s="1324">
        <f t="shared" si="0"/>
        <v>100</v>
      </c>
      <c r="T15" s="1323" t="s">
        <v>65</v>
      </c>
      <c r="U15" s="1324">
        <f t="shared" si="1"/>
        <v>100</v>
      </c>
      <c r="V15" s="1323" t="s">
        <v>65</v>
      </c>
      <c r="W15" s="1324">
        <f t="shared" si="2"/>
        <v>100</v>
      </c>
      <c r="X15" s="1317"/>
      <c r="Y15" s="3649" t="s">
        <v>408</v>
      </c>
      <c r="Z15" s="1325" t="str">
        <f t="shared" si="7"/>
        <v>居住社区成熟度</v>
      </c>
      <c r="AA15" s="1326">
        <f t="shared" si="3"/>
        <v>1</v>
      </c>
      <c r="AB15" s="1326">
        <f t="shared" si="4"/>
        <v>1</v>
      </c>
      <c r="AC15" s="1326">
        <f t="shared" si="5"/>
        <v>1</v>
      </c>
    </row>
    <row r="16" spans="1:30" ht="15">
      <c r="A16" s="771"/>
      <c r="B16" s="789"/>
      <c r="C16" s="97"/>
      <c r="D16" s="791"/>
      <c r="E16" s="98"/>
      <c r="F16" s="791"/>
      <c r="G16" s="98"/>
      <c r="H16" s="793"/>
      <c r="I16" s="99"/>
      <c r="J16" s="791"/>
      <c r="K16" s="1080"/>
      <c r="L16" s="2359"/>
      <c r="M16" s="2350"/>
      <c r="N16" s="2350"/>
      <c r="O16" s="2358"/>
      <c r="P16" s="3650"/>
      <c r="Q16" s="1322"/>
      <c r="R16" s="1323"/>
      <c r="S16" s="1324"/>
      <c r="T16" s="1323"/>
      <c r="U16" s="1324"/>
      <c r="V16" s="1323"/>
      <c r="W16" s="1324"/>
      <c r="X16" s="1317"/>
      <c r="Y16" s="3650"/>
      <c r="Z16" s="1325"/>
      <c r="AA16" s="1326">
        <v>1</v>
      </c>
      <c r="AB16" s="1326">
        <v>1</v>
      </c>
      <c r="AC16" s="1326">
        <v>1</v>
      </c>
    </row>
    <row r="17" spans="1:29" ht="121.5" customHeight="1">
      <c r="A17" s="771"/>
      <c r="B17" s="794" t="s">
        <v>437</v>
      </c>
      <c r="C17" s="190" t="str">
        <f>估价对象房地状况!C16</f>
        <v>估价对象周边商业用地一般，周边有上品折扣、世纪联华超市等，商业规模一般，综合评价商业繁华度一般</v>
      </c>
      <c r="D17" s="793">
        <v>100</v>
      </c>
      <c r="E17" s="3333" t="s">
        <v>3190</v>
      </c>
      <c r="F17" s="793">
        <f>SUMIF(90:90,E18,91:91)-SUMIF(90:90,C18,91:91)+100</f>
        <v>97</v>
      </c>
      <c r="G17" s="3333" t="s">
        <v>3203</v>
      </c>
      <c r="H17" s="798">
        <f>SUMIF(90:90,G18,91:91)-SUMIF(90:90,C18,91:91)+100</f>
        <v>103</v>
      </c>
      <c r="I17" s="3333" t="s">
        <v>3203</v>
      </c>
      <c r="J17" s="798">
        <f>SUMIF(90:90,I18,91:91)-SUMIF(90:90,C18,91:91)+100</f>
        <v>103</v>
      </c>
      <c r="K17" s="1081">
        <v>3</v>
      </c>
      <c r="L17" s="2359"/>
      <c r="M17" s="2350"/>
      <c r="N17" s="2350"/>
      <c r="O17" s="2358"/>
      <c r="P17" s="3650"/>
      <c r="Q17" s="1322" t="str">
        <f>B17</f>
        <v>商业繁华度</v>
      </c>
      <c r="R17" s="1323" t="s">
        <v>65</v>
      </c>
      <c r="S17" s="1324">
        <f>F17</f>
        <v>97</v>
      </c>
      <c r="T17" s="1323" t="s">
        <v>65</v>
      </c>
      <c r="U17" s="1324">
        <f>H17</f>
        <v>103</v>
      </c>
      <c r="V17" s="1323" t="s">
        <v>65</v>
      </c>
      <c r="W17" s="1324">
        <f>J17</f>
        <v>103</v>
      </c>
      <c r="X17" s="1317"/>
      <c r="Y17" s="3650"/>
      <c r="Z17" s="1325" t="str">
        <f>Q17</f>
        <v>商业繁华度</v>
      </c>
      <c r="AA17" s="1326">
        <f t="shared" si="3"/>
        <v>1.0309278350515463</v>
      </c>
      <c r="AB17" s="1326">
        <f t="shared" si="4"/>
        <v>0.970873786407767</v>
      </c>
      <c r="AC17" s="1326">
        <f t="shared" si="5"/>
        <v>0.970873786407767</v>
      </c>
    </row>
    <row r="18" spans="1:29" ht="15">
      <c r="A18" s="771"/>
      <c r="B18" s="799"/>
      <c r="C18" s="102" t="s">
        <v>3064</v>
      </c>
      <c r="D18" s="793"/>
      <c r="E18" s="103" t="s">
        <v>3191</v>
      </c>
      <c r="F18" s="793"/>
      <c r="G18" s="103" t="s">
        <v>3065</v>
      </c>
      <c r="H18" s="791"/>
      <c r="I18" s="103" t="s">
        <v>3065</v>
      </c>
      <c r="J18" s="791"/>
      <c r="K18" s="1080"/>
      <c r="L18" s="2359"/>
      <c r="M18" s="2350"/>
      <c r="N18" s="2350"/>
      <c r="O18" s="2358"/>
      <c r="P18" s="3650"/>
      <c r="Q18" s="1322"/>
      <c r="R18" s="1323"/>
      <c r="S18" s="1324"/>
      <c r="T18" s="1323"/>
      <c r="U18" s="1324"/>
      <c r="V18" s="1323"/>
      <c r="W18" s="1324"/>
      <c r="X18" s="1317"/>
      <c r="Y18" s="3650"/>
      <c r="Z18" s="1325"/>
      <c r="AA18" s="1326">
        <v>1</v>
      </c>
      <c r="AB18" s="1326">
        <v>1</v>
      </c>
      <c r="AC18" s="1326">
        <v>1</v>
      </c>
    </row>
    <row r="19" spans="1:29" ht="15">
      <c r="A19" s="771"/>
      <c r="B19" s="794" t="s">
        <v>442</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1"/>
      <c r="L19" s="2359"/>
      <c r="M19" s="2350"/>
      <c r="N19" s="2350"/>
      <c r="O19" s="2358"/>
      <c r="P19" s="3650"/>
      <c r="Q19" s="1322" t="str">
        <f>B19</f>
        <v>办公集聚程度</v>
      </c>
      <c r="R19" s="1323" t="s">
        <v>65</v>
      </c>
      <c r="S19" s="1324">
        <f>F19</f>
        <v>100</v>
      </c>
      <c r="T19" s="1323" t="s">
        <v>65</v>
      </c>
      <c r="U19" s="1324">
        <f>H19</f>
        <v>100</v>
      </c>
      <c r="V19" s="1323" t="s">
        <v>65</v>
      </c>
      <c r="W19" s="1324">
        <f>J19</f>
        <v>100</v>
      </c>
      <c r="X19" s="1317"/>
      <c r="Y19" s="3650"/>
      <c r="Z19" s="1325" t="str">
        <f>Q19</f>
        <v>办公集聚程度</v>
      </c>
      <c r="AA19" s="1326">
        <f t="shared" si="3"/>
        <v>1</v>
      </c>
      <c r="AB19" s="1326">
        <f t="shared" si="4"/>
        <v>1</v>
      </c>
      <c r="AC19" s="1326">
        <f t="shared" si="5"/>
        <v>1</v>
      </c>
    </row>
    <row r="20" spans="1:29" ht="15">
      <c r="A20" s="771"/>
      <c r="B20" s="799"/>
      <c r="C20" s="97"/>
      <c r="D20" s="791"/>
      <c r="E20" s="98"/>
      <c r="F20" s="791"/>
      <c r="G20" s="98"/>
      <c r="H20" s="791"/>
      <c r="I20" s="99"/>
      <c r="J20" s="791"/>
      <c r="K20" s="1080"/>
      <c r="L20" s="2359"/>
      <c r="M20" s="2350"/>
      <c r="N20" s="2350"/>
      <c r="O20" s="2358"/>
      <c r="P20" s="3650"/>
      <c r="Q20" s="1322"/>
      <c r="R20" s="1323"/>
      <c r="S20" s="1324"/>
      <c r="T20" s="1323"/>
      <c r="U20" s="1324"/>
      <c r="V20" s="1323"/>
      <c r="W20" s="1324"/>
      <c r="X20" s="1317"/>
      <c r="Y20" s="3650"/>
      <c r="Z20" s="1325"/>
      <c r="AA20" s="1326">
        <v>1</v>
      </c>
      <c r="AB20" s="1326">
        <v>1</v>
      </c>
      <c r="AC20" s="1326">
        <v>1</v>
      </c>
    </row>
    <row r="21" spans="1:29" ht="141" customHeight="1">
      <c r="A21" s="771"/>
      <c r="B21" s="794" t="s">
        <v>457</v>
      </c>
      <c r="C21" s="158" t="str">
        <f>估价对象房地状况!C18</f>
        <v>估价对象周边有308、335等公交线路及地铁1号线，公共交通通达情况较好；项目自身有停车位、停车便捷程度较好，综合评价交通便捷度较好</v>
      </c>
      <c r="D21" s="793">
        <v>100</v>
      </c>
      <c r="E21" s="795" t="s">
        <v>3192</v>
      </c>
      <c r="F21" s="798">
        <f>SUMIF(94:94,E22,95:95)-SUMIF(94:94,C22,95:95)+100</f>
        <v>97.5</v>
      </c>
      <c r="G21" s="795" t="s">
        <v>3204</v>
      </c>
      <c r="H21" s="793">
        <f>SUMIF(94:94,G22,95:95)-SUMIF(94:94,C22,95:95)+100</f>
        <v>100</v>
      </c>
      <c r="I21" s="795" t="s">
        <v>3204</v>
      </c>
      <c r="J21" s="793">
        <f>SUMIF(94:94,I22,95:95)-SUMIF(94:94,C22,95:95)+100</f>
        <v>100</v>
      </c>
      <c r="K21" s="1081">
        <v>2.5</v>
      </c>
      <c r="L21" s="2359"/>
      <c r="M21" s="2350"/>
      <c r="N21" s="2350"/>
      <c r="O21" s="2358"/>
      <c r="P21" s="3650"/>
      <c r="Q21" s="1322" t="str">
        <f>B21</f>
        <v>交通便捷度</v>
      </c>
      <c r="R21" s="1323" t="s">
        <v>65</v>
      </c>
      <c r="S21" s="1324">
        <f>F21</f>
        <v>97.5</v>
      </c>
      <c r="T21" s="1323" t="s">
        <v>65</v>
      </c>
      <c r="U21" s="1324">
        <f>H21</f>
        <v>100</v>
      </c>
      <c r="V21" s="1323" t="s">
        <v>65</v>
      </c>
      <c r="W21" s="1324">
        <f>J21</f>
        <v>100</v>
      </c>
      <c r="X21" s="1317"/>
      <c r="Y21" s="3650"/>
      <c r="Z21" s="1325" t="str">
        <f>Q21</f>
        <v>交通便捷度</v>
      </c>
      <c r="AA21" s="1326">
        <f t="shared" si="3"/>
        <v>1.0256410256410255</v>
      </c>
      <c r="AB21" s="1326">
        <f t="shared" si="4"/>
        <v>1</v>
      </c>
      <c r="AC21" s="1326">
        <f t="shared" si="5"/>
        <v>1</v>
      </c>
    </row>
    <row r="22" spans="1:29" ht="15">
      <c r="A22" s="771"/>
      <c r="B22" s="2770"/>
      <c r="C22" s="97" t="s">
        <v>3065</v>
      </c>
      <c r="D22" s="793"/>
      <c r="E22" s="98" t="s">
        <v>3064</v>
      </c>
      <c r="F22" s="791"/>
      <c r="G22" s="98" t="s">
        <v>3065</v>
      </c>
      <c r="H22" s="791"/>
      <c r="I22" s="98" t="s">
        <v>3065</v>
      </c>
      <c r="J22" s="791"/>
      <c r="K22" s="1080"/>
      <c r="L22" s="2359"/>
      <c r="M22" s="2350"/>
      <c r="N22" s="2350"/>
      <c r="O22" s="2358"/>
      <c r="P22" s="3650"/>
      <c r="Q22" s="1322"/>
      <c r="R22" s="1323"/>
      <c r="S22" s="1324"/>
      <c r="T22" s="1323"/>
      <c r="U22" s="1324"/>
      <c r="V22" s="1323"/>
      <c r="W22" s="1324"/>
      <c r="X22" s="1317"/>
      <c r="Y22" s="3650"/>
      <c r="Z22" s="1325"/>
      <c r="AA22" s="1326">
        <v>1</v>
      </c>
      <c r="AB22" s="1326">
        <v>1</v>
      </c>
      <c r="AC22" s="1326">
        <v>1</v>
      </c>
    </row>
    <row r="23" spans="1:29" ht="27">
      <c r="A23" s="747"/>
      <c r="B23" s="794" t="s">
        <v>484</v>
      </c>
      <c r="C23" s="2775">
        <f>估价对象房地状况!C19</f>
        <v>0</v>
      </c>
      <c r="D23" s="798">
        <v>100</v>
      </c>
      <c r="E23" s="795"/>
      <c r="F23" s="798">
        <f>SUMIF(96:96,E24,97:97)-SUMIF(96:96,C24,97:97)+100</f>
        <v>100</v>
      </c>
      <c r="G23" s="797"/>
      <c r="H23" s="798">
        <f>SUMIF(96:96,G24,97:97)-SUMIF(96:96,C24,97:97)+100</f>
        <v>100</v>
      </c>
      <c r="I23" s="797"/>
      <c r="J23" s="798">
        <f>SUMIF(96:96,I24,97:97)-SUMIF(96:96,C24,97:97)+100</f>
        <v>100</v>
      </c>
      <c r="K23" s="1081"/>
      <c r="L23" s="2359"/>
      <c r="M23" s="2350"/>
      <c r="N23" s="2350"/>
      <c r="O23" s="2358"/>
      <c r="P23" s="3650"/>
      <c r="Q23" s="1322" t="str">
        <f t="shared" ref="Q23:Q37" si="8">B23</f>
        <v>区域土地利用方向</v>
      </c>
      <c r="R23" s="1323" t="s">
        <v>65</v>
      </c>
      <c r="S23" s="1324">
        <f>F23</f>
        <v>100</v>
      </c>
      <c r="T23" s="1323" t="s">
        <v>65</v>
      </c>
      <c r="U23" s="1324">
        <f>H23</f>
        <v>100</v>
      </c>
      <c r="V23" s="1323" t="s">
        <v>65</v>
      </c>
      <c r="W23" s="1324">
        <f>J23</f>
        <v>100</v>
      </c>
      <c r="X23" s="1317"/>
      <c r="Y23" s="3650"/>
      <c r="Z23" s="1325" t="str">
        <f>Q23</f>
        <v>区域土地利用方向</v>
      </c>
      <c r="AA23" s="1326">
        <f t="shared" si="3"/>
        <v>1</v>
      </c>
      <c r="AB23" s="1326">
        <f t="shared" si="4"/>
        <v>1</v>
      </c>
      <c r="AC23" s="1326">
        <f t="shared" si="5"/>
        <v>1</v>
      </c>
    </row>
    <row r="24" spans="1:29" ht="15">
      <c r="A24" s="747"/>
      <c r="B24" s="799"/>
      <c r="C24" s="182"/>
      <c r="D24" s="791"/>
      <c r="E24" s="98"/>
      <c r="F24" s="791"/>
      <c r="G24" s="99"/>
      <c r="H24" s="791"/>
      <c r="I24" s="99"/>
      <c r="J24" s="791"/>
      <c r="K24" s="1485"/>
      <c r="L24" s="2359"/>
      <c r="M24" s="2350"/>
      <c r="N24" s="2350"/>
      <c r="O24" s="2358"/>
      <c r="P24" s="3650"/>
      <c r="Q24" s="1469"/>
      <c r="R24" s="1323"/>
      <c r="S24" s="1324"/>
      <c r="T24" s="1323"/>
      <c r="U24" s="1324"/>
      <c r="V24" s="1323"/>
      <c r="W24" s="1324"/>
      <c r="X24" s="1468"/>
      <c r="Y24" s="3650"/>
      <c r="Z24" s="1470"/>
      <c r="AA24" s="1326"/>
      <c r="AB24" s="1326"/>
      <c r="AC24" s="1326"/>
    </row>
    <row r="25" spans="1:29" ht="103.5" customHeight="1">
      <c r="A25" s="747"/>
      <c r="B25" s="2770" t="s">
        <v>485</v>
      </c>
      <c r="C25" s="190" t="str">
        <f>估价对象房地状况!C20</f>
        <v>区域自然环境：五棵松公园等；人文环境：国家开发大学五棵松校区；综合评价环境状况较好</v>
      </c>
      <c r="D25" s="793">
        <v>100</v>
      </c>
      <c r="E25" s="3333" t="s">
        <v>3193</v>
      </c>
      <c r="F25" s="793">
        <f>SUMIF(98:98,E26,99:99)-SUMIF(98:98,C26,99:99)+100</f>
        <v>100</v>
      </c>
      <c r="G25" s="3333" t="s">
        <v>3205</v>
      </c>
      <c r="H25" s="793">
        <f>SUMIF(98:98,G26,99:99)-SUMIF(98:98,C26,99:99)+100</f>
        <v>100</v>
      </c>
      <c r="I25" s="3333" t="s">
        <v>3205</v>
      </c>
      <c r="J25" s="793">
        <f>SUMIF(98:98,I26,99:99)-SUMIF(98:98,C26,99:99)+100</f>
        <v>100</v>
      </c>
      <c r="K25" s="1081">
        <v>2</v>
      </c>
      <c r="L25" s="2359"/>
      <c r="M25" s="2350"/>
      <c r="N25" s="2350"/>
      <c r="O25" s="2358"/>
      <c r="P25" s="3650"/>
      <c r="Q25" s="1322" t="str">
        <f t="shared" si="8"/>
        <v>自然及人文环境状况</v>
      </c>
      <c r="R25" s="1323" t="s">
        <v>65</v>
      </c>
      <c r="S25" s="1324">
        <f>F25</f>
        <v>100</v>
      </c>
      <c r="T25" s="1323" t="s">
        <v>65</v>
      </c>
      <c r="U25" s="1324">
        <f>H25</f>
        <v>100</v>
      </c>
      <c r="V25" s="1323" t="s">
        <v>65</v>
      </c>
      <c r="W25" s="1324">
        <f>J25</f>
        <v>100</v>
      </c>
      <c r="X25" s="1317"/>
      <c r="Y25" s="3650"/>
      <c r="Z25" s="1325" t="str">
        <f>Q25</f>
        <v>自然及人文环境状况</v>
      </c>
      <c r="AA25" s="1326">
        <f t="shared" si="3"/>
        <v>1</v>
      </c>
      <c r="AB25" s="1326">
        <f t="shared" si="4"/>
        <v>1</v>
      </c>
      <c r="AC25" s="1326">
        <f t="shared" si="5"/>
        <v>1</v>
      </c>
    </row>
    <row r="26" spans="1:29" ht="15">
      <c r="A26" s="747"/>
      <c r="B26" s="799"/>
      <c r="C26" s="97" t="s">
        <v>3065</v>
      </c>
      <c r="D26" s="791"/>
      <c r="E26" s="192" t="s">
        <v>3065</v>
      </c>
      <c r="F26" s="791"/>
      <c r="G26" s="192" t="s">
        <v>3065</v>
      </c>
      <c r="H26" s="791"/>
      <c r="I26" s="192" t="s">
        <v>3065</v>
      </c>
      <c r="J26" s="791"/>
      <c r="K26" s="1080"/>
      <c r="L26" s="2359"/>
      <c r="M26" s="2350"/>
      <c r="N26" s="2350"/>
      <c r="O26" s="2358"/>
      <c r="P26" s="3650"/>
      <c r="Q26" s="1322"/>
      <c r="R26" s="1323"/>
      <c r="S26" s="1324"/>
      <c r="T26" s="1323"/>
      <c r="U26" s="1324"/>
      <c r="V26" s="1323"/>
      <c r="W26" s="1324"/>
      <c r="X26" s="1317"/>
      <c r="Y26" s="3650"/>
      <c r="Z26" s="1325"/>
      <c r="AA26" s="1326">
        <v>1</v>
      </c>
      <c r="AB26" s="1326">
        <v>1</v>
      </c>
      <c r="AC26" s="1326">
        <v>1</v>
      </c>
    </row>
    <row r="27" spans="1:29" s="407" customFormat="1" ht="55.5" customHeight="1">
      <c r="A27" s="991"/>
      <c r="B27" s="1411" t="s">
        <v>2671</v>
      </c>
      <c r="C27" s="158" t="str">
        <f>估价对象房地状况!C21</f>
        <v>估价对象所在区域公共配套设施齐备度较好</v>
      </c>
      <c r="D27" s="793">
        <v>100</v>
      </c>
      <c r="E27" s="3333" t="s">
        <v>3196</v>
      </c>
      <c r="F27" s="793">
        <f>SUMIF(100:100,E28,101:101)-SUMIF(100:100,C28,101:101)+100</f>
        <v>98</v>
      </c>
      <c r="G27" s="795" t="s">
        <v>3195</v>
      </c>
      <c r="H27" s="793">
        <f>SUMIF(100:100,G28,101:101)-SUMIF(100:100,C28,101:101)+100</f>
        <v>100</v>
      </c>
      <c r="I27" s="795" t="s">
        <v>3195</v>
      </c>
      <c r="J27" s="793">
        <f>SUMIF(100:100,I28,101:101)-SUMIF(100:100,C28,101:101)+100</f>
        <v>100</v>
      </c>
      <c r="K27" s="1081">
        <v>2</v>
      </c>
      <c r="L27" s="2351"/>
      <c r="M27" s="2352"/>
      <c r="N27" s="2352"/>
      <c r="O27" s="2353"/>
      <c r="P27" s="3650"/>
      <c r="Q27" s="296" t="str">
        <f t="shared" si="8"/>
        <v>公共配套设施</v>
      </c>
      <c r="R27" s="1318" t="s">
        <v>65</v>
      </c>
      <c r="S27" s="1319">
        <f>F27</f>
        <v>98</v>
      </c>
      <c r="T27" s="1318" t="s">
        <v>65</v>
      </c>
      <c r="U27" s="1319">
        <f>H27</f>
        <v>100</v>
      </c>
      <c r="V27" s="1318" t="s">
        <v>65</v>
      </c>
      <c r="W27" s="1319">
        <f>J27</f>
        <v>100</v>
      </c>
      <c r="X27" s="1320"/>
      <c r="Y27" s="3650"/>
      <c r="Z27" s="344" t="str">
        <f>Q27</f>
        <v>公共配套设施</v>
      </c>
      <c r="AA27" s="1326">
        <f>D27/F27</f>
        <v>1.0204081632653061</v>
      </c>
      <c r="AB27" s="1326">
        <f>D27/H27</f>
        <v>1</v>
      </c>
      <c r="AC27" s="1326">
        <f>D27/J27</f>
        <v>1</v>
      </c>
    </row>
    <row r="28" spans="1:29" s="407" customFormat="1" ht="15">
      <c r="A28" s="991"/>
      <c r="B28" s="799"/>
      <c r="C28" s="2776" t="s">
        <v>3065</v>
      </c>
      <c r="D28" s="791"/>
      <c r="E28" s="192" t="s">
        <v>3064</v>
      </c>
      <c r="F28" s="791"/>
      <c r="G28" s="192" t="s">
        <v>3065</v>
      </c>
      <c r="H28" s="791"/>
      <c r="I28" s="192" t="s">
        <v>3065</v>
      </c>
      <c r="J28" s="791"/>
      <c r="K28" s="1080"/>
      <c r="L28" s="2351"/>
      <c r="M28" s="2352"/>
      <c r="N28" s="2352"/>
      <c r="O28" s="2353"/>
      <c r="P28" s="3650"/>
      <c r="Q28" s="296"/>
      <c r="R28" s="1318"/>
      <c r="S28" s="1319"/>
      <c r="T28" s="1318"/>
      <c r="U28" s="1319"/>
      <c r="V28" s="1318"/>
      <c r="W28" s="1319"/>
      <c r="X28" s="1320"/>
      <c r="Y28" s="3650"/>
      <c r="Z28" s="344"/>
      <c r="AA28" s="1326">
        <v>1</v>
      </c>
      <c r="AB28" s="1326">
        <v>1</v>
      </c>
      <c r="AC28" s="1326">
        <v>1</v>
      </c>
    </row>
    <row r="29" spans="1:29" s="407" customFormat="1" ht="51.75" customHeight="1">
      <c r="A29" s="991"/>
      <c r="B29" s="1411" t="s">
        <v>2672</v>
      </c>
      <c r="C29" s="158" t="str">
        <f>估价对象房地状况!C22</f>
        <v>估价对象所在区域基础设施水平七通一平</v>
      </c>
      <c r="D29" s="793">
        <v>100</v>
      </c>
      <c r="E29" s="795" t="s">
        <v>3197</v>
      </c>
      <c r="F29" s="793">
        <f>SUMIF(102:102,E30,103:103)-SUMIF(102:102,C30,103:103)+100</f>
        <v>100</v>
      </c>
      <c r="G29" s="795" t="s">
        <v>3197</v>
      </c>
      <c r="H29" s="793">
        <f>SUMIF(102:102,G30,103:103)-SUMIF(102:102,C30,103:103)+100</f>
        <v>100</v>
      </c>
      <c r="I29" s="797" t="s">
        <v>3197</v>
      </c>
      <c r="J29" s="793">
        <f>SUMIF(102:102,I30,103:103)-SUMIF(102:102,C30,103:103)+100</f>
        <v>100</v>
      </c>
      <c r="K29" s="1081">
        <v>1.5</v>
      </c>
      <c r="L29" s="2351"/>
      <c r="M29" s="2352"/>
      <c r="N29" s="2352"/>
      <c r="O29" s="2353"/>
      <c r="P29" s="3650"/>
      <c r="Q29" s="2745" t="str">
        <f t="shared" ref="Q29" si="9">B29</f>
        <v>基础设施水平</v>
      </c>
      <c r="R29" s="1318" t="s">
        <v>65</v>
      </c>
      <c r="S29" s="1319">
        <f>F29</f>
        <v>100</v>
      </c>
      <c r="T29" s="1318" t="s">
        <v>65</v>
      </c>
      <c r="U29" s="1319">
        <f>H29</f>
        <v>100</v>
      </c>
      <c r="V29" s="1318" t="s">
        <v>65</v>
      </c>
      <c r="W29" s="1319">
        <f>J29</f>
        <v>100</v>
      </c>
      <c r="X29" s="1320"/>
      <c r="Y29" s="3650"/>
      <c r="Z29" s="344" t="str">
        <f>Q29</f>
        <v>基础设施水平</v>
      </c>
      <c r="AA29" s="1326">
        <f>D29/F29</f>
        <v>1</v>
      </c>
      <c r="AB29" s="1326">
        <f>D29/H29</f>
        <v>1</v>
      </c>
      <c r="AC29" s="1326">
        <f>D29/J29</f>
        <v>1</v>
      </c>
    </row>
    <row r="30" spans="1:29" s="407" customFormat="1" ht="15">
      <c r="A30" s="991"/>
      <c r="B30" s="799"/>
      <c r="C30" s="2776" t="s">
        <v>3066</v>
      </c>
      <c r="D30" s="791"/>
      <c r="E30" s="1036" t="s">
        <v>3066</v>
      </c>
      <c r="F30" s="791"/>
      <c r="G30" s="1036" t="s">
        <v>3066</v>
      </c>
      <c r="H30" s="791"/>
      <c r="I30" s="1036" t="s">
        <v>3066</v>
      </c>
      <c r="J30" s="791"/>
      <c r="K30" s="1080"/>
      <c r="L30" s="2351"/>
      <c r="M30" s="2352"/>
      <c r="N30" s="2352"/>
      <c r="O30" s="2353"/>
      <c r="P30" s="3650"/>
      <c r="Q30" s="2745"/>
      <c r="R30" s="1318"/>
      <c r="S30" s="1319"/>
      <c r="T30" s="1318"/>
      <c r="U30" s="1319"/>
      <c r="V30" s="1318"/>
      <c r="W30" s="1319"/>
      <c r="X30" s="1320"/>
      <c r="Y30" s="3650"/>
      <c r="Z30" s="344"/>
      <c r="AA30" s="1326">
        <v>1</v>
      </c>
      <c r="AB30" s="1326">
        <v>1</v>
      </c>
      <c r="AC30" s="1326">
        <v>1</v>
      </c>
    </row>
    <row r="31" spans="1:29" ht="15">
      <c r="A31" s="771"/>
      <c r="B31" s="799" t="s">
        <v>438</v>
      </c>
      <c r="C31" s="182" t="s">
        <v>3057</v>
      </c>
      <c r="D31" s="778">
        <v>100</v>
      </c>
      <c r="E31" s="195" t="s">
        <v>3057</v>
      </c>
      <c r="F31" s="778">
        <f>SUMIF(104:104,E31,105:105)-SUMIF(104:104,C31,105:105)+100</f>
        <v>100</v>
      </c>
      <c r="G31" s="195" t="s">
        <v>3201</v>
      </c>
      <c r="H31" s="778">
        <f>SUMIF(104:104,G31,105:105)-SUMIF(104:104,C31,105:105)+100</f>
        <v>101</v>
      </c>
      <c r="I31" s="195" t="s">
        <v>3201</v>
      </c>
      <c r="J31" s="778">
        <f>SUMIF(104:104,I31,105:105)-SUMIF(104:104,C31,105:105)+100</f>
        <v>101</v>
      </c>
      <c r="K31" s="1081">
        <v>1</v>
      </c>
      <c r="L31" s="2359"/>
      <c r="M31" s="2350"/>
      <c r="N31" s="2350"/>
      <c r="O31" s="2358"/>
      <c r="P31" s="3650"/>
      <c r="Q31" s="1322" t="str">
        <f t="shared" si="8"/>
        <v>临街状况</v>
      </c>
      <c r="R31" s="1323" t="s">
        <v>65</v>
      </c>
      <c r="S31" s="1324">
        <f t="shared" ref="S31:S45" si="10">F31</f>
        <v>100</v>
      </c>
      <c r="T31" s="1323" t="s">
        <v>65</v>
      </c>
      <c r="U31" s="1324">
        <f t="shared" ref="U31:U45" si="11">H31</f>
        <v>101</v>
      </c>
      <c r="V31" s="1323" t="s">
        <v>65</v>
      </c>
      <c r="W31" s="1324">
        <f t="shared" ref="W31:W45" si="12">J31</f>
        <v>101</v>
      </c>
      <c r="X31" s="1317"/>
      <c r="Y31" s="3650"/>
      <c r="Z31" s="1325" t="str">
        <f t="shared" ref="Z31:Z45" si="13">Q31</f>
        <v>临街状况</v>
      </c>
      <c r="AA31" s="1326">
        <f t="shared" si="3"/>
        <v>1</v>
      </c>
      <c r="AB31" s="1326">
        <f t="shared" si="4"/>
        <v>0.99009900990099009</v>
      </c>
      <c r="AC31" s="1326">
        <f t="shared" si="5"/>
        <v>0.99009900990099009</v>
      </c>
    </row>
    <row r="32" spans="1:29" ht="27.75">
      <c r="A32" s="771"/>
      <c r="B32" s="2770" t="s">
        <v>443</v>
      </c>
      <c r="C32" s="797" t="s">
        <v>3198</v>
      </c>
      <c r="D32" s="793">
        <v>100</v>
      </c>
      <c r="E32" s="797" t="s">
        <v>3200</v>
      </c>
      <c r="F32" s="793">
        <f>SUMIF(106:106,E33,107:107)-SUMIF(106:106,C33,107:107)+100</f>
        <v>100</v>
      </c>
      <c r="G32" s="795" t="s">
        <v>3202</v>
      </c>
      <c r="H32" s="793">
        <f>SUMIF(106:106,G33,107:107)-SUMIF(106:106,C33,107:107)+100</f>
        <v>100</v>
      </c>
      <c r="I32" s="795" t="s">
        <v>3202</v>
      </c>
      <c r="J32" s="793">
        <f>SUMIF(106:106,I33,107:107)-SUMIF(106:106,C33,107:107)+100</f>
        <v>100</v>
      </c>
      <c r="K32" s="1081">
        <v>1</v>
      </c>
      <c r="L32" s="2359"/>
      <c r="M32" s="2350"/>
      <c r="N32" s="2350"/>
      <c r="O32" s="2358"/>
      <c r="P32" s="3650"/>
      <c r="Q32" s="1322" t="str">
        <f t="shared" si="8"/>
        <v>毗邻道路的类型与等级</v>
      </c>
      <c r="R32" s="1323" t="s">
        <v>65</v>
      </c>
      <c r="S32" s="1324">
        <f t="shared" si="10"/>
        <v>100</v>
      </c>
      <c r="T32" s="1323" t="s">
        <v>65</v>
      </c>
      <c r="U32" s="1324">
        <f t="shared" si="11"/>
        <v>100</v>
      </c>
      <c r="V32" s="1323" t="s">
        <v>65</v>
      </c>
      <c r="W32" s="1324">
        <f t="shared" si="12"/>
        <v>100</v>
      </c>
      <c r="X32" s="1317"/>
      <c r="Y32" s="3650"/>
      <c r="Z32" s="1325" t="str">
        <f t="shared" si="13"/>
        <v>毗邻道路的类型与等级</v>
      </c>
      <c r="AA32" s="1326">
        <f t="shared" si="3"/>
        <v>1</v>
      </c>
      <c r="AB32" s="1326">
        <f t="shared" si="4"/>
        <v>1</v>
      </c>
      <c r="AC32" s="1326">
        <f t="shared" si="5"/>
        <v>1</v>
      </c>
    </row>
    <row r="33" spans="1:29" ht="15">
      <c r="A33" s="771"/>
      <c r="B33" s="799"/>
      <c r="C33" s="97" t="s">
        <v>3199</v>
      </c>
      <c r="D33" s="791"/>
      <c r="E33" s="97" t="s">
        <v>3199</v>
      </c>
      <c r="F33" s="791"/>
      <c r="G33" s="192" t="s">
        <v>3199</v>
      </c>
      <c r="H33" s="791"/>
      <c r="I33" s="192" t="s">
        <v>3199</v>
      </c>
      <c r="J33" s="791"/>
      <c r="K33" s="955"/>
      <c r="L33" s="2359"/>
      <c r="M33" s="2350"/>
      <c r="N33" s="2350"/>
      <c r="O33" s="2358"/>
      <c r="P33" s="3650"/>
      <c r="Q33" s="1322"/>
      <c r="R33" s="1323"/>
      <c r="S33" s="1324"/>
      <c r="T33" s="1323"/>
      <c r="U33" s="1324"/>
      <c r="V33" s="1323"/>
      <c r="W33" s="1324"/>
      <c r="X33" s="1317"/>
      <c r="Y33" s="3650"/>
      <c r="Z33" s="1325"/>
      <c r="AA33" s="1326">
        <v>1</v>
      </c>
      <c r="AB33" s="1326">
        <v>1</v>
      </c>
      <c r="AC33" s="1326">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4"/>
      <c r="L34" s="2359"/>
      <c r="M34" s="2350"/>
      <c r="N34" s="2350"/>
      <c r="O34" s="2358"/>
      <c r="P34" s="3650"/>
      <c r="Q34" s="1322" t="str">
        <f t="shared" si="8"/>
        <v>土地级别</v>
      </c>
      <c r="R34" s="1323" t="s">
        <v>65</v>
      </c>
      <c r="S34" s="1324">
        <f t="shared" si="10"/>
        <v>100</v>
      </c>
      <c r="T34" s="1323" t="s">
        <v>65</v>
      </c>
      <c r="U34" s="1324">
        <f t="shared" si="11"/>
        <v>100</v>
      </c>
      <c r="V34" s="1323" t="s">
        <v>65</v>
      </c>
      <c r="W34" s="1324">
        <f t="shared" si="12"/>
        <v>100</v>
      </c>
      <c r="X34" s="1317"/>
      <c r="Y34" s="3650"/>
      <c r="Z34" s="1325" t="str">
        <f t="shared" si="13"/>
        <v>土地级别</v>
      </c>
      <c r="AA34" s="1326">
        <f t="shared" si="3"/>
        <v>1</v>
      </c>
      <c r="AB34" s="1326">
        <f t="shared" si="4"/>
        <v>1</v>
      </c>
      <c r="AC34" s="1326">
        <f t="shared" si="5"/>
        <v>1</v>
      </c>
    </row>
    <row r="35" spans="1:29" ht="15">
      <c r="A35" s="747"/>
      <c r="B35" s="2772"/>
      <c r="C35" s="1082"/>
      <c r="D35" s="778">
        <v>100</v>
      </c>
      <c r="E35" s="819"/>
      <c r="F35" s="778">
        <f>SUMIF(110:110,E35,111:111)-SUMIF(110:110,C35,111:111)+100</f>
        <v>100</v>
      </c>
      <c r="G35" s="819"/>
      <c r="H35" s="778">
        <f>SUMIF(110:110,G35,111:111)-SUMIF(110:110,C35,111:111)+100</f>
        <v>100</v>
      </c>
      <c r="I35" s="1082"/>
      <c r="J35" s="778">
        <f>SUMIF(110:110,I35,111:111)-SUMIF(110:110,C35,111:111)+100</f>
        <v>100</v>
      </c>
      <c r="K35" s="955"/>
      <c r="L35" s="2359"/>
      <c r="M35" s="2350"/>
      <c r="N35" s="2350"/>
      <c r="O35" s="2358"/>
      <c r="P35" s="3650"/>
      <c r="Q35" s="1322">
        <f t="shared" si="8"/>
        <v>0</v>
      </c>
      <c r="R35" s="1323" t="s">
        <v>65</v>
      </c>
      <c r="S35" s="1324">
        <f t="shared" si="10"/>
        <v>100</v>
      </c>
      <c r="T35" s="1323" t="s">
        <v>65</v>
      </c>
      <c r="U35" s="1324">
        <f t="shared" si="11"/>
        <v>100</v>
      </c>
      <c r="V35" s="1323" t="s">
        <v>65</v>
      </c>
      <c r="W35" s="1324">
        <f t="shared" si="12"/>
        <v>100</v>
      </c>
      <c r="X35" s="1317"/>
      <c r="Y35" s="3650"/>
      <c r="Z35" s="1325">
        <f t="shared" si="13"/>
        <v>0</v>
      </c>
      <c r="AA35" s="1326">
        <f t="shared" si="3"/>
        <v>1</v>
      </c>
      <c r="AB35" s="1326">
        <f t="shared" si="4"/>
        <v>1</v>
      </c>
      <c r="AC35" s="1326">
        <f t="shared" si="5"/>
        <v>1</v>
      </c>
    </row>
    <row r="36" spans="1:29" ht="15">
      <c r="A36" s="1083"/>
      <c r="B36" s="2773"/>
      <c r="C36" s="1082"/>
      <c r="D36" s="778">
        <v>100</v>
      </c>
      <c r="E36" s="819"/>
      <c r="F36" s="778">
        <f>SUMIF(112:112,E37,113:113)-SUMIF(112:112,C37,113:113)+100</f>
        <v>100</v>
      </c>
      <c r="G36" s="819"/>
      <c r="H36" s="778">
        <f>SUMIF(112:112,G36,113:113)-SUMIF(112:112,C36,113:113)+100</f>
        <v>100</v>
      </c>
      <c r="I36" s="1082"/>
      <c r="J36" s="778">
        <f>SUMIF(112:112,I36,113:113)-SUMIF(112:112,C36,113:113)+100</f>
        <v>100</v>
      </c>
      <c r="K36" s="955"/>
      <c r="L36" s="2359"/>
      <c r="M36" s="2350"/>
      <c r="N36" s="2350"/>
      <c r="O36" s="2358"/>
      <c r="P36" s="3651" t="s">
        <v>410</v>
      </c>
      <c r="Q36" s="1322">
        <f t="shared" si="8"/>
        <v>0</v>
      </c>
      <c r="R36" s="1323" t="s">
        <v>65</v>
      </c>
      <c r="S36" s="1324">
        <f t="shared" si="10"/>
        <v>100</v>
      </c>
      <c r="T36" s="1323" t="s">
        <v>65</v>
      </c>
      <c r="U36" s="1324">
        <f t="shared" si="11"/>
        <v>100</v>
      </c>
      <c r="V36" s="1323" t="s">
        <v>65</v>
      </c>
      <c r="W36" s="1324">
        <f t="shared" si="12"/>
        <v>100</v>
      </c>
      <c r="X36" s="1317"/>
      <c r="Y36" s="3652" t="s">
        <v>410</v>
      </c>
      <c r="Z36" s="1325">
        <f t="shared" si="13"/>
        <v>0</v>
      </c>
      <c r="AA36" s="1326">
        <f t="shared" si="3"/>
        <v>1</v>
      </c>
      <c r="AB36" s="1326">
        <f t="shared" si="4"/>
        <v>1</v>
      </c>
      <c r="AC36" s="1326">
        <f t="shared" si="5"/>
        <v>1</v>
      </c>
    </row>
    <row r="37" spans="1:29" s="813" customFormat="1" ht="15.75" thickBot="1">
      <c r="A37" s="1084"/>
      <c r="B37" s="2774"/>
      <c r="C37" s="1086"/>
      <c r="D37" s="427">
        <v>100</v>
      </c>
      <c r="E37" s="1109"/>
      <c r="F37" s="781">
        <f>SUMIF(114:114,E37,115:115)-SUMIF(114:114,C37,115:115)+100</f>
        <v>100</v>
      </c>
      <c r="G37" s="1109"/>
      <c r="H37" s="781">
        <f>SUMIF(114:114,G37,115:115)-SUMIF(114:114,C37,115:115)+100</f>
        <v>100</v>
      </c>
      <c r="I37" s="1086"/>
      <c r="J37" s="781">
        <f>SUMIF(114:114,I37,115:115)-SUMIF(114:114,C37,115:115)+100</f>
        <v>100</v>
      </c>
      <c r="K37" s="955"/>
      <c r="L37" s="2357"/>
      <c r="M37" s="2360"/>
      <c r="N37" s="2360"/>
      <c r="O37" s="2361"/>
      <c r="P37" s="3652"/>
      <c r="Q37" s="1322">
        <f t="shared" si="8"/>
        <v>0</v>
      </c>
      <c r="R37" s="1328" t="s">
        <v>65</v>
      </c>
      <c r="S37" s="1329">
        <f t="shared" si="10"/>
        <v>100</v>
      </c>
      <c r="T37" s="1328" t="s">
        <v>65</v>
      </c>
      <c r="U37" s="1329">
        <f t="shared" si="11"/>
        <v>100</v>
      </c>
      <c r="V37" s="1328" t="s">
        <v>65</v>
      </c>
      <c r="W37" s="1329">
        <f t="shared" si="12"/>
        <v>100</v>
      </c>
      <c r="X37" s="1330"/>
      <c r="Y37" s="3652"/>
      <c r="Z37" s="1331">
        <f t="shared" si="13"/>
        <v>0</v>
      </c>
      <c r="AA37" s="1326">
        <f t="shared" si="3"/>
        <v>1</v>
      </c>
      <c r="AB37" s="1326">
        <f t="shared" si="4"/>
        <v>1</v>
      </c>
      <c r="AC37" s="1326">
        <f t="shared" si="5"/>
        <v>1</v>
      </c>
    </row>
    <row r="38" spans="1:29" ht="15">
      <c r="A38" s="814" t="s">
        <v>409</v>
      </c>
      <c r="B38" s="799" t="s">
        <v>487</v>
      </c>
      <c r="C38" s="1087">
        <f>'数据-基础表'!A3</f>
        <v>1927.24</v>
      </c>
      <c r="D38" s="809">
        <v>100</v>
      </c>
      <c r="E38" s="1087">
        <f>Sheet2!$E$5</f>
        <v>13326.99</v>
      </c>
      <c r="F38" s="809">
        <f>LOOKUP(E38,117:117,118:118)-LOOKUP(C38,117:117,118:118)+100</f>
        <v>101</v>
      </c>
      <c r="G38" s="1087">
        <f>Sheet2!$E$17</f>
        <v>14788.3</v>
      </c>
      <c r="H38" s="809">
        <f>LOOKUP(G38,117:117,118:118)-LOOKUP(C38,117:117,118:118)+100</f>
        <v>101</v>
      </c>
      <c r="I38" s="872">
        <f>Sheet2!$E$18</f>
        <v>29500</v>
      </c>
      <c r="J38" s="809">
        <f>LOOKUP(I38,117:117,118:118)-LOOKUP(C38,117:117,118:118)+100</f>
        <v>102.5</v>
      </c>
      <c r="K38" s="955"/>
      <c r="L38" s="2359"/>
      <c r="M38" s="2350"/>
      <c r="N38" s="2350"/>
      <c r="O38" s="2358"/>
      <c r="P38" s="3652"/>
      <c r="Q38" s="1322" t="str">
        <f>B38</f>
        <v>宗地面积</v>
      </c>
      <c r="R38" s="1323" t="s">
        <v>65</v>
      </c>
      <c r="S38" s="1324">
        <f t="shared" si="10"/>
        <v>101</v>
      </c>
      <c r="T38" s="1323" t="s">
        <v>65</v>
      </c>
      <c r="U38" s="1324">
        <f t="shared" si="11"/>
        <v>101</v>
      </c>
      <c r="V38" s="1323" t="s">
        <v>65</v>
      </c>
      <c r="W38" s="1324">
        <f t="shared" si="12"/>
        <v>102.5</v>
      </c>
      <c r="X38" s="1317"/>
      <c r="Y38" s="3652"/>
      <c r="Z38" s="1325" t="str">
        <f t="shared" si="13"/>
        <v>宗地面积</v>
      </c>
      <c r="AA38" s="1326">
        <f t="shared" si="3"/>
        <v>0.99009900990099009</v>
      </c>
      <c r="AB38" s="1326">
        <f t="shared" si="4"/>
        <v>0.99009900990099009</v>
      </c>
      <c r="AC38" s="1326">
        <f t="shared" si="5"/>
        <v>0.97560975609756095</v>
      </c>
    </row>
    <row r="39" spans="1:29" ht="15">
      <c r="A39" s="814"/>
      <c r="B39" s="765" t="s">
        <v>488</v>
      </c>
      <c r="C39" s="109" t="s">
        <v>3228</v>
      </c>
      <c r="D39" s="778">
        <v>100</v>
      </c>
      <c r="E39" s="109" t="s">
        <v>3228</v>
      </c>
      <c r="F39" s="778">
        <f>SUMIF(119:119,E39,120:120)-SUMIF(119:119,C39,120:120)+100</f>
        <v>100</v>
      </c>
      <c r="G39" s="109" t="s">
        <v>3229</v>
      </c>
      <c r="H39" s="778">
        <f>SUMIF(119:119,G39,120:120)-SUMIF(119:119,C39,120:120)+100</f>
        <v>101</v>
      </c>
      <c r="I39" s="109" t="s">
        <v>3229</v>
      </c>
      <c r="J39" s="778">
        <f>SUMIF(119:119,I39,120:120)-SUMIF(119:119,C39,120:120)+100</f>
        <v>101</v>
      </c>
      <c r="K39" s="954">
        <v>1</v>
      </c>
      <c r="L39" s="2359"/>
      <c r="M39" s="2350"/>
      <c r="N39" s="2350"/>
      <c r="O39" s="2358"/>
      <c r="P39" s="3652"/>
      <c r="Q39" s="1322" t="str">
        <f t="shared" ref="Q39:Q45" si="14">B39</f>
        <v>宗地形状</v>
      </c>
      <c r="R39" s="1323" t="s">
        <v>65</v>
      </c>
      <c r="S39" s="1324">
        <f t="shared" si="10"/>
        <v>100</v>
      </c>
      <c r="T39" s="1323" t="s">
        <v>65</v>
      </c>
      <c r="U39" s="1324">
        <f t="shared" si="11"/>
        <v>101</v>
      </c>
      <c r="V39" s="1323" t="s">
        <v>65</v>
      </c>
      <c r="W39" s="1324">
        <f t="shared" si="12"/>
        <v>101</v>
      </c>
      <c r="X39" s="1317"/>
      <c r="Y39" s="3652"/>
      <c r="Z39" s="1325" t="str">
        <f t="shared" si="13"/>
        <v>宗地形状</v>
      </c>
      <c r="AA39" s="1326">
        <f t="shared" si="3"/>
        <v>1</v>
      </c>
      <c r="AB39" s="1326">
        <f t="shared" si="4"/>
        <v>0.99009900990099009</v>
      </c>
      <c r="AC39" s="1326">
        <f t="shared" si="5"/>
        <v>0.99009900990099009</v>
      </c>
    </row>
    <row r="40" spans="1:29" ht="15">
      <c r="A40" s="814"/>
      <c r="B40" s="765" t="s">
        <v>489</v>
      </c>
      <c r="C40" s="109" t="s">
        <v>3230</v>
      </c>
      <c r="D40" s="778">
        <v>100</v>
      </c>
      <c r="E40" s="109" t="s">
        <v>3230</v>
      </c>
      <c r="F40" s="778">
        <f>SUMIF(121:121,E40,122:122)-SUMIF(121:121,C40,122:122)+100</f>
        <v>100</v>
      </c>
      <c r="G40" s="109" t="s">
        <v>3230</v>
      </c>
      <c r="H40" s="778">
        <f>SUMIF(121:121,G40,122:122)-SUMIF(121:121,C40,122:122)+100</f>
        <v>100</v>
      </c>
      <c r="I40" s="109" t="s">
        <v>3230</v>
      </c>
      <c r="J40" s="778">
        <f>SUMIF(121:121,I40,122:122)-SUMIF(121:121,C40,122:122)+100</f>
        <v>100</v>
      </c>
      <c r="K40" s="954">
        <v>1</v>
      </c>
      <c r="L40" s="2359"/>
      <c r="M40" s="2350"/>
      <c r="N40" s="2350"/>
      <c r="O40" s="2358"/>
      <c r="P40" s="3652"/>
      <c r="Q40" s="1322" t="str">
        <f t="shared" si="14"/>
        <v>临街宽度及深度</v>
      </c>
      <c r="R40" s="1323" t="s">
        <v>65</v>
      </c>
      <c r="S40" s="1324">
        <f t="shared" si="10"/>
        <v>100</v>
      </c>
      <c r="T40" s="1323" t="s">
        <v>65</v>
      </c>
      <c r="U40" s="1324">
        <f t="shared" si="11"/>
        <v>100</v>
      </c>
      <c r="V40" s="1323" t="s">
        <v>65</v>
      </c>
      <c r="W40" s="1324">
        <f t="shared" si="12"/>
        <v>100</v>
      </c>
      <c r="X40" s="1317"/>
      <c r="Y40" s="3652"/>
      <c r="Z40" s="1325" t="str">
        <f t="shared" si="13"/>
        <v>临街宽度及深度</v>
      </c>
      <c r="AA40" s="1326">
        <f t="shared" si="3"/>
        <v>1</v>
      </c>
      <c r="AB40" s="1326">
        <f t="shared" si="4"/>
        <v>1</v>
      </c>
      <c r="AC40" s="1326">
        <f t="shared" si="5"/>
        <v>1</v>
      </c>
    </row>
    <row r="41" spans="1:29" s="407" customFormat="1" ht="15">
      <c r="A41" s="815"/>
      <c r="B41" s="2611" t="s">
        <v>2504</v>
      </c>
      <c r="C41" s="1041" t="s">
        <v>3253</v>
      </c>
      <c r="D41" s="426">
        <v>100</v>
      </c>
      <c r="E41" s="1041" t="s">
        <v>3231</v>
      </c>
      <c r="F41" s="778">
        <f>SUMIF(123:123,E41,124:124)-SUMIF(123:123,C41,124:124)+100</f>
        <v>101</v>
      </c>
      <c r="G41" s="1041" t="s">
        <v>3232</v>
      </c>
      <c r="H41" s="778">
        <f>SUMIF(123:123,G41,124:124)-SUMIF(123:123,C41,124:124)+100</f>
        <v>99</v>
      </c>
      <c r="I41" s="1041" t="s">
        <v>3232</v>
      </c>
      <c r="J41" s="778">
        <f>SUMIF(123:123,I41,124:124)-SUMIF(123:123,C41,124:124)+100</f>
        <v>99</v>
      </c>
      <c r="K41" s="954">
        <v>1</v>
      </c>
      <c r="L41" s="2351"/>
      <c r="M41" s="2352"/>
      <c r="N41" s="2352"/>
      <c r="O41" s="2353"/>
      <c r="P41" s="3652"/>
      <c r="Q41" s="1322" t="str">
        <f t="shared" si="14"/>
        <v>宗地开发程度</v>
      </c>
      <c r="R41" s="1318" t="s">
        <v>65</v>
      </c>
      <c r="S41" s="1319">
        <f t="shared" si="10"/>
        <v>101</v>
      </c>
      <c r="T41" s="1318" t="s">
        <v>65</v>
      </c>
      <c r="U41" s="1319">
        <f t="shared" si="11"/>
        <v>99</v>
      </c>
      <c r="V41" s="1318" t="s">
        <v>65</v>
      </c>
      <c r="W41" s="1319">
        <f t="shared" si="12"/>
        <v>99</v>
      </c>
      <c r="X41" s="1320"/>
      <c r="Y41" s="3652"/>
      <c r="Z41" s="344" t="str">
        <f t="shared" si="13"/>
        <v>宗地开发程度</v>
      </c>
      <c r="AA41" s="1321">
        <f t="shared" si="3"/>
        <v>0.99009900990099009</v>
      </c>
      <c r="AB41" s="1321">
        <f t="shared" si="4"/>
        <v>1.0101010101010102</v>
      </c>
      <c r="AC41" s="1321">
        <f t="shared" si="5"/>
        <v>1.0101010101010102</v>
      </c>
    </row>
    <row r="42" spans="1:29" ht="15">
      <c r="A42" s="814"/>
      <c r="B42" s="765" t="s">
        <v>490</v>
      </c>
      <c r="C42" s="109" t="s">
        <v>3065</v>
      </c>
      <c r="D42" s="778">
        <v>100</v>
      </c>
      <c r="E42" s="109" t="s">
        <v>3065</v>
      </c>
      <c r="F42" s="778">
        <f>SUMIF(125:125,E42,126:126)-SUMIF(125:125,C42,126:126)+100</f>
        <v>100</v>
      </c>
      <c r="G42" s="109" t="s">
        <v>3065</v>
      </c>
      <c r="H42" s="778">
        <f>SUMIF(125:125,G42,126:126)-SUMIF(125:125,C42,126:126)+100</f>
        <v>100</v>
      </c>
      <c r="I42" s="109" t="s">
        <v>3065</v>
      </c>
      <c r="J42" s="778">
        <f>SUMIF(125:125,I42,126:126)-SUMIF(125:125,C42,126:126)+100</f>
        <v>100</v>
      </c>
      <c r="K42" s="954">
        <v>1</v>
      </c>
      <c r="L42" s="2359"/>
      <c r="M42" s="2350"/>
      <c r="N42" s="2350"/>
      <c r="O42" s="2358"/>
      <c r="P42" s="3652" t="s">
        <v>410</v>
      </c>
      <c r="Q42" s="1322" t="str">
        <f t="shared" si="14"/>
        <v>工程地质条件</v>
      </c>
      <c r="R42" s="1323" t="s">
        <v>65</v>
      </c>
      <c r="S42" s="1324">
        <f t="shared" si="10"/>
        <v>100</v>
      </c>
      <c r="T42" s="1323" t="s">
        <v>65</v>
      </c>
      <c r="U42" s="1324">
        <f t="shared" si="11"/>
        <v>100</v>
      </c>
      <c r="V42" s="1323" t="s">
        <v>65</v>
      </c>
      <c r="W42" s="1324">
        <f t="shared" si="12"/>
        <v>100</v>
      </c>
      <c r="X42" s="1317"/>
      <c r="Y42" s="3652" t="s">
        <v>410</v>
      </c>
      <c r="Z42" s="1325" t="str">
        <f t="shared" si="13"/>
        <v>工程地质条件</v>
      </c>
      <c r="AA42" s="1326">
        <f t="shared" si="3"/>
        <v>1</v>
      </c>
      <c r="AB42" s="1326">
        <f t="shared" si="4"/>
        <v>1</v>
      </c>
      <c r="AC42" s="1326">
        <f t="shared" si="5"/>
        <v>1</v>
      </c>
    </row>
    <row r="43" spans="1:29" ht="15">
      <c r="A43" s="814"/>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5"/>
      <c r="L43" s="2359"/>
      <c r="M43" s="2350"/>
      <c r="N43" s="2350"/>
      <c r="O43" s="2358"/>
      <c r="P43" s="3652"/>
      <c r="Q43" s="1322">
        <f t="shared" si="14"/>
        <v>0</v>
      </c>
      <c r="R43" s="1323" t="s">
        <v>65</v>
      </c>
      <c r="S43" s="1324">
        <f t="shared" si="10"/>
        <v>100</v>
      </c>
      <c r="T43" s="1323" t="s">
        <v>65</v>
      </c>
      <c r="U43" s="1324">
        <f t="shared" si="11"/>
        <v>100</v>
      </c>
      <c r="V43" s="1323" t="s">
        <v>65</v>
      </c>
      <c r="W43" s="1324">
        <f t="shared" si="12"/>
        <v>100</v>
      </c>
      <c r="X43" s="1317"/>
      <c r="Y43" s="3652"/>
      <c r="Z43" s="1325">
        <f t="shared" si="13"/>
        <v>0</v>
      </c>
      <c r="AA43" s="1326">
        <f t="shared" si="3"/>
        <v>1</v>
      </c>
      <c r="AB43" s="1326">
        <f t="shared" si="4"/>
        <v>1</v>
      </c>
      <c r="AC43" s="1326">
        <f t="shared" si="5"/>
        <v>1</v>
      </c>
    </row>
    <row r="44" spans="1:29" ht="15">
      <c r="A44" s="814"/>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5"/>
      <c r="L44" s="2359"/>
      <c r="M44" s="2350"/>
      <c r="N44" s="2350"/>
      <c r="O44" s="2358"/>
      <c r="P44" s="3652"/>
      <c r="Q44" s="1322">
        <f t="shared" si="14"/>
        <v>0</v>
      </c>
      <c r="R44" s="1323" t="s">
        <v>65</v>
      </c>
      <c r="S44" s="1324">
        <f t="shared" si="10"/>
        <v>100</v>
      </c>
      <c r="T44" s="1323" t="s">
        <v>65</v>
      </c>
      <c r="U44" s="1324">
        <f t="shared" si="11"/>
        <v>100</v>
      </c>
      <c r="V44" s="1323" t="s">
        <v>65</v>
      </c>
      <c r="W44" s="1324">
        <f t="shared" si="12"/>
        <v>100</v>
      </c>
      <c r="X44" s="1317"/>
      <c r="Y44" s="3652"/>
      <c r="Z44" s="1325">
        <f t="shared" si="13"/>
        <v>0</v>
      </c>
      <c r="AA44" s="1326">
        <f t="shared" si="3"/>
        <v>1</v>
      </c>
      <c r="AB44" s="1326">
        <f t="shared" si="4"/>
        <v>1</v>
      </c>
      <c r="AC44" s="1326">
        <f t="shared" si="5"/>
        <v>1</v>
      </c>
    </row>
    <row r="45" spans="1:29" s="813" customFormat="1" ht="15.75" thickBot="1">
      <c r="A45" s="810"/>
      <c r="B45" s="206"/>
      <c r="C45" s="1043"/>
      <c r="D45" s="1088">
        <v>100</v>
      </c>
      <c r="E45" s="203"/>
      <c r="F45" s="781">
        <f>SUMIF(131:131,E45,132:132)-SUMIF(131:131,C45,132:132)+100</f>
        <v>100</v>
      </c>
      <c r="G45" s="203"/>
      <c r="H45" s="781">
        <f>SUMIF(131:131,G45,132:132)-SUMIF(131:131,C45,132:132)+100</f>
        <v>100</v>
      </c>
      <c r="I45" s="203"/>
      <c r="J45" s="781">
        <f>SUMIF(131:131,I45,132:132)-SUMIF(131:131,C45,132:132)+100</f>
        <v>100</v>
      </c>
      <c r="K45" s="1089"/>
      <c r="L45" s="2357"/>
      <c r="M45" s="2360"/>
      <c r="N45" s="2360"/>
      <c r="O45" s="2361"/>
      <c r="P45" s="3652"/>
      <c r="Q45" s="1322">
        <f t="shared" si="14"/>
        <v>0</v>
      </c>
      <c r="R45" s="1328" t="s">
        <v>65</v>
      </c>
      <c r="S45" s="1329">
        <f t="shared" si="10"/>
        <v>100</v>
      </c>
      <c r="T45" s="1328" t="s">
        <v>65</v>
      </c>
      <c r="U45" s="1329">
        <f t="shared" si="11"/>
        <v>100</v>
      </c>
      <c r="V45" s="1328" t="s">
        <v>65</v>
      </c>
      <c r="W45" s="1329">
        <f t="shared" si="12"/>
        <v>100</v>
      </c>
      <c r="X45" s="1330"/>
      <c r="Y45" s="3652"/>
      <c r="Z45" s="1331">
        <f t="shared" si="13"/>
        <v>0</v>
      </c>
      <c r="AA45" s="1326">
        <f t="shared" si="3"/>
        <v>1</v>
      </c>
      <c r="AB45" s="1326">
        <f t="shared" si="4"/>
        <v>1</v>
      </c>
      <c r="AC45" s="1326">
        <f t="shared" si="5"/>
        <v>1</v>
      </c>
    </row>
    <row r="46" spans="1:29" ht="15">
      <c r="A46" s="821" t="s">
        <v>491</v>
      </c>
      <c r="B46" s="207" t="s">
        <v>158</v>
      </c>
      <c r="C46" s="1090" t="s">
        <v>23</v>
      </c>
      <c r="D46" s="823"/>
      <c r="E46" s="824">
        <f>ROUND(Sheet2!R5,0)</f>
        <v>30229</v>
      </c>
      <c r="F46" s="825"/>
      <c r="G46" s="824">
        <f>ROUND(Sheet2!R17,0)</f>
        <v>29753</v>
      </c>
      <c r="H46" s="827"/>
      <c r="I46" s="824">
        <f>ROUND(Sheet2!R18,0)</f>
        <v>28983</v>
      </c>
      <c r="J46" s="827"/>
      <c r="K46" s="1399"/>
      <c r="L46" s="2362"/>
      <c r="M46" s="2363"/>
      <c r="N46" s="2350"/>
      <c r="O46" s="2363"/>
      <c r="P46" s="3634" t="str">
        <f>A46</f>
        <v>成交单价</v>
      </c>
      <c r="Q46" s="3634"/>
      <c r="R46" s="3647">
        <f>E46</f>
        <v>30229</v>
      </c>
      <c r="S46" s="3647"/>
      <c r="T46" s="3647">
        <f>G46</f>
        <v>29753</v>
      </c>
      <c r="U46" s="3647"/>
      <c r="V46" s="3647">
        <f>I46</f>
        <v>28983</v>
      </c>
      <c r="W46" s="3647"/>
      <c r="X46" s="1306"/>
      <c r="Y46" s="1332"/>
      <c r="Z46" s="1306"/>
      <c r="AA46" s="1306"/>
      <c r="AB46" s="1306"/>
      <c r="AC46" s="1306"/>
    </row>
    <row r="47" spans="1:29" ht="15.75" thickBot="1">
      <c r="A47" s="828" t="s">
        <v>412</v>
      </c>
      <c r="B47" s="1091"/>
      <c r="C47" s="832">
        <f>R48</f>
        <v>28806</v>
      </c>
      <c r="D47" s="831"/>
      <c r="E47" s="832">
        <f>R47</f>
        <v>31380</v>
      </c>
      <c r="F47" s="833"/>
      <c r="G47" s="830">
        <f>T47</f>
        <v>28083</v>
      </c>
      <c r="H47" s="831"/>
      <c r="I47" s="832">
        <f>V47</f>
        <v>26956</v>
      </c>
      <c r="J47" s="831"/>
      <c r="K47" s="1400"/>
      <c r="L47" s="2362"/>
      <c r="M47" s="2363"/>
      <c r="N47" s="2363"/>
      <c r="O47" s="2363"/>
      <c r="P47" s="3634" t="str">
        <f>A47</f>
        <v>比较价值（元/平方米）</v>
      </c>
      <c r="Q47" s="3634"/>
      <c r="R47" s="3657">
        <f>ROUND(PRODUCT(R46,AA7:AA45),0)</f>
        <v>31380</v>
      </c>
      <c r="S47" s="3657"/>
      <c r="T47" s="3657">
        <f>ROUND(PRODUCT(T46,AB7:AB45),0)</f>
        <v>28083</v>
      </c>
      <c r="U47" s="3657"/>
      <c r="V47" s="3657">
        <f>ROUND(PRODUCT(V46,AC7:AC45),0)</f>
        <v>26956</v>
      </c>
      <c r="W47" s="3657"/>
      <c r="X47" s="1306"/>
      <c r="Y47" s="1306"/>
      <c r="Z47" s="1306"/>
      <c r="AA47" s="1306"/>
      <c r="AB47" s="1306"/>
      <c r="AC47" s="1306"/>
    </row>
    <row r="48" spans="1:29" ht="15.75" thickBot="1">
      <c r="A48" s="115" t="s">
        <v>517</v>
      </c>
      <c r="B48" s="835"/>
      <c r="C48" s="836">
        <f>R48</f>
        <v>28806</v>
      </c>
      <c r="D48" s="836"/>
      <c r="E48" s="836"/>
      <c r="F48" s="836"/>
      <c r="G48" s="836"/>
      <c r="H48" s="836"/>
      <c r="I48" s="836"/>
      <c r="J48" s="836"/>
      <c r="K48" s="1401"/>
      <c r="L48" s="2362"/>
      <c r="M48" s="2363"/>
      <c r="N48" s="2363"/>
      <c r="O48" s="2363"/>
      <c r="P48" s="3654" t="str">
        <f>A48</f>
        <v>估价对象XX用房的比较价值（楼面单价，元/平方米）</v>
      </c>
      <c r="Q48" s="3655"/>
      <c r="R48" s="3658">
        <f>ROUND(AVERAGE(R47:V47),0)</f>
        <v>28806</v>
      </c>
      <c r="S48" s="3658"/>
      <c r="T48" s="3658"/>
      <c r="U48" s="3658"/>
      <c r="V48" s="3658"/>
      <c r="W48" s="3658"/>
      <c r="X48" s="1306"/>
      <c r="Y48" s="1306"/>
      <c r="Z48" s="1306"/>
      <c r="AA48" s="1306"/>
      <c r="AB48" s="1306"/>
      <c r="AC48" s="1306"/>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39" t="s">
        <v>413</v>
      </c>
      <c r="D51" s="840"/>
      <c r="E51" s="841">
        <f>IF(E46&lt;E47,E47/E46-1,E46/E47-1)</f>
        <v>3.8076019716166698E-2</v>
      </c>
      <c r="F51" s="842" t="str">
        <f>IF(OR(E51&gt;=0.3,E51&lt;=-0.3),"超过30%","")</f>
        <v/>
      </c>
      <c r="G51" s="841">
        <f>IF(G46&lt;G47,G47/G46-1,G46/G47-1)</f>
        <v>5.9466581205711577E-2</v>
      </c>
      <c r="H51" s="842" t="str">
        <f>IF(OR(G51&gt;=0.3,G51&lt;=-0.3),"超过30%","")</f>
        <v/>
      </c>
      <c r="I51" s="841">
        <f>IF(I46&lt;I47,I47/I46-1,I46/I47-1)</f>
        <v>7.5196616708710584E-2</v>
      </c>
      <c r="J51" s="842" t="str">
        <f>IF(OR(I51&gt;=0.3,I51&lt;=-0.3),"超过30%","")</f>
        <v/>
      </c>
      <c r="K51" s="2189"/>
      <c r="L51" s="2190"/>
      <c r="M51" s="2363"/>
      <c r="N51" s="2363"/>
      <c r="O51" s="2363"/>
    </row>
    <row r="52" spans="1:15" ht="13.5" customHeight="1">
      <c r="A52" s="2363"/>
      <c r="B52" s="2363"/>
      <c r="C52" s="839" t="s">
        <v>414</v>
      </c>
      <c r="D52" s="843"/>
      <c r="E52" s="841">
        <f>IF(E47&lt;G47,G47/E47-1,E47/G47-1)</f>
        <v>0.11740198696720427</v>
      </c>
      <c r="F52" s="842" t="str">
        <f>IF(OR(E52&gt;=0.2,E52&lt;=-0.2),"超过20%","")</f>
        <v/>
      </c>
      <c r="G52" s="841">
        <f>IF(G47&lt;I47,I47/G47-1,G47/I47-1)</f>
        <v>4.180887372013653E-2</v>
      </c>
      <c r="H52" s="842" t="str">
        <f>IF(OR(G52&gt;=0.2,G52&lt;=-0.2),"超过20%","")</f>
        <v/>
      </c>
      <c r="I52" s="841">
        <f>IF(I47&lt;E47,E47/I47-1,I47/E47-1)</f>
        <v>0.16411930553494591</v>
      </c>
      <c r="J52" s="842" t="str">
        <f>IF(OR(I52&gt;=0.2,I52&lt;=-0.2),"超过20%","")</f>
        <v/>
      </c>
      <c r="K52" s="2189"/>
      <c r="L52" s="2190"/>
      <c r="M52" s="2363"/>
      <c r="N52" s="2363"/>
      <c r="O52" s="2363"/>
    </row>
    <row r="53" spans="1:15" s="844" customFormat="1" ht="13.5" customHeight="1">
      <c r="A53" s="2364"/>
      <c r="B53" s="2364"/>
      <c r="C53" s="839" t="s">
        <v>415</v>
      </c>
      <c r="D53" s="843"/>
      <c r="E53" s="841">
        <f>IF(E46&lt;G46,G46/E46-1,E46/G46-1)</f>
        <v>1.5998386717305912E-2</v>
      </c>
      <c r="F53" s="842" t="str">
        <f>IF(OR(E53&gt;=0.3,E53&lt;=-0.3),"超过30%","")</f>
        <v/>
      </c>
      <c r="G53" s="841">
        <f>IF(G46&lt;I46,I46/G46-1,G46/I46-1)</f>
        <v>2.6567298071283219E-2</v>
      </c>
      <c r="H53" s="842" t="str">
        <f>IF(OR(G53&gt;=0.3,G53&lt;=-0.3),"超过30%","")</f>
        <v/>
      </c>
      <c r="I53" s="841">
        <f>IF(I46&lt;E46,E46/I46-1,I46/E46-1)</f>
        <v>4.2990718697167196E-2</v>
      </c>
      <c r="J53" s="842" t="str">
        <f>IF(OR(I53&gt;=0.3,I53&lt;=-0.3),"超过30%","")</f>
        <v/>
      </c>
      <c r="K53" s="2367"/>
      <c r="L53" s="2368"/>
      <c r="M53" s="2364"/>
      <c r="N53" s="2364"/>
      <c r="O53" s="2364"/>
    </row>
    <row r="54" spans="1:15" s="844" customFormat="1" ht="15" thickBot="1">
      <c r="A54" s="2364"/>
      <c r="B54" s="2365"/>
      <c r="C54" s="1309"/>
      <c r="D54" s="1307"/>
      <c r="E54" s="1307"/>
      <c r="F54" s="1307"/>
      <c r="G54" s="1307"/>
      <c r="H54" s="1307"/>
      <c r="I54" s="1307"/>
      <c r="J54" s="1307"/>
      <c r="K54" s="2367"/>
      <c r="L54" s="2368"/>
      <c r="M54" s="2364"/>
      <c r="N54" s="2364"/>
      <c r="O54" s="2364"/>
    </row>
    <row r="55" spans="1:15" ht="27" customHeight="1">
      <c r="A55" s="1092" t="s">
        <v>492</v>
      </c>
      <c r="B55" s="1093" t="s">
        <v>493</v>
      </c>
      <c r="C55" s="1777" t="s">
        <v>1890</v>
      </c>
      <c r="D55" s="2394" t="s">
        <v>2328</v>
      </c>
      <c r="E55" s="1094" t="s">
        <v>494</v>
      </c>
      <c r="F55" s="2191" t="s">
        <v>495</v>
      </c>
      <c r="G55" s="3659" t="s">
        <v>2321</v>
      </c>
      <c r="H55" s="3660"/>
      <c r="I55" s="2192" t="s">
        <v>1889</v>
      </c>
      <c r="J55" s="2196">
        <f>项目基本情况!F35</f>
        <v>0</v>
      </c>
      <c r="K55" s="2377" t="s">
        <v>1891</v>
      </c>
      <c r="L55" s="2190"/>
      <c r="M55" s="2363"/>
      <c r="N55" s="2363"/>
      <c r="O55" s="2363"/>
    </row>
    <row r="56" spans="1:15" s="1100" customFormat="1">
      <c r="A56" s="1096" t="s">
        <v>496</v>
      </c>
      <c r="B56" s="1097">
        <f>C48</f>
        <v>28806</v>
      </c>
      <c r="C56" s="1098">
        <v>1</v>
      </c>
      <c r="D56" s="2395">
        <v>1</v>
      </c>
      <c r="E56" s="1098">
        <f>'数据-汇总表'!E8+'数据-汇总表'!E9</f>
        <v>7148.0899999999992</v>
      </c>
      <c r="F56" s="2187">
        <f t="shared" ref="F56:F65" si="15">ROUND(B56*E56/10000,0)</f>
        <v>20591</v>
      </c>
      <c r="G56" s="3661"/>
      <c r="H56" s="3662"/>
      <c r="I56" s="2193">
        <v>1</v>
      </c>
      <c r="J56" s="2197">
        <v>1</v>
      </c>
      <c r="K56" s="2364"/>
      <c r="L56" s="1774"/>
      <c r="M56" s="1774"/>
      <c r="N56" s="1774"/>
      <c r="O56" s="1774"/>
    </row>
    <row r="57" spans="1:15" s="1100" customFormat="1">
      <c r="A57" s="1101" t="s">
        <v>497</v>
      </c>
      <c r="B57" s="594">
        <f>ROUND($C$48*C57*D57,0)</f>
        <v>5041</v>
      </c>
      <c r="C57" s="532">
        <f t="shared" ref="C57:C65" si="16">IF($C$55="北京市系数",I57,J57)</f>
        <v>0.7</v>
      </c>
      <c r="D57" s="2396">
        <v>0.25</v>
      </c>
      <c r="E57" s="1102"/>
      <c r="F57" s="2187">
        <f t="shared" si="15"/>
        <v>0</v>
      </c>
      <c r="G57" s="3663" t="s">
        <v>2322</v>
      </c>
      <c r="H57" s="2188" t="str">
        <f>项目基本情况!B37</f>
        <v>四级</v>
      </c>
      <c r="I57" s="2193">
        <f>SUMIF(修正!A45:A56,H57,修正!B45:B56)</f>
        <v>0.7</v>
      </c>
      <c r="J57" s="2198"/>
      <c r="K57" s="2363"/>
      <c r="L57" s="1774"/>
      <c r="M57" s="1774"/>
      <c r="N57" s="1774"/>
      <c r="O57" s="1774"/>
    </row>
    <row r="58" spans="1:15" s="1100" customFormat="1">
      <c r="A58" s="1101" t="s">
        <v>498</v>
      </c>
      <c r="B58" s="594">
        <f t="shared" ref="B58:B65" si="17">ROUND($C$48*C58*D58,0)</f>
        <v>2881</v>
      </c>
      <c r="C58" s="532">
        <f t="shared" si="16"/>
        <v>0.4</v>
      </c>
      <c r="D58" s="2396">
        <v>0.25</v>
      </c>
      <c r="E58" s="1102"/>
      <c r="F58" s="2187">
        <f t="shared" si="15"/>
        <v>0</v>
      </c>
      <c r="G58" s="3663"/>
      <c r="H58" s="2188" t="str">
        <f>项目基本情况!B37</f>
        <v>四级</v>
      </c>
      <c r="I58" s="2193">
        <f>SUMIF(修正!A45:A56,H58,修正!C45:C56)</f>
        <v>0.4</v>
      </c>
      <c r="J58" s="2198"/>
      <c r="K58" s="2364"/>
      <c r="L58" s="1774"/>
      <c r="M58" s="1774"/>
      <c r="N58" s="1774"/>
      <c r="O58" s="1774"/>
    </row>
    <row r="59" spans="1:15" s="1100" customFormat="1">
      <c r="A59" s="1101" t="s">
        <v>499</v>
      </c>
      <c r="B59" s="594">
        <f t="shared" si="17"/>
        <v>2016</v>
      </c>
      <c r="C59" s="532">
        <f t="shared" si="16"/>
        <v>0.28000000000000003</v>
      </c>
      <c r="D59" s="2396">
        <v>0.25</v>
      </c>
      <c r="E59" s="1102"/>
      <c r="F59" s="2187">
        <f t="shared" si="15"/>
        <v>0</v>
      </c>
      <c r="G59" s="3663"/>
      <c r="H59" s="2188" t="str">
        <f>项目基本情况!B37</f>
        <v>四级</v>
      </c>
      <c r="I59" s="2193">
        <f>SUMIF(修正!A45:A56,H59,修正!D45:D56)</f>
        <v>0.28000000000000003</v>
      </c>
      <c r="J59" s="2198"/>
      <c r="K59" s="2363"/>
      <c r="L59" s="1774"/>
      <c r="M59" s="1774"/>
      <c r="N59" s="1774"/>
      <c r="O59" s="1774"/>
    </row>
    <row r="60" spans="1:15" s="1100" customFormat="1">
      <c r="A60" s="1101" t="s">
        <v>500</v>
      </c>
      <c r="B60" s="594">
        <f t="shared" si="17"/>
        <v>1800</v>
      </c>
      <c r="C60" s="532">
        <f t="shared" si="16"/>
        <v>0.25</v>
      </c>
      <c r="D60" s="2396">
        <v>0.25</v>
      </c>
      <c r="E60" s="1102"/>
      <c r="F60" s="2187">
        <f t="shared" si="15"/>
        <v>0</v>
      </c>
      <c r="G60" s="3663"/>
      <c r="H60" s="2188" t="str">
        <f>项目基本情况!B37</f>
        <v>四级</v>
      </c>
      <c r="I60" s="2193">
        <f>SUMIF(修正!A45:A56,H60,修正!E45:E56)</f>
        <v>0.25</v>
      </c>
      <c r="J60" s="2198"/>
      <c r="K60" s="2364"/>
      <c r="L60" s="1774"/>
      <c r="M60" s="1774"/>
      <c r="N60" s="1774"/>
      <c r="O60" s="1774"/>
    </row>
    <row r="61" spans="1:15" s="1100" customFormat="1">
      <c r="A61" s="2516" t="s">
        <v>2404</v>
      </c>
      <c r="B61" s="594">
        <f t="shared" si="17"/>
        <v>0</v>
      </c>
      <c r="C61" s="532">
        <f t="shared" si="16"/>
        <v>0</v>
      </c>
      <c r="D61" s="2396">
        <v>0.25</v>
      </c>
      <c r="E61" s="593">
        <f>'数据-汇总表'!E11</f>
        <v>0</v>
      </c>
      <c r="F61" s="2187">
        <f t="shared" si="15"/>
        <v>0</v>
      </c>
      <c r="G61" s="2200" t="s">
        <v>2323</v>
      </c>
      <c r="H61" s="2188">
        <f>项目基本情况!C37</f>
        <v>0</v>
      </c>
      <c r="I61" s="2193">
        <f>SUMIF(修正!A45:A56,H61,修正!F45:F56)</f>
        <v>0</v>
      </c>
      <c r="J61" s="2198"/>
      <c r="K61" s="2363"/>
      <c r="L61" s="1774"/>
      <c r="M61" s="1774"/>
      <c r="N61" s="1774"/>
      <c r="O61" s="1774"/>
    </row>
    <row r="62" spans="1:15" s="1100" customFormat="1">
      <c r="A62" s="1101" t="s">
        <v>501</v>
      </c>
      <c r="B62" s="594">
        <f t="shared" si="17"/>
        <v>0</v>
      </c>
      <c r="C62" s="532">
        <f t="shared" si="16"/>
        <v>0</v>
      </c>
      <c r="D62" s="2396">
        <v>0.25</v>
      </c>
      <c r="E62" s="593">
        <f>'数据-汇总表'!E12</f>
        <v>0</v>
      </c>
      <c r="F62" s="2187">
        <f t="shared" si="15"/>
        <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0" customFormat="1">
      <c r="A63" s="1101" t="s">
        <v>502</v>
      </c>
      <c r="B63" s="594">
        <f t="shared" si="17"/>
        <v>0</v>
      </c>
      <c r="C63" s="532">
        <f t="shared" si="16"/>
        <v>0</v>
      </c>
      <c r="D63" s="2396">
        <v>0.25</v>
      </c>
      <c r="E63" s="593">
        <f>'数据-汇总表'!E13</f>
        <v>0</v>
      </c>
      <c r="F63" s="2187">
        <f t="shared" si="15"/>
        <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0" customFormat="1">
      <c r="A64" s="1101" t="s">
        <v>503</v>
      </c>
      <c r="B64" s="594">
        <f t="shared" si="17"/>
        <v>1440</v>
      </c>
      <c r="C64" s="532">
        <f t="shared" si="16"/>
        <v>0.2</v>
      </c>
      <c r="D64" s="2396">
        <v>0.25</v>
      </c>
      <c r="E64" s="593">
        <f>'数据-汇总表'!E14</f>
        <v>0</v>
      </c>
      <c r="F64" s="2187">
        <f t="shared" si="15"/>
        <v>0</v>
      </c>
      <c r="G64" s="2200" t="s">
        <v>2324</v>
      </c>
      <c r="H64" s="2188" t="str">
        <f>项目基本情况!B37</f>
        <v>四级</v>
      </c>
      <c r="I64" s="2193">
        <f>SUMIF(修正!A45:A56,H64,修正!H45:H56)</f>
        <v>0.2</v>
      </c>
      <c r="J64" s="2198"/>
      <c r="K64" s="2364"/>
      <c r="L64" s="1774"/>
      <c r="M64" s="1774"/>
      <c r="N64" s="1774"/>
      <c r="O64" s="1774"/>
    </row>
    <row r="65" spans="1:17" s="1100" customFormat="1" ht="15" thickBot="1">
      <c r="A65" s="1101" t="s">
        <v>504</v>
      </c>
      <c r="B65" s="594">
        <f t="shared" si="17"/>
        <v>0</v>
      </c>
      <c r="C65" s="532">
        <f t="shared" si="16"/>
        <v>0</v>
      </c>
      <c r="D65" s="2396">
        <v>0.25</v>
      </c>
      <c r="E65" s="593">
        <f>'数据-汇总表'!E15</f>
        <v>0</v>
      </c>
      <c r="F65" s="2187">
        <f t="shared" si="15"/>
        <v>0</v>
      </c>
      <c r="G65" s="2201" t="s">
        <v>2323</v>
      </c>
      <c r="H65" s="2202">
        <f>项目基本情况!C37</f>
        <v>0</v>
      </c>
      <c r="I65" s="2195">
        <f>SUMIF(修正!A45:A56,H65,修正!H45:H56)</f>
        <v>0</v>
      </c>
      <c r="J65" s="2199"/>
      <c r="K65" s="2363"/>
      <c r="L65" s="1774"/>
      <c r="M65" s="1774"/>
      <c r="N65" s="1774"/>
      <c r="O65" s="1774"/>
    </row>
    <row r="66" spans="1:17" s="1100" customFormat="1" ht="13.5" thickBot="1">
      <c r="A66" s="1103" t="s">
        <v>505</v>
      </c>
      <c r="B66" s="1104" t="s">
        <v>156</v>
      </c>
      <c r="C66" s="1104" t="s">
        <v>157</v>
      </c>
      <c r="D66" s="1104" t="s">
        <v>2329</v>
      </c>
      <c r="E66" s="1104">
        <f>IF(B46="楼面地价",SUM(E56:E65),'数据-汇总表'!D3)</f>
        <v>7148.0899999999992</v>
      </c>
      <c r="F66" s="1105">
        <f>IF(B46="楼面地价",SUM(F56:F65),ROUND(C48*E66/10000,0))</f>
        <v>20591</v>
      </c>
      <c r="G66" s="1414"/>
      <c r="H66" s="1414"/>
      <c r="I66" s="1414"/>
      <c r="J66" s="1414"/>
      <c r="K66" s="2378"/>
      <c r="L66" s="1774"/>
      <c r="M66" s="1774"/>
      <c r="N66" s="1774"/>
      <c r="O66" s="1774"/>
    </row>
    <row r="67" spans="1:17">
      <c r="A67" s="1306"/>
      <c r="B67" s="1308"/>
      <c r="C67" s="1309"/>
      <c r="D67" s="1306"/>
      <c r="E67" s="1306"/>
      <c r="F67" s="1306"/>
      <c r="G67" s="1306"/>
      <c r="H67" s="1306"/>
      <c r="I67" s="1306"/>
      <c r="J67" s="2363"/>
      <c r="K67" s="2189"/>
      <c r="L67" s="2190"/>
      <c r="M67" s="2363"/>
      <c r="N67" s="2363"/>
      <c r="O67" s="2363"/>
    </row>
    <row r="68" spans="1:17">
      <c r="A68" s="1306"/>
      <c r="B68" s="1308"/>
      <c r="C68" s="1308" t="str">
        <f>YEAR(C7)&amp;"-"&amp;MONTH(C7)&amp;"-1"</f>
        <v>2017-7-1</v>
      </c>
      <c r="D68" s="1308">
        <f>EDATE(C68,-3)</f>
        <v>42826</v>
      </c>
      <c r="E68" s="1308">
        <f>EDATE(D68,-3)</f>
        <v>42736</v>
      </c>
      <c r="F68" s="1308">
        <f t="shared" ref="F68:O68" si="18">EDATE(E68,-3)</f>
        <v>42644</v>
      </c>
      <c r="G68" s="1308">
        <f t="shared" si="18"/>
        <v>42552</v>
      </c>
      <c r="H68" s="1308">
        <f t="shared" si="18"/>
        <v>42461</v>
      </c>
      <c r="I68" s="1308">
        <f t="shared" si="18"/>
        <v>42370</v>
      </c>
      <c r="J68" s="1308">
        <f t="shared" si="18"/>
        <v>42278</v>
      </c>
      <c r="K68" s="1308">
        <f t="shared" si="18"/>
        <v>42186</v>
      </c>
      <c r="L68" s="1308">
        <f t="shared" si="18"/>
        <v>42095</v>
      </c>
      <c r="M68" s="1308">
        <f t="shared" si="18"/>
        <v>42005</v>
      </c>
      <c r="N68" s="1308">
        <f t="shared" si="18"/>
        <v>41913</v>
      </c>
      <c r="O68" s="1308">
        <f t="shared" si="18"/>
        <v>41821</v>
      </c>
    </row>
    <row r="69" spans="1:17" ht="21.75" thickBot="1">
      <c r="A69" s="1310" t="s">
        <v>416</v>
      </c>
      <c r="B69" s="1306"/>
      <c r="C69" s="1311"/>
      <c r="D69" s="1311"/>
      <c r="E69" s="1311"/>
      <c r="F69" s="1312"/>
      <c r="G69" s="1312"/>
      <c r="H69" s="1311"/>
      <c r="I69" s="1311"/>
      <c r="J69" s="2379"/>
      <c r="K69" s="2380"/>
      <c r="L69" s="2381"/>
      <c r="M69" s="2379"/>
      <c r="N69" s="2379"/>
      <c r="O69" s="2379"/>
      <c r="P69" s="845"/>
      <c r="Q69" s="846"/>
    </row>
    <row r="70" spans="1:17" s="850" customFormat="1" ht="15">
      <c r="A70" s="2707" t="s">
        <v>2795</v>
      </c>
      <c r="B70" s="2708"/>
      <c r="C70" s="3042" t="str">
        <f>YEAR(C68)&amp;"-"&amp;ROUNDUP(MONTH(C68)/3,0)</f>
        <v>2017-3</v>
      </c>
      <c r="D70" s="3042" t="str">
        <f>YEAR(D68)&amp;"-"&amp;ROUNDUP(MONTH(D68)/3,0)</f>
        <v>2017-2</v>
      </c>
      <c r="E70" s="3042" t="str">
        <f t="shared" ref="E70:O70" si="19">YEAR(E68)&amp;"-"&amp;ROUNDUP(MONTH(E68)/3,0)</f>
        <v>2017-1</v>
      </c>
      <c r="F70" s="3042" t="str">
        <f t="shared" si="19"/>
        <v>2016-4</v>
      </c>
      <c r="G70" s="3042" t="str">
        <f t="shared" si="19"/>
        <v>2016-3</v>
      </c>
      <c r="H70" s="3042" t="str">
        <f t="shared" si="19"/>
        <v>2016-2</v>
      </c>
      <c r="I70" s="3042" t="str">
        <f t="shared" si="19"/>
        <v>2016-1</v>
      </c>
      <c r="J70" s="3042" t="str">
        <f t="shared" si="19"/>
        <v>2015-4</v>
      </c>
      <c r="K70" s="3042" t="str">
        <f t="shared" si="19"/>
        <v>2015-3</v>
      </c>
      <c r="L70" s="3042" t="str">
        <f t="shared" si="19"/>
        <v>2015-2</v>
      </c>
      <c r="M70" s="3042" t="str">
        <f t="shared" si="19"/>
        <v>2015-1</v>
      </c>
      <c r="N70" s="3042" t="str">
        <f t="shared" si="19"/>
        <v>2014-4</v>
      </c>
      <c r="O70" s="3042" t="str">
        <f t="shared" si="19"/>
        <v>2014-3</v>
      </c>
      <c r="P70" s="849"/>
    </row>
    <row r="71" spans="1:17" s="407" customFormat="1" ht="30" customHeight="1">
      <c r="A71" s="3045" t="s">
        <v>3056</v>
      </c>
      <c r="B71" s="664" t="str">
        <f>"北京市平均增长率"&amp;TEXT(SUMIF(基准地价修正!N21:N25,A71,基准地价修正!P21:P25),"0.00%")</f>
        <v>北京市平均增长率1.57%</v>
      </c>
      <c r="C71" s="945">
        <v>100</v>
      </c>
      <c r="D71" s="937">
        <v>99.5</v>
      </c>
      <c r="E71" s="937">
        <v>99</v>
      </c>
      <c r="F71" s="937">
        <v>98.5</v>
      </c>
      <c r="G71" s="937">
        <v>98</v>
      </c>
      <c r="H71" s="937">
        <v>97.5</v>
      </c>
      <c r="I71" s="937">
        <v>97</v>
      </c>
      <c r="J71" s="937">
        <v>96.5</v>
      </c>
      <c r="K71" s="937">
        <v>96</v>
      </c>
      <c r="L71" s="937">
        <v>95.5</v>
      </c>
      <c r="M71" s="3036">
        <v>95</v>
      </c>
      <c r="N71" s="937">
        <v>94.5</v>
      </c>
      <c r="O71" s="3037">
        <v>94</v>
      </c>
      <c r="P71" s="846"/>
    </row>
    <row r="72" spans="1:17" s="407" customFormat="1" ht="15.75" thickBot="1">
      <c r="A72" s="857" t="s">
        <v>417</v>
      </c>
      <c r="B72" s="858"/>
      <c r="C72" s="859"/>
      <c r="D72" s="860"/>
      <c r="E72" s="860"/>
      <c r="F72" s="860"/>
      <c r="G72" s="860"/>
      <c r="H72" s="860"/>
      <c r="I72" s="860"/>
      <c r="J72" s="860"/>
      <c r="K72" s="860"/>
      <c r="L72" s="860"/>
      <c r="M72" s="861"/>
      <c r="N72" s="860"/>
      <c r="O72" s="2382"/>
      <c r="P72" s="846"/>
      <c r="Q72" s="846"/>
    </row>
    <row r="73" spans="1:17" s="407" customFormat="1" ht="15">
      <c r="A73" s="863" t="s">
        <v>401</v>
      </c>
      <c r="B73" s="852"/>
      <c r="C73" s="864" t="s">
        <v>418</v>
      </c>
      <c r="D73" s="140"/>
      <c r="E73" s="140"/>
      <c r="F73" s="140"/>
      <c r="G73" s="140"/>
      <c r="H73" s="140"/>
      <c r="I73" s="140"/>
      <c r="J73" s="140"/>
      <c r="K73" s="140"/>
      <c r="L73" s="141"/>
      <c r="M73" s="1050"/>
      <c r="N73" s="2370"/>
      <c r="O73" s="2370"/>
      <c r="P73" s="868"/>
      <c r="Q73" s="846"/>
    </row>
    <row r="74" spans="1:17" s="407" customFormat="1" ht="15.75" thickBot="1">
      <c r="A74" s="863"/>
      <c r="B74" s="852"/>
      <c r="C74" s="981">
        <v>100</v>
      </c>
      <c r="D74" s="854"/>
      <c r="E74" s="854"/>
      <c r="F74" s="854"/>
      <c r="G74" s="854"/>
      <c r="H74" s="854"/>
      <c r="I74" s="854"/>
      <c r="J74" s="854"/>
      <c r="K74" s="854"/>
      <c r="L74" s="854"/>
      <c r="M74" s="856"/>
      <c r="N74" s="2370"/>
      <c r="O74" s="2370"/>
      <c r="P74" s="846"/>
      <c r="Q74" s="846"/>
    </row>
    <row r="75" spans="1:17">
      <c r="A75" s="869" t="s">
        <v>419</v>
      </c>
      <c r="B75" s="870" t="s">
        <v>420</v>
      </c>
      <c r="C75" s="122" t="s">
        <v>3063</v>
      </c>
      <c r="D75" s="122" t="s">
        <v>3068</v>
      </c>
      <c r="E75" s="122"/>
      <c r="F75" s="122"/>
      <c r="G75" s="122"/>
      <c r="H75" s="122"/>
      <c r="I75" s="122"/>
      <c r="J75" s="122"/>
      <c r="K75" s="123"/>
      <c r="L75" s="124"/>
      <c r="M75" s="125"/>
      <c r="N75" s="2371"/>
      <c r="O75" s="2371"/>
      <c r="P75" s="334"/>
      <c r="Q75" s="846"/>
    </row>
    <row r="76" spans="1:17" ht="15.75" thickBot="1">
      <c r="A76" s="876"/>
      <c r="B76" s="877"/>
      <c r="C76" s="878">
        <v>100</v>
      </c>
      <c r="D76" s="878">
        <v>95</v>
      </c>
      <c r="E76" s="878"/>
      <c r="F76" s="878"/>
      <c r="G76" s="878"/>
      <c r="H76" s="878"/>
      <c r="I76" s="878"/>
      <c r="J76" s="878"/>
      <c r="K76" s="878"/>
      <c r="L76" s="878"/>
      <c r="M76" s="879"/>
      <c r="N76" s="2372"/>
      <c r="O76" s="2372"/>
      <c r="P76" s="334"/>
      <c r="Q76" s="846"/>
    </row>
    <row r="77" spans="1:17" ht="27.75" thickTop="1">
      <c r="A77" s="876"/>
      <c r="B77" s="880" t="s">
        <v>405</v>
      </c>
      <c r="C77" s="881"/>
      <c r="D77" s="881"/>
      <c r="E77" s="881"/>
      <c r="F77" s="881"/>
      <c r="G77" s="881"/>
      <c r="H77" s="881"/>
      <c r="I77" s="881"/>
      <c r="J77" s="881"/>
      <c r="K77" s="882"/>
      <c r="L77" s="883"/>
      <c r="M77" s="884"/>
      <c r="N77" s="2371"/>
      <c r="O77" s="2371"/>
      <c r="P77" s="334"/>
      <c r="Q77" s="846"/>
    </row>
    <row r="78" spans="1:17" ht="15.75" thickBot="1">
      <c r="A78" s="876"/>
      <c r="B78" s="885"/>
      <c r="C78" s="886"/>
      <c r="D78" s="886"/>
      <c r="E78" s="886"/>
      <c r="F78" s="886"/>
      <c r="G78" s="886"/>
      <c r="H78" s="886"/>
      <c r="I78" s="886"/>
      <c r="J78" s="886"/>
      <c r="K78" s="886"/>
      <c r="L78" s="886"/>
      <c r="M78" s="887"/>
      <c r="N78" s="2372"/>
      <c r="O78" s="2372"/>
      <c r="P78" s="334"/>
      <c r="Q78" s="846"/>
    </row>
    <row r="79" spans="1:17" ht="15.75" thickTop="1">
      <c r="A79" s="876"/>
      <c r="B79" s="888" t="s">
        <v>406</v>
      </c>
      <c r="C79" s="889" t="str">
        <f>C80&amp;"（含）"&amp;"-"&amp;D80</f>
        <v>0（含）-1</v>
      </c>
      <c r="D79" s="889" t="str">
        <f t="shared" ref="D79:L79" si="20">D80&amp;"（含）"&amp;"-"&amp;E80</f>
        <v>1（含）-2</v>
      </c>
      <c r="E79" s="889" t="str">
        <f t="shared" si="20"/>
        <v>2（含）-3</v>
      </c>
      <c r="F79" s="889" t="str">
        <f t="shared" si="20"/>
        <v>3（含）-</v>
      </c>
      <c r="G79" s="889" t="str">
        <f t="shared" si="20"/>
        <v>（含）-</v>
      </c>
      <c r="H79" s="889" t="str">
        <f t="shared" si="20"/>
        <v>（含）-</v>
      </c>
      <c r="I79" s="889" t="str">
        <f t="shared" si="20"/>
        <v>（含）-</v>
      </c>
      <c r="J79" s="889" t="str">
        <f t="shared" si="20"/>
        <v>（含）-</v>
      </c>
      <c r="K79" s="889" t="str">
        <f t="shared" si="20"/>
        <v>（含）-</v>
      </c>
      <c r="L79" s="889" t="str">
        <f t="shared" si="20"/>
        <v>（含）-</v>
      </c>
      <c r="M79" s="791" t="str">
        <f>M80&amp;"（含）"&amp;"-"&amp;P80</f>
        <v>（含）-</v>
      </c>
      <c r="N79" s="2372"/>
      <c r="O79" s="2372"/>
      <c r="P79" s="334"/>
      <c r="Q79" s="846"/>
    </row>
    <row r="80" spans="1:17" ht="15">
      <c r="A80" s="876"/>
      <c r="B80" s="890"/>
      <c r="C80" s="891">
        <v>0</v>
      </c>
      <c r="D80" s="891">
        <v>1</v>
      </c>
      <c r="E80" s="891">
        <v>2</v>
      </c>
      <c r="F80" s="891">
        <v>3</v>
      </c>
      <c r="G80" s="891"/>
      <c r="H80" s="891"/>
      <c r="I80" s="891"/>
      <c r="J80" s="891"/>
      <c r="K80" s="892"/>
      <c r="L80" s="893"/>
      <c r="M80" s="894"/>
      <c r="N80" s="2371"/>
      <c r="O80" s="2371"/>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2"/>
      <c r="O81" s="2372"/>
      <c r="P81" s="334"/>
      <c r="Q81" s="846"/>
    </row>
    <row r="82" spans="1:17" s="813" customFormat="1" ht="15.75" thickTop="1">
      <c r="A82" s="895"/>
      <c r="B82" s="880" t="str">
        <f>B12</f>
        <v>配建</v>
      </c>
      <c r="C82" s="139"/>
      <c r="D82" s="139"/>
      <c r="E82" s="139"/>
      <c r="F82" s="139"/>
      <c r="G82" s="139"/>
      <c r="H82" s="1058"/>
      <c r="I82" s="1058"/>
      <c r="J82" s="1058"/>
      <c r="K82" s="1058"/>
      <c r="L82" s="1059"/>
      <c r="M82" s="1060"/>
      <c r="N82" s="2373"/>
      <c r="O82" s="2373"/>
      <c r="P82" s="900"/>
      <c r="Q82" s="901"/>
    </row>
    <row r="83" spans="1:17" s="813" customFormat="1" ht="15.75" thickBot="1">
      <c r="A83" s="895"/>
      <c r="B83" s="885"/>
      <c r="C83" s="902"/>
      <c r="D83" s="878"/>
      <c r="E83" s="878"/>
      <c r="F83" s="878"/>
      <c r="G83" s="878"/>
      <c r="H83" s="878"/>
      <c r="I83" s="878"/>
      <c r="J83" s="878"/>
      <c r="K83" s="878"/>
      <c r="L83" s="878"/>
      <c r="M83" s="879"/>
      <c r="N83" s="2372"/>
      <c r="O83" s="2372"/>
      <c r="P83" s="900"/>
      <c r="Q83" s="901"/>
    </row>
    <row r="84" spans="1:17" s="813" customFormat="1" ht="15.75" thickTop="1">
      <c r="A84" s="895"/>
      <c r="B84" s="880">
        <f>B13</f>
        <v>0</v>
      </c>
      <c r="C84" s="139"/>
      <c r="D84" s="139"/>
      <c r="E84" s="139"/>
      <c r="F84" s="139"/>
      <c r="G84" s="139"/>
      <c r="H84" s="1058"/>
      <c r="I84" s="1058"/>
      <c r="J84" s="1058"/>
      <c r="K84" s="1058"/>
      <c r="L84" s="1059"/>
      <c r="M84" s="1060"/>
      <c r="N84" s="2373"/>
      <c r="O84" s="2373"/>
      <c r="P84" s="812"/>
      <c r="Q84" s="903"/>
    </row>
    <row r="85" spans="1:17" s="813" customFormat="1" ht="15.75" thickBot="1">
      <c r="A85" s="895"/>
      <c r="B85" s="885"/>
      <c r="C85" s="902"/>
      <c r="D85" s="902"/>
      <c r="E85" s="902"/>
      <c r="F85" s="902"/>
      <c r="G85" s="902"/>
      <c r="H85" s="904"/>
      <c r="I85" s="904"/>
      <c r="J85" s="904"/>
      <c r="K85" s="904"/>
      <c r="L85" s="904"/>
      <c r="M85" s="905"/>
      <c r="N85" s="2373"/>
      <c r="O85" s="2373"/>
      <c r="P85" s="900"/>
      <c r="Q85" s="901"/>
    </row>
    <row r="86" spans="1:17" s="813" customFormat="1" ht="15.75" thickTop="1">
      <c r="A86" s="895"/>
      <c r="B86" s="888">
        <f>B14</f>
        <v>0</v>
      </c>
      <c r="C86" s="140"/>
      <c r="D86" s="140"/>
      <c r="E86" s="140"/>
      <c r="F86" s="140"/>
      <c r="G86" s="140"/>
      <c r="H86" s="1065"/>
      <c r="I86" s="1065"/>
      <c r="J86" s="1065"/>
      <c r="K86" s="1065"/>
      <c r="L86" s="1066"/>
      <c r="M86" s="1067"/>
      <c r="N86" s="2373"/>
      <c r="O86" s="2373"/>
      <c r="P86" s="909"/>
      <c r="Q86" s="901"/>
    </row>
    <row r="87" spans="1:17" s="813" customFormat="1" ht="15.75" thickBot="1">
      <c r="A87" s="910"/>
      <c r="B87" s="911"/>
      <c r="C87" s="912"/>
      <c r="D87" s="912"/>
      <c r="E87" s="912"/>
      <c r="F87" s="912"/>
      <c r="G87" s="912"/>
      <c r="H87" s="913"/>
      <c r="I87" s="913"/>
      <c r="J87" s="913"/>
      <c r="K87" s="913"/>
      <c r="L87" s="913"/>
      <c r="M87" s="914"/>
      <c r="N87" s="2373"/>
      <c r="O87" s="2373"/>
      <c r="P87" s="900"/>
      <c r="Q87" s="901"/>
    </row>
    <row r="88" spans="1:17">
      <c r="A88" s="869" t="s">
        <v>407</v>
      </c>
      <c r="B88" s="870" t="s">
        <v>425</v>
      </c>
      <c r="C88" s="915" t="s">
        <v>426</v>
      </c>
      <c r="D88" s="915" t="s">
        <v>427</v>
      </c>
      <c r="E88" s="915" t="s">
        <v>428</v>
      </c>
      <c r="F88" s="915" t="s">
        <v>429</v>
      </c>
      <c r="G88" s="915" t="s">
        <v>430</v>
      </c>
      <c r="H88" s="871"/>
      <c r="I88" s="871"/>
      <c r="J88" s="871"/>
      <c r="K88" s="916"/>
      <c r="L88" s="917"/>
      <c r="M88" s="918"/>
      <c r="N88" s="2371"/>
      <c r="O88" s="2371"/>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2"/>
      <c r="O89" s="2372"/>
      <c r="P89" s="334"/>
      <c r="Q89" s="846"/>
    </row>
    <row r="90" spans="1:17" ht="15.75" thickTop="1">
      <c r="A90" s="876"/>
      <c r="B90" s="880" t="s">
        <v>506</v>
      </c>
      <c r="C90" s="920" t="s">
        <v>426</v>
      </c>
      <c r="D90" s="920" t="s">
        <v>427</v>
      </c>
      <c r="E90" s="920" t="s">
        <v>428</v>
      </c>
      <c r="F90" s="920" t="s">
        <v>429</v>
      </c>
      <c r="G90" s="920" t="s">
        <v>430</v>
      </c>
      <c r="H90" s="881"/>
      <c r="I90" s="881"/>
      <c r="J90" s="881"/>
      <c r="K90" s="882"/>
      <c r="L90" s="883"/>
      <c r="M90" s="884"/>
      <c r="N90" s="2371"/>
      <c r="O90" s="2371"/>
      <c r="P90" s="334"/>
      <c r="Q90" s="846"/>
    </row>
    <row r="91" spans="1:17" ht="15.75" thickBot="1">
      <c r="A91" s="876"/>
      <c r="B91" s="885"/>
      <c r="C91" s="886">
        <v>100</v>
      </c>
      <c r="D91" s="886">
        <f>C91-$K17</f>
        <v>97</v>
      </c>
      <c r="E91" s="886">
        <f>D91-$K17</f>
        <v>94</v>
      </c>
      <c r="F91" s="886">
        <f>E91-$K17</f>
        <v>91</v>
      </c>
      <c r="G91" s="886">
        <f>F91-$K17</f>
        <v>88</v>
      </c>
      <c r="H91" s="886"/>
      <c r="I91" s="886"/>
      <c r="J91" s="886"/>
      <c r="K91" s="886"/>
      <c r="L91" s="886"/>
      <c r="M91" s="887"/>
      <c r="N91" s="2372"/>
      <c r="O91" s="2372"/>
      <c r="P91" s="334"/>
      <c r="Q91" s="846"/>
    </row>
    <row r="92" spans="1:17" ht="15.75" thickTop="1">
      <c r="A92" s="876"/>
      <c r="B92" s="880" t="s">
        <v>444</v>
      </c>
      <c r="C92" s="920" t="s">
        <v>426</v>
      </c>
      <c r="D92" s="920" t="s">
        <v>427</v>
      </c>
      <c r="E92" s="920" t="s">
        <v>428</v>
      </c>
      <c r="F92" s="920" t="s">
        <v>429</v>
      </c>
      <c r="G92" s="920" t="s">
        <v>430</v>
      </c>
      <c r="H92" s="881"/>
      <c r="I92" s="881"/>
      <c r="J92" s="881"/>
      <c r="K92" s="882"/>
      <c r="L92" s="883"/>
      <c r="M92" s="884"/>
      <c r="N92" s="2371"/>
      <c r="O92" s="2371"/>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2"/>
      <c r="O93" s="2372"/>
      <c r="P93" s="334"/>
      <c r="Q93" s="846"/>
    </row>
    <row r="94" spans="1:17" ht="15.75" thickTop="1">
      <c r="A94" s="876"/>
      <c r="B94" s="880" t="s">
        <v>431</v>
      </c>
      <c r="C94" s="920" t="s">
        <v>426</v>
      </c>
      <c r="D94" s="920" t="s">
        <v>427</v>
      </c>
      <c r="E94" s="920" t="s">
        <v>428</v>
      </c>
      <c r="F94" s="920" t="s">
        <v>429</v>
      </c>
      <c r="G94" s="920" t="s">
        <v>430</v>
      </c>
      <c r="H94" s="881"/>
      <c r="I94" s="881"/>
      <c r="J94" s="881"/>
      <c r="K94" s="882"/>
      <c r="L94" s="883"/>
      <c r="M94" s="884"/>
      <c r="N94" s="2371"/>
      <c r="O94" s="2371"/>
      <c r="P94" s="334"/>
      <c r="Q94" s="846"/>
    </row>
    <row r="95" spans="1:17" ht="15.75" thickBot="1">
      <c r="A95" s="876"/>
      <c r="B95" s="885"/>
      <c r="C95" s="886">
        <v>100</v>
      </c>
      <c r="D95" s="886">
        <f>C95-$K21</f>
        <v>97.5</v>
      </c>
      <c r="E95" s="886">
        <f>D95-$K21</f>
        <v>95</v>
      </c>
      <c r="F95" s="886">
        <f>E95-$K21</f>
        <v>92.5</v>
      </c>
      <c r="G95" s="886">
        <f>F95-$K21</f>
        <v>90</v>
      </c>
      <c r="H95" s="886"/>
      <c r="I95" s="886"/>
      <c r="J95" s="886"/>
      <c r="K95" s="886"/>
      <c r="L95" s="886"/>
      <c r="M95" s="887"/>
      <c r="N95" s="2372"/>
      <c r="O95" s="2372"/>
      <c r="P95" s="334"/>
      <c r="Q95" s="846"/>
    </row>
    <row r="96" spans="1:17" s="407" customFormat="1" ht="27.75" thickTop="1">
      <c r="A96" s="921"/>
      <c r="B96" s="880" t="s">
        <v>507</v>
      </c>
      <c r="C96" s="920" t="s">
        <v>426</v>
      </c>
      <c r="D96" s="920" t="s">
        <v>427</v>
      </c>
      <c r="E96" s="920" t="s">
        <v>428</v>
      </c>
      <c r="F96" s="920" t="s">
        <v>429</v>
      </c>
      <c r="G96" s="920" t="s">
        <v>430</v>
      </c>
      <c r="H96" s="920"/>
      <c r="I96" s="920"/>
      <c r="J96" s="920"/>
      <c r="K96" s="920"/>
      <c r="L96" s="1106"/>
      <c r="M96" s="964"/>
      <c r="N96" s="2370"/>
      <c r="O96" s="2370"/>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72"/>
      <c r="O97" s="2372"/>
      <c r="P97" s="334"/>
      <c r="Q97" s="846"/>
    </row>
    <row r="98" spans="1:17" s="407" customFormat="1" ht="27.75" thickTop="1">
      <c r="A98" s="921"/>
      <c r="B98" s="880" t="s">
        <v>508</v>
      </c>
      <c r="C98" s="915" t="s">
        <v>426</v>
      </c>
      <c r="D98" s="915" t="s">
        <v>427</v>
      </c>
      <c r="E98" s="915" t="s">
        <v>428</v>
      </c>
      <c r="F98" s="915" t="s">
        <v>429</v>
      </c>
      <c r="G98" s="915" t="s">
        <v>430</v>
      </c>
      <c r="H98" s="920"/>
      <c r="I98" s="920"/>
      <c r="J98" s="920"/>
      <c r="K98" s="920"/>
      <c r="L98" s="920"/>
      <c r="M98" s="964"/>
      <c r="N98" s="2370"/>
      <c r="O98" s="2370"/>
      <c r="P98" s="334"/>
      <c r="Q98" s="846"/>
    </row>
    <row r="99" spans="1:17" s="407" customFormat="1" ht="15.75" thickBot="1">
      <c r="A99" s="921"/>
      <c r="B99" s="885"/>
      <c r="C99" s="886">
        <v>100</v>
      </c>
      <c r="D99" s="886">
        <f>C99-$K25</f>
        <v>98</v>
      </c>
      <c r="E99" s="886">
        <f>D99-$K25</f>
        <v>96</v>
      </c>
      <c r="F99" s="886">
        <f>E99-$K25</f>
        <v>94</v>
      </c>
      <c r="G99" s="886">
        <f>F99-$K25</f>
        <v>92</v>
      </c>
      <c r="H99" s="886"/>
      <c r="I99" s="886"/>
      <c r="J99" s="886"/>
      <c r="K99" s="886"/>
      <c r="L99" s="886"/>
      <c r="M99" s="887"/>
      <c r="N99" s="2372"/>
      <c r="O99" s="2372"/>
      <c r="P99" s="334"/>
      <c r="Q99" s="846"/>
    </row>
    <row r="100" spans="1:17" s="813" customFormat="1" ht="15.75" thickTop="1">
      <c r="A100" s="895"/>
      <c r="B100" s="1053" t="s">
        <v>2671</v>
      </c>
      <c r="C100" s="915" t="s">
        <v>426</v>
      </c>
      <c r="D100" s="915" t="s">
        <v>427</v>
      </c>
      <c r="E100" s="915" t="s">
        <v>428</v>
      </c>
      <c r="F100" s="915" t="s">
        <v>429</v>
      </c>
      <c r="G100" s="915" t="s">
        <v>430</v>
      </c>
      <c r="H100" s="942"/>
      <c r="I100" s="942"/>
      <c r="J100" s="942"/>
      <c r="K100" s="942"/>
      <c r="L100" s="943"/>
      <c r="M100" s="944"/>
      <c r="N100" s="2373"/>
      <c r="O100" s="2373"/>
      <c r="P100" s="900"/>
      <c r="Q100" s="901"/>
    </row>
    <row r="101" spans="1:17" s="813" customFormat="1" ht="15.75" thickBot="1">
      <c r="A101" s="895"/>
      <c r="B101" s="885"/>
      <c r="C101" s="886">
        <v>100</v>
      </c>
      <c r="D101" s="886">
        <f>C101-$K27</f>
        <v>98</v>
      </c>
      <c r="E101" s="886">
        <f>D101-$K27</f>
        <v>96</v>
      </c>
      <c r="F101" s="886">
        <f>E101-$K27</f>
        <v>94</v>
      </c>
      <c r="G101" s="886">
        <f>F101-$K27</f>
        <v>92</v>
      </c>
      <c r="H101" s="949"/>
      <c r="I101" s="949"/>
      <c r="J101" s="949"/>
      <c r="K101" s="949"/>
      <c r="L101" s="949"/>
      <c r="M101" s="950"/>
      <c r="N101" s="2373"/>
      <c r="O101" s="2373"/>
      <c r="P101" s="900"/>
      <c r="Q101" s="901"/>
    </row>
    <row r="102" spans="1:17" s="813" customFormat="1" ht="15.75" thickTop="1">
      <c r="A102" s="895"/>
      <c r="B102" s="1055" t="s">
        <v>2658</v>
      </c>
      <c r="C102" s="213" t="s">
        <v>2659</v>
      </c>
      <c r="D102" s="213" t="s">
        <v>2660</v>
      </c>
      <c r="E102" s="213" t="s">
        <v>2661</v>
      </c>
      <c r="F102" s="213" t="s">
        <v>2662</v>
      </c>
      <c r="G102" s="213" t="s">
        <v>2663</v>
      </c>
      <c r="H102" s="942"/>
      <c r="I102" s="942"/>
      <c r="J102" s="942"/>
      <c r="K102" s="942"/>
      <c r="L102" s="942"/>
      <c r="M102" s="2771"/>
      <c r="N102" s="2373"/>
      <c r="O102" s="2373"/>
      <c r="P102" s="900"/>
      <c r="Q102" s="901"/>
    </row>
    <row r="103" spans="1:17" s="813" customFormat="1" ht="15.75" thickBot="1">
      <c r="A103" s="895"/>
      <c r="B103" s="1055"/>
      <c r="C103" s="886">
        <v>100</v>
      </c>
      <c r="D103" s="886">
        <f>C103-$K29</f>
        <v>98.5</v>
      </c>
      <c r="E103" s="886">
        <f>D103-$K29</f>
        <v>97</v>
      </c>
      <c r="F103" s="886">
        <f>E103-$K29</f>
        <v>95.5</v>
      </c>
      <c r="G103" s="886">
        <f>F103-$K29</f>
        <v>94</v>
      </c>
      <c r="H103" s="890"/>
      <c r="I103" s="890"/>
      <c r="J103" s="890"/>
      <c r="K103" s="890"/>
      <c r="L103" s="890"/>
      <c r="M103" s="2771"/>
      <c r="N103" s="2373"/>
      <c r="O103" s="2373"/>
      <c r="P103" s="900"/>
      <c r="Q103" s="901"/>
    </row>
    <row r="104" spans="1:17" ht="15.75" thickTop="1">
      <c r="A104" s="876"/>
      <c r="B104" s="1053" t="str">
        <f>B31</f>
        <v>临街状况</v>
      </c>
      <c r="C104" s="881" t="s">
        <v>509</v>
      </c>
      <c r="D104" s="881" t="s">
        <v>510</v>
      </c>
      <c r="E104" s="881" t="s">
        <v>511</v>
      </c>
      <c r="F104" s="881" t="s">
        <v>512</v>
      </c>
      <c r="G104" s="881"/>
      <c r="H104" s="881"/>
      <c r="I104" s="881"/>
      <c r="J104" s="881"/>
      <c r="K104" s="882"/>
      <c r="L104" s="883"/>
      <c r="M104" s="884"/>
      <c r="N104" s="2371"/>
      <c r="O104" s="2371"/>
      <c r="P104" s="334"/>
      <c r="Q104" s="846"/>
    </row>
    <row r="105" spans="1:17" ht="15.75" thickBot="1">
      <c r="A105" s="876"/>
      <c r="B105" s="885"/>
      <c r="C105" s="886">
        <v>100</v>
      </c>
      <c r="D105" s="886">
        <f>C105-$K31</f>
        <v>99</v>
      </c>
      <c r="E105" s="886">
        <f t="shared" ref="E105:M105" si="22">D105-$K31</f>
        <v>98</v>
      </c>
      <c r="F105" s="886">
        <f t="shared" si="22"/>
        <v>97</v>
      </c>
      <c r="G105" s="886">
        <f t="shared" si="22"/>
        <v>96</v>
      </c>
      <c r="H105" s="886">
        <f t="shared" si="22"/>
        <v>95</v>
      </c>
      <c r="I105" s="886">
        <f t="shared" si="22"/>
        <v>94</v>
      </c>
      <c r="J105" s="886">
        <f t="shared" si="22"/>
        <v>93</v>
      </c>
      <c r="K105" s="886">
        <f t="shared" si="22"/>
        <v>92</v>
      </c>
      <c r="L105" s="886">
        <f t="shared" si="22"/>
        <v>91</v>
      </c>
      <c r="M105" s="886">
        <f t="shared" si="22"/>
        <v>90</v>
      </c>
      <c r="N105" s="2372"/>
      <c r="O105" s="2372"/>
      <c r="P105" s="334"/>
      <c r="Q105" s="846"/>
    </row>
    <row r="106" spans="1:17" ht="27.75" thickTop="1">
      <c r="A106" s="876"/>
      <c r="B106" s="880" t="s">
        <v>443</v>
      </c>
      <c r="C106" s="139" t="s">
        <v>3206</v>
      </c>
      <c r="D106" s="139" t="s">
        <v>3207</v>
      </c>
      <c r="E106" s="139" t="s">
        <v>3208</v>
      </c>
      <c r="F106" s="139" t="s">
        <v>3209</v>
      </c>
      <c r="G106" s="139" t="s">
        <v>3210</v>
      </c>
      <c r="H106" s="131"/>
      <c r="I106" s="131"/>
      <c r="J106" s="131"/>
      <c r="K106" s="132"/>
      <c r="L106" s="133"/>
      <c r="M106" s="134"/>
      <c r="N106" s="2371"/>
      <c r="O106" s="2371"/>
      <c r="P106" s="334"/>
      <c r="Q106" s="846"/>
    </row>
    <row r="107" spans="1:17" ht="15.75" thickBot="1">
      <c r="A107" s="876"/>
      <c r="B107" s="885"/>
      <c r="C107" s="886">
        <v>100</v>
      </c>
      <c r="D107" s="886">
        <f>C107-$K32</f>
        <v>99</v>
      </c>
      <c r="E107" s="886">
        <f t="shared" ref="E107:M107" si="23">D107-$K32</f>
        <v>98</v>
      </c>
      <c r="F107" s="886">
        <f t="shared" si="23"/>
        <v>97</v>
      </c>
      <c r="G107" s="886">
        <f t="shared" si="23"/>
        <v>96</v>
      </c>
      <c r="H107" s="886">
        <f t="shared" si="23"/>
        <v>95</v>
      </c>
      <c r="I107" s="886">
        <f t="shared" si="23"/>
        <v>94</v>
      </c>
      <c r="J107" s="886">
        <f t="shared" si="23"/>
        <v>93</v>
      </c>
      <c r="K107" s="886">
        <f t="shared" si="23"/>
        <v>92</v>
      </c>
      <c r="L107" s="886">
        <f t="shared" si="23"/>
        <v>91</v>
      </c>
      <c r="M107" s="886">
        <f t="shared" si="23"/>
        <v>90</v>
      </c>
      <c r="N107" s="2372"/>
      <c r="O107" s="2372"/>
      <c r="P107" s="334"/>
      <c r="Q107" s="846"/>
    </row>
    <row r="108" spans="1:17" ht="15.75" thickTop="1">
      <c r="A108" s="876"/>
      <c r="B108" s="880" t="s">
        <v>486</v>
      </c>
      <c r="C108" s="131"/>
      <c r="D108" s="131"/>
      <c r="E108" s="131"/>
      <c r="F108" s="131"/>
      <c r="G108" s="131"/>
      <c r="H108" s="131"/>
      <c r="I108" s="131"/>
      <c r="J108" s="131"/>
      <c r="K108" s="132"/>
      <c r="L108" s="133"/>
      <c r="M108" s="134"/>
      <c r="N108" s="2371"/>
      <c r="O108" s="2371"/>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2"/>
      <c r="O109" s="2372"/>
      <c r="P109" s="334"/>
      <c r="Q109" s="846"/>
    </row>
    <row r="110" spans="1:17" ht="15.75" thickTop="1">
      <c r="A110" s="876"/>
      <c r="B110" s="888">
        <f>B35</f>
        <v>0</v>
      </c>
      <c r="C110" s="139"/>
      <c r="D110" s="139"/>
      <c r="E110" s="139"/>
      <c r="F110" s="139"/>
      <c r="G110" s="135"/>
      <c r="H110" s="135"/>
      <c r="I110" s="135"/>
      <c r="J110" s="135"/>
      <c r="K110" s="136"/>
      <c r="L110" s="137"/>
      <c r="M110" s="138"/>
      <c r="N110" s="2371"/>
      <c r="O110" s="2371"/>
      <c r="P110" s="334"/>
      <c r="Q110" s="846"/>
    </row>
    <row r="111" spans="1:17" ht="15.75" thickBot="1">
      <c r="A111" s="876"/>
      <c r="B111" s="911"/>
      <c r="C111" s="902"/>
      <c r="D111" s="902"/>
      <c r="E111" s="902"/>
      <c r="F111" s="902"/>
      <c r="G111" s="933"/>
      <c r="H111" s="933"/>
      <c r="I111" s="933"/>
      <c r="J111" s="933"/>
      <c r="K111" s="933"/>
      <c r="L111" s="933"/>
      <c r="M111" s="934"/>
      <c r="N111" s="2372"/>
      <c r="O111" s="2372"/>
      <c r="P111" s="334"/>
      <c r="Q111" s="846"/>
    </row>
    <row r="112" spans="1:17" ht="15" thickTop="1">
      <c r="A112" s="1083"/>
      <c r="B112" s="880">
        <f>B36</f>
        <v>0</v>
      </c>
      <c r="C112" s="140"/>
      <c r="D112" s="140"/>
      <c r="E112" s="140"/>
      <c r="F112" s="140"/>
      <c r="G112" s="131"/>
      <c r="H112" s="131"/>
      <c r="I112" s="131"/>
      <c r="J112" s="131"/>
      <c r="K112" s="132"/>
      <c r="L112" s="133"/>
      <c r="M112" s="134"/>
      <c r="N112" s="2371"/>
      <c r="O112" s="2371"/>
      <c r="P112" s="334"/>
      <c r="Q112" s="846"/>
    </row>
    <row r="113" spans="1:17" ht="15.75" thickBot="1">
      <c r="A113" s="876"/>
      <c r="B113" s="885"/>
      <c r="C113" s="912"/>
      <c r="D113" s="912"/>
      <c r="E113" s="912"/>
      <c r="F113" s="912"/>
      <c r="G113" s="878"/>
      <c r="H113" s="878"/>
      <c r="I113" s="878"/>
      <c r="J113" s="878"/>
      <c r="K113" s="878"/>
      <c r="L113" s="878"/>
      <c r="M113" s="879"/>
      <c r="N113" s="2372"/>
      <c r="O113" s="2372"/>
      <c r="P113" s="334"/>
      <c r="Q113" s="846"/>
    </row>
    <row r="114" spans="1:17" s="813" customFormat="1" ht="15" thickTop="1">
      <c r="A114" s="935"/>
      <c r="B114" s="936">
        <f>B37</f>
        <v>0</v>
      </c>
      <c r="C114" s="1074"/>
      <c r="D114" s="1074"/>
      <c r="E114" s="1074"/>
      <c r="F114" s="1074"/>
      <c r="G114" s="1074"/>
      <c r="H114" s="1074"/>
      <c r="I114" s="1074"/>
      <c r="J114" s="1075"/>
      <c r="K114" s="1075"/>
      <c r="L114" s="1076"/>
      <c r="M114" s="1077"/>
      <c r="N114" s="2373"/>
      <c r="O114" s="2373"/>
      <c r="P114" s="900"/>
      <c r="Q114" s="901"/>
    </row>
    <row r="115" spans="1:17" s="813" customFormat="1" ht="15.75" thickBot="1">
      <c r="A115" s="895"/>
      <c r="B115" s="888"/>
      <c r="C115" s="854"/>
      <c r="D115" s="1085"/>
      <c r="E115" s="1085"/>
      <c r="F115" s="1085"/>
      <c r="G115" s="1085"/>
      <c r="H115" s="1085"/>
      <c r="I115" s="1085"/>
      <c r="J115" s="1085"/>
      <c r="K115" s="1085"/>
      <c r="L115" s="1085"/>
      <c r="M115" s="1107"/>
      <c r="N115" s="2372"/>
      <c r="O115" s="2372"/>
      <c r="P115" s="900"/>
      <c r="Q115" s="901"/>
    </row>
    <row r="116" spans="1:17">
      <c r="A116" s="869" t="s">
        <v>409</v>
      </c>
      <c r="B116" s="870" t="s">
        <v>513</v>
      </c>
      <c r="C116" s="3327" t="str">
        <f t="shared" ref="C116" si="25">C117&amp;"(含)"&amp;"-"&amp;D117</f>
        <v>0(含)-5000</v>
      </c>
      <c r="D116" s="3327" t="str">
        <f t="shared" ref="D116" si="26">D117&amp;"(含)"&amp;"-"&amp;E117</f>
        <v>5000(含)-10000</v>
      </c>
      <c r="E116" s="3327" t="str">
        <f t="shared" ref="E116" si="27">E117&amp;"(含)"&amp;"-"&amp;F117</f>
        <v>10000(含)-15000</v>
      </c>
      <c r="F116" s="3327" t="str">
        <f t="shared" ref="F116" si="28">F117&amp;"(含)"&amp;"-"&amp;G117</f>
        <v>15000(含)-20000</v>
      </c>
      <c r="G116" s="3327" t="str">
        <f t="shared" ref="G116" si="29">G117&amp;"(含)"&amp;"-"&amp;H117</f>
        <v>20000(含)-25000</v>
      </c>
      <c r="H116" s="3327" t="str">
        <f t="shared" ref="H116" si="30">H117&amp;"(含)"&amp;"-"&amp;I117</f>
        <v>25000(含)-30000</v>
      </c>
      <c r="I116" s="3327" t="str">
        <f t="shared" ref="I116" si="31">I117&amp;"(含)"&amp;"-"&amp;J117</f>
        <v>30000(含)-</v>
      </c>
      <c r="J116" s="3327" t="str">
        <f t="shared" ref="J116" si="32">J117&amp;"(含)"&amp;"-"&amp;K117</f>
        <v>(含)-</v>
      </c>
      <c r="K116" s="3327" t="str">
        <f t="shared" ref="K116" si="33">K117&amp;"(含)"&amp;"-"&amp;L117</f>
        <v>(含)-</v>
      </c>
      <c r="L116" s="3327" t="str">
        <f t="shared" ref="L116" si="34">L117&amp;"(含)"&amp;"-"&amp;M117</f>
        <v>(含)-</v>
      </c>
      <c r="M116" s="3327" t="str">
        <f t="shared" ref="M116" si="35">M117&amp;"(含)"&amp;"-"&amp;N117</f>
        <v>(含)-</v>
      </c>
      <c r="N116" s="2371"/>
      <c r="O116" s="2371"/>
      <c r="P116" s="334"/>
      <c r="Q116" s="846"/>
    </row>
    <row r="117" spans="1:17" ht="15">
      <c r="A117" s="876"/>
      <c r="B117" s="888"/>
      <c r="C117" s="937">
        <v>0</v>
      </c>
      <c r="D117" s="937">
        <v>5000</v>
      </c>
      <c r="E117" s="937">
        <v>10000</v>
      </c>
      <c r="F117" s="937">
        <v>15000</v>
      </c>
      <c r="G117" s="937">
        <v>20000</v>
      </c>
      <c r="H117" s="937">
        <v>25000</v>
      </c>
      <c r="I117" s="937">
        <v>30000</v>
      </c>
      <c r="J117" s="938"/>
      <c r="K117" s="938"/>
      <c r="L117" s="939"/>
      <c r="M117" s="940"/>
      <c r="N117" s="2371"/>
      <c r="O117" s="2371"/>
      <c r="P117" s="334"/>
      <c r="Q117" s="846"/>
    </row>
    <row r="118" spans="1:17" ht="15.75" thickBot="1">
      <c r="A118" s="876"/>
      <c r="B118" s="885"/>
      <c r="C118" s="912">
        <v>100</v>
      </c>
      <c r="D118" s="933">
        <v>100.5</v>
      </c>
      <c r="E118" s="933">
        <v>101</v>
      </c>
      <c r="F118" s="933">
        <v>101.5</v>
      </c>
      <c r="G118" s="933">
        <v>102</v>
      </c>
      <c r="H118" s="933">
        <v>102.5</v>
      </c>
      <c r="I118" s="933">
        <v>103</v>
      </c>
      <c r="J118" s="933"/>
      <c r="K118" s="933"/>
      <c r="L118" s="933"/>
      <c r="M118" s="934"/>
      <c r="N118" s="2372"/>
      <c r="O118" s="2372"/>
      <c r="P118" s="334"/>
      <c r="Q118" s="846"/>
    </row>
    <row r="119" spans="1:17" ht="15" thickTop="1">
      <c r="A119" s="941"/>
      <c r="B119" s="880" t="s">
        <v>514</v>
      </c>
      <c r="C119" s="131" t="s">
        <v>3211</v>
      </c>
      <c r="D119" s="131" t="s">
        <v>3212</v>
      </c>
      <c r="E119" s="131" t="s">
        <v>3213</v>
      </c>
      <c r="F119" s="131" t="s">
        <v>3214</v>
      </c>
      <c r="G119" s="131"/>
      <c r="H119" s="131"/>
      <c r="I119" s="131"/>
      <c r="J119" s="131"/>
      <c r="K119" s="132"/>
      <c r="L119" s="133"/>
      <c r="M119" s="134"/>
      <c r="N119" s="2371"/>
      <c r="O119" s="2371"/>
      <c r="P119" s="334"/>
      <c r="Q119" s="846"/>
    </row>
    <row r="120" spans="1:17" ht="15.75" thickBot="1">
      <c r="A120" s="876"/>
      <c r="B120" s="885"/>
      <c r="C120" s="886">
        <v>100</v>
      </c>
      <c r="D120" s="886">
        <f t="shared" ref="D120:M120" si="36">C120-$K39</f>
        <v>99</v>
      </c>
      <c r="E120" s="886">
        <f t="shared" si="36"/>
        <v>98</v>
      </c>
      <c r="F120" s="886">
        <f t="shared" si="36"/>
        <v>97</v>
      </c>
      <c r="G120" s="886">
        <f t="shared" si="36"/>
        <v>96</v>
      </c>
      <c r="H120" s="886">
        <f t="shared" si="36"/>
        <v>95</v>
      </c>
      <c r="I120" s="886">
        <f t="shared" si="36"/>
        <v>94</v>
      </c>
      <c r="J120" s="886">
        <f t="shared" si="36"/>
        <v>93</v>
      </c>
      <c r="K120" s="886">
        <f t="shared" si="36"/>
        <v>92</v>
      </c>
      <c r="L120" s="886">
        <f t="shared" si="36"/>
        <v>91</v>
      </c>
      <c r="M120" s="887">
        <f t="shared" si="36"/>
        <v>90</v>
      </c>
      <c r="N120" s="2372"/>
      <c r="O120" s="2372"/>
      <c r="P120" s="334"/>
      <c r="Q120" s="846"/>
    </row>
    <row r="121" spans="1:17" ht="15" thickTop="1">
      <c r="A121" s="941"/>
      <c r="B121" s="880" t="s">
        <v>515</v>
      </c>
      <c r="C121" s="139" t="s">
        <v>3215</v>
      </c>
      <c r="D121" s="139" t="s">
        <v>3216</v>
      </c>
      <c r="E121" s="139" t="s">
        <v>3217</v>
      </c>
      <c r="F121" s="131"/>
      <c r="G121" s="131"/>
      <c r="H121" s="131"/>
      <c r="I121" s="131"/>
      <c r="J121" s="131"/>
      <c r="K121" s="132"/>
      <c r="L121" s="133"/>
      <c r="M121" s="134"/>
      <c r="N121" s="2371"/>
      <c r="O121" s="2371"/>
      <c r="P121" s="334"/>
      <c r="Q121" s="846"/>
    </row>
    <row r="122" spans="1:17" ht="15.75" thickBot="1">
      <c r="A122" s="876"/>
      <c r="B122" s="885"/>
      <c r="C122" s="886">
        <v>100</v>
      </c>
      <c r="D122" s="886">
        <f t="shared" ref="D122:M122" si="37">C122-$K40</f>
        <v>99</v>
      </c>
      <c r="E122" s="886">
        <f t="shared" si="37"/>
        <v>98</v>
      </c>
      <c r="F122" s="886">
        <f t="shared" si="37"/>
        <v>97</v>
      </c>
      <c r="G122" s="886">
        <f t="shared" si="37"/>
        <v>96</v>
      </c>
      <c r="H122" s="886">
        <f t="shared" si="37"/>
        <v>95</v>
      </c>
      <c r="I122" s="886">
        <f t="shared" si="37"/>
        <v>94</v>
      </c>
      <c r="J122" s="886">
        <f t="shared" si="37"/>
        <v>93</v>
      </c>
      <c r="K122" s="886">
        <f t="shared" si="37"/>
        <v>92</v>
      </c>
      <c r="L122" s="886">
        <f t="shared" si="37"/>
        <v>91</v>
      </c>
      <c r="M122" s="887">
        <f t="shared" si="37"/>
        <v>90</v>
      </c>
      <c r="N122" s="2372"/>
      <c r="O122" s="2372"/>
      <c r="P122" s="334"/>
      <c r="Q122" s="846"/>
    </row>
    <row r="123" spans="1:17" s="813" customFormat="1" ht="15" thickTop="1">
      <c r="A123" s="935"/>
      <c r="B123" s="1053" t="s">
        <v>2503</v>
      </c>
      <c r="C123" s="139" t="s">
        <v>3218</v>
      </c>
      <c r="D123" s="139" t="s">
        <v>3219</v>
      </c>
      <c r="E123" s="139" t="s">
        <v>3220</v>
      </c>
      <c r="F123" s="139" t="s">
        <v>3221</v>
      </c>
      <c r="G123" s="139" t="s">
        <v>3222</v>
      </c>
      <c r="H123" s="131"/>
      <c r="I123" s="131"/>
      <c r="J123" s="131"/>
      <c r="K123" s="132"/>
      <c r="L123" s="133"/>
      <c r="M123" s="134"/>
      <c r="N123" s="2373"/>
      <c r="O123" s="2373"/>
      <c r="P123" s="900"/>
      <c r="Q123" s="901"/>
    </row>
    <row r="124" spans="1:17" s="813" customFormat="1" ht="15.75" thickBot="1">
      <c r="A124" s="895"/>
      <c r="B124" s="885"/>
      <c r="C124" s="886">
        <v>100</v>
      </c>
      <c r="D124" s="886">
        <f>C124-$K41</f>
        <v>99</v>
      </c>
      <c r="E124" s="886">
        <f t="shared" ref="E124:M124" si="38">D124-$K41</f>
        <v>98</v>
      </c>
      <c r="F124" s="886">
        <f t="shared" si="38"/>
        <v>97</v>
      </c>
      <c r="G124" s="886">
        <f t="shared" si="38"/>
        <v>96</v>
      </c>
      <c r="H124" s="886">
        <f t="shared" si="38"/>
        <v>95</v>
      </c>
      <c r="I124" s="886">
        <f t="shared" si="38"/>
        <v>94</v>
      </c>
      <c r="J124" s="886">
        <f t="shared" si="38"/>
        <v>93</v>
      </c>
      <c r="K124" s="886">
        <f t="shared" si="38"/>
        <v>92</v>
      </c>
      <c r="L124" s="886">
        <f t="shared" si="38"/>
        <v>91</v>
      </c>
      <c r="M124" s="887">
        <f t="shared" si="38"/>
        <v>90</v>
      </c>
      <c r="N124" s="2373"/>
      <c r="O124" s="2373"/>
      <c r="P124" s="900"/>
      <c r="Q124" s="901"/>
    </row>
    <row r="125" spans="1:17" ht="15" thickTop="1">
      <c r="A125" s="941"/>
      <c r="B125" s="880" t="s">
        <v>516</v>
      </c>
      <c r="C125" s="139" t="s">
        <v>3223</v>
      </c>
      <c r="D125" s="139" t="s">
        <v>3224</v>
      </c>
      <c r="E125" s="131" t="s">
        <v>3225</v>
      </c>
      <c r="F125" s="131" t="s">
        <v>3226</v>
      </c>
      <c r="G125" s="131" t="s">
        <v>3227</v>
      </c>
      <c r="H125" s="131"/>
      <c r="I125" s="131"/>
      <c r="J125" s="131"/>
      <c r="K125" s="132"/>
      <c r="L125" s="133"/>
      <c r="M125" s="134"/>
      <c r="N125" s="2371"/>
      <c r="O125" s="2371"/>
      <c r="P125" s="334"/>
      <c r="Q125" s="846"/>
    </row>
    <row r="126" spans="1:17" ht="15.75" thickBot="1">
      <c r="A126" s="876"/>
      <c r="B126" s="885"/>
      <c r="C126" s="886">
        <v>100</v>
      </c>
      <c r="D126" s="886">
        <f t="shared" ref="D126:M126" si="39">C126-$K42</f>
        <v>99</v>
      </c>
      <c r="E126" s="886">
        <f t="shared" si="39"/>
        <v>98</v>
      </c>
      <c r="F126" s="886">
        <f t="shared" si="39"/>
        <v>97</v>
      </c>
      <c r="G126" s="886">
        <f t="shared" si="39"/>
        <v>96</v>
      </c>
      <c r="H126" s="886">
        <f t="shared" si="39"/>
        <v>95</v>
      </c>
      <c r="I126" s="886">
        <f t="shared" si="39"/>
        <v>94</v>
      </c>
      <c r="J126" s="886">
        <f t="shared" si="39"/>
        <v>93</v>
      </c>
      <c r="K126" s="886">
        <f t="shared" si="39"/>
        <v>92</v>
      </c>
      <c r="L126" s="886">
        <f t="shared" si="39"/>
        <v>91</v>
      </c>
      <c r="M126" s="887">
        <f t="shared" si="39"/>
        <v>90</v>
      </c>
      <c r="N126" s="2372"/>
      <c r="O126" s="2372"/>
      <c r="P126" s="334"/>
      <c r="Q126" s="846"/>
    </row>
    <row r="127" spans="1:17" ht="15" thickTop="1">
      <c r="A127" s="941"/>
      <c r="B127" s="880">
        <f>B43</f>
        <v>0</v>
      </c>
      <c r="C127" s="139"/>
      <c r="D127" s="139"/>
      <c r="E127" s="139"/>
      <c r="F127" s="139"/>
      <c r="G127" s="139"/>
      <c r="H127" s="131"/>
      <c r="I127" s="131"/>
      <c r="J127" s="131"/>
      <c r="K127" s="132"/>
      <c r="L127" s="133"/>
      <c r="M127" s="134"/>
      <c r="N127" s="2371"/>
      <c r="O127" s="2371"/>
      <c r="P127" s="334"/>
      <c r="Q127" s="846"/>
    </row>
    <row r="128" spans="1:17" ht="15.75" thickBot="1">
      <c r="A128" s="876"/>
      <c r="B128" s="885"/>
      <c r="C128" s="902"/>
      <c r="D128" s="902"/>
      <c r="E128" s="902"/>
      <c r="F128" s="902"/>
      <c r="G128" s="878"/>
      <c r="H128" s="878"/>
      <c r="I128" s="878"/>
      <c r="J128" s="878"/>
      <c r="K128" s="878"/>
      <c r="L128" s="878"/>
      <c r="M128" s="879"/>
      <c r="N128" s="2372"/>
      <c r="O128" s="2372"/>
      <c r="P128" s="334"/>
      <c r="Q128" s="846"/>
    </row>
    <row r="129" spans="1:17" ht="15" thickTop="1">
      <c r="A129" s="941"/>
      <c r="B129" s="880">
        <f>B44</f>
        <v>0</v>
      </c>
      <c r="C129" s="140"/>
      <c r="D129" s="140"/>
      <c r="E129" s="140"/>
      <c r="F129" s="140"/>
      <c r="G129" s="131"/>
      <c r="H129" s="131"/>
      <c r="I129" s="131"/>
      <c r="J129" s="131"/>
      <c r="K129" s="132"/>
      <c r="L129" s="133"/>
      <c r="M129" s="134"/>
      <c r="N129" s="2371"/>
      <c r="O129" s="2371"/>
      <c r="P129" s="334"/>
      <c r="Q129" s="846"/>
    </row>
    <row r="130" spans="1:17" ht="15.75" thickBot="1">
      <c r="A130" s="876"/>
      <c r="B130" s="885"/>
      <c r="C130" s="912"/>
      <c r="D130" s="912"/>
      <c r="E130" s="912"/>
      <c r="F130" s="912"/>
      <c r="G130" s="878"/>
      <c r="H130" s="878"/>
      <c r="I130" s="878"/>
      <c r="J130" s="878"/>
      <c r="K130" s="878"/>
      <c r="L130" s="878"/>
      <c r="M130" s="879"/>
      <c r="N130" s="2372"/>
      <c r="O130" s="2372"/>
      <c r="P130" s="334"/>
      <c r="Q130" s="846"/>
    </row>
    <row r="131" spans="1:17" s="813" customFormat="1" ht="15" thickTop="1">
      <c r="A131" s="935"/>
      <c r="B131" s="880">
        <f>B45</f>
        <v>0</v>
      </c>
      <c r="C131" s="140"/>
      <c r="D131" s="140"/>
      <c r="E131" s="140"/>
      <c r="F131" s="140"/>
      <c r="G131" s="1058"/>
      <c r="H131" s="1058"/>
      <c r="I131" s="1058"/>
      <c r="J131" s="1058"/>
      <c r="K131" s="1058"/>
      <c r="L131" s="1059"/>
      <c r="M131" s="1060"/>
      <c r="N131" s="2373"/>
      <c r="O131" s="2373"/>
      <c r="P131" s="900"/>
      <c r="Q131" s="901"/>
    </row>
    <row r="132" spans="1:17" s="813" customFormat="1" ht="15.75" thickBot="1">
      <c r="A132" s="910"/>
      <c r="B132" s="1108"/>
      <c r="C132" s="912"/>
      <c r="D132" s="912"/>
      <c r="E132" s="912"/>
      <c r="F132" s="912"/>
      <c r="G132" s="933"/>
      <c r="H132" s="933"/>
      <c r="I132" s="933"/>
      <c r="J132" s="933"/>
      <c r="K132" s="933"/>
      <c r="L132" s="933"/>
      <c r="M132" s="934"/>
      <c r="N132" s="2373"/>
      <c r="O132" s="2373"/>
      <c r="P132" s="900"/>
      <c r="Q132" s="901"/>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0" priority="14" stopIfTrue="1" operator="containsText" text="超过">
      <formula>NOT(ISERROR(SEARCH("超过",F51)))</formula>
    </cfRule>
  </conditionalFormatting>
  <conditionalFormatting sqref="J53">
    <cfRule type="containsText" dxfId="39" priority="13" stopIfTrue="1" operator="containsText" text="超过">
      <formula>NOT(ISERROR(SEARCH("超过",J53)))</formula>
    </cfRule>
  </conditionalFormatting>
  <conditionalFormatting sqref="H53">
    <cfRule type="containsText" dxfId="38" priority="12" stopIfTrue="1" operator="containsText" text="超过">
      <formula>NOT(ISERROR(SEARCH("超过",H53)))</formula>
    </cfRule>
  </conditionalFormatting>
  <conditionalFormatting sqref="F53">
    <cfRule type="containsText" dxfId="37" priority="11" stopIfTrue="1" operator="containsText" text="超过">
      <formula>NOT(ISERROR(SEARCH("超过",F53)))</formula>
    </cfRule>
  </conditionalFormatting>
  <conditionalFormatting sqref="F52 H52 J52">
    <cfRule type="containsText" dxfId="36" priority="10" stopIfTrue="1" operator="containsText" text="超过">
      <formula>NOT(ISERROR(SEARCH("超过",F52)))</formula>
    </cfRule>
  </conditionalFormatting>
  <conditionalFormatting sqref="E51">
    <cfRule type="expression" dxfId="35" priority="9" stopIfTrue="1">
      <formula>$F$51="超过30%"</formula>
    </cfRule>
  </conditionalFormatting>
  <conditionalFormatting sqref="G53">
    <cfRule type="expression" dxfId="34" priority="8" stopIfTrue="1">
      <formula>$H$53="超过30%"</formula>
    </cfRule>
  </conditionalFormatting>
  <conditionalFormatting sqref="E52">
    <cfRule type="expression" dxfId="33" priority="7" stopIfTrue="1">
      <formula>$F$52="超过20%"</formula>
    </cfRule>
  </conditionalFormatting>
  <conditionalFormatting sqref="E53">
    <cfRule type="expression" dxfId="32" priority="6" stopIfTrue="1">
      <formula>$F$53="超过30%"</formula>
    </cfRule>
  </conditionalFormatting>
  <conditionalFormatting sqref="G51">
    <cfRule type="expression" dxfId="31" priority="5" stopIfTrue="1">
      <formula>$H$53+$H$51="超过30%"</formula>
    </cfRule>
  </conditionalFormatting>
  <conditionalFormatting sqref="G52">
    <cfRule type="expression" dxfId="30" priority="4" stopIfTrue="1">
      <formula>$H$52="超过20%"</formula>
    </cfRule>
  </conditionalFormatting>
  <conditionalFormatting sqref="I51">
    <cfRule type="expression" dxfId="29" priority="3" stopIfTrue="1">
      <formula>$J$51="超过30%"</formula>
    </cfRule>
  </conditionalFormatting>
  <conditionalFormatting sqref="I52">
    <cfRule type="expression" dxfId="28" priority="2" stopIfTrue="1">
      <formula>$J$52="超过20%"</formula>
    </cfRule>
  </conditionalFormatting>
  <conditionalFormatting sqref="I53">
    <cfRule type="expression" dxfId="2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2"/>
      <c r="E1" s="1302"/>
      <c r="F1" s="1301" t="s">
        <v>390</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346</v>
      </c>
      <c r="B2" s="1079" t="e">
        <f>F61</f>
        <v>#DIV/0!</v>
      </c>
      <c r="C2" s="2344"/>
      <c r="D2" s="2344"/>
      <c r="E2" s="2344"/>
      <c r="F2" s="2345"/>
      <c r="G2" s="2344"/>
      <c r="H2" s="2344"/>
      <c r="I2" s="2344"/>
      <c r="J2" s="2344"/>
      <c r="K2" s="2346"/>
      <c r="L2" s="2347"/>
      <c r="M2" s="2348"/>
      <c r="N2" s="2348"/>
      <c r="O2" s="2348"/>
      <c r="P2" s="1315"/>
      <c r="Q2" s="1315"/>
      <c r="R2" s="1315"/>
      <c r="S2" s="1315"/>
      <c r="T2" s="1315"/>
      <c r="U2" s="1315"/>
      <c r="V2" s="1315"/>
      <c r="W2" s="1315"/>
      <c r="X2" s="1315"/>
      <c r="Y2" s="1315"/>
      <c r="Z2" s="1315"/>
      <c r="AA2" s="1315"/>
      <c r="AB2" s="1315"/>
      <c r="AC2" s="1316"/>
    </row>
    <row r="3" spans="1:29" s="741" customFormat="1" ht="28.5" customHeight="1" thickBot="1">
      <c r="A3" s="579" t="s">
        <v>347</v>
      </c>
      <c r="B3" s="951" t="e">
        <f>ROUND(IF(D3="",B2*10000/'数据-汇总表'!E3,B2*10000/D3),0)</f>
        <v>#DIV/0!</v>
      </c>
      <c r="C3" s="579" t="s">
        <v>2891</v>
      </c>
      <c r="D3" s="3058"/>
      <c r="E3" s="2344"/>
      <c r="F3" s="2345"/>
      <c r="G3" s="2344"/>
      <c r="H3" s="2344"/>
      <c r="I3" s="2344"/>
      <c r="J3" s="2344"/>
      <c r="K3" s="2346"/>
      <c r="L3" s="2347"/>
      <c r="M3" s="2348"/>
      <c r="N3" s="2348"/>
      <c r="O3" s="2348"/>
      <c r="P3" s="1315"/>
      <c r="Q3" s="1315"/>
      <c r="R3" s="1315"/>
      <c r="S3" s="1315"/>
      <c r="T3" s="1315"/>
      <c r="U3" s="1315"/>
      <c r="V3" s="1315"/>
      <c r="W3" s="1315"/>
      <c r="X3" s="1315"/>
      <c r="Y3" s="1315"/>
      <c r="Z3" s="1315"/>
      <c r="AA3" s="1315"/>
      <c r="AB3" s="1408"/>
      <c r="AC3" s="1398"/>
    </row>
    <row r="4" spans="1:29" ht="15">
      <c r="A4" s="744" t="s">
        <v>391</v>
      </c>
      <c r="B4" s="745"/>
      <c r="C4" s="3635" t="s">
        <v>392</v>
      </c>
      <c r="D4" s="3636"/>
      <c r="E4" s="3637" t="s">
        <v>393</v>
      </c>
      <c r="F4" s="3638"/>
      <c r="G4" s="3635" t="s">
        <v>394</v>
      </c>
      <c r="H4" s="3636"/>
      <c r="I4" s="3635" t="s">
        <v>395</v>
      </c>
      <c r="J4" s="3636"/>
      <c r="K4" s="952" t="s">
        <v>396</v>
      </c>
      <c r="L4" s="2349"/>
      <c r="M4" s="2350"/>
      <c r="N4" s="2350"/>
      <c r="O4" s="2350"/>
      <c r="P4" s="3639" t="s">
        <v>397</v>
      </c>
      <c r="Q4" s="3640"/>
      <c r="R4" s="3622" t="s">
        <v>393</v>
      </c>
      <c r="S4" s="3623"/>
      <c r="T4" s="3622" t="s">
        <v>394</v>
      </c>
      <c r="U4" s="3623"/>
      <c r="V4" s="3647" t="s">
        <v>395</v>
      </c>
      <c r="W4" s="3647"/>
      <c r="X4" s="1317"/>
      <c r="Y4" s="3622" t="s">
        <v>397</v>
      </c>
      <c r="Z4" s="3623"/>
      <c r="AA4" s="3617" t="s">
        <v>393</v>
      </c>
      <c r="AB4" s="3618" t="s">
        <v>394</v>
      </c>
      <c r="AC4" s="3617" t="s">
        <v>395</v>
      </c>
    </row>
    <row r="5" spans="1:29" ht="15">
      <c r="A5" s="747"/>
      <c r="B5" s="748"/>
      <c r="C5" s="3566" t="s">
        <v>1129</v>
      </c>
      <c r="D5" s="3567"/>
      <c r="E5" s="3564" t="s">
        <v>1130</v>
      </c>
      <c r="F5" s="3565"/>
      <c r="G5" s="3566" t="s">
        <v>1133</v>
      </c>
      <c r="H5" s="3567"/>
      <c r="I5" s="3566" t="s">
        <v>1131</v>
      </c>
      <c r="J5" s="3567"/>
      <c r="K5" s="952"/>
      <c r="L5" s="2349"/>
      <c r="M5" s="2350"/>
      <c r="N5" s="2350"/>
      <c r="O5" s="2350"/>
      <c r="P5" s="3641"/>
      <c r="Q5" s="3642"/>
      <c r="R5" s="3624"/>
      <c r="S5" s="3625"/>
      <c r="T5" s="3624"/>
      <c r="U5" s="3625"/>
      <c r="V5" s="3647"/>
      <c r="W5" s="3647"/>
      <c r="X5" s="1317"/>
      <c r="Y5" s="3624"/>
      <c r="Z5" s="3625"/>
      <c r="AA5" s="3618"/>
      <c r="AB5" s="3618"/>
      <c r="AC5" s="3618"/>
    </row>
    <row r="6" spans="1:29" ht="15.75" thickBot="1">
      <c r="A6" s="749"/>
      <c r="B6" s="750"/>
      <c r="C6" s="3664" t="s">
        <v>1132</v>
      </c>
      <c r="D6" s="3665"/>
      <c r="E6" s="3666" t="s">
        <v>1132</v>
      </c>
      <c r="F6" s="3667"/>
      <c r="G6" s="3664" t="s">
        <v>1132</v>
      </c>
      <c r="H6" s="3665"/>
      <c r="I6" s="3664" t="s">
        <v>1132</v>
      </c>
      <c r="J6" s="3665"/>
      <c r="K6" s="952" t="s">
        <v>398</v>
      </c>
      <c r="L6" s="2349"/>
      <c r="M6" s="2350"/>
      <c r="N6" s="2350"/>
      <c r="O6" s="2350"/>
      <c r="P6" s="3643"/>
      <c r="Q6" s="3644"/>
      <c r="R6" s="3624"/>
      <c r="S6" s="3625"/>
      <c r="T6" s="3645"/>
      <c r="U6" s="3646"/>
      <c r="V6" s="3647"/>
      <c r="W6" s="3647"/>
      <c r="X6" s="1317"/>
      <c r="Y6" s="3645"/>
      <c r="Z6" s="3646"/>
      <c r="AA6" s="3619"/>
      <c r="AB6" s="3619"/>
      <c r="AC6" s="3619"/>
    </row>
    <row r="7" spans="1:29" s="407" customFormat="1" ht="15.75" thickBot="1">
      <c r="A7" s="751" t="s">
        <v>399</v>
      </c>
      <c r="B7" s="752"/>
      <c r="C7" s="753">
        <f>'数据-取费表'!B2</f>
        <v>42928</v>
      </c>
      <c r="D7" s="754">
        <v>100</v>
      </c>
      <c r="E7" s="1016"/>
      <c r="F7" s="756">
        <f>SUMIF(65:65,YEAR(E7)&amp;"-"&amp;INT((MONTH(E7)+2)/3),66:66)</f>
        <v>0</v>
      </c>
      <c r="G7" s="1017"/>
      <c r="H7" s="754">
        <f>SUMIF(65:65,YEAR(G7)&amp;"-"&amp;INT((MONTH(G7)+2)/3),66:66)</f>
        <v>0</v>
      </c>
      <c r="I7" s="1017"/>
      <c r="J7" s="754">
        <f>SUMIF(65:65,YEAR(I7)&amp;"-"&amp;INT((MONTH(I7)+2)/3),66:66)</f>
        <v>0</v>
      </c>
      <c r="K7" s="953"/>
      <c r="L7" s="2351"/>
      <c r="M7" s="2352"/>
      <c r="N7" s="2352"/>
      <c r="O7" s="2352"/>
      <c r="P7" s="3620" t="s">
        <v>400</v>
      </c>
      <c r="Q7" s="3648"/>
      <c r="R7" s="1318" t="s">
        <v>65</v>
      </c>
      <c r="S7" s="1319">
        <f t="shared" ref="S7:S15" si="0">F7</f>
        <v>0</v>
      </c>
      <c r="T7" s="1318" t="s">
        <v>65</v>
      </c>
      <c r="U7" s="1319">
        <f t="shared" ref="U7:U15" si="1">H7</f>
        <v>0</v>
      </c>
      <c r="V7" s="1318" t="s">
        <v>65</v>
      </c>
      <c r="W7" s="1319">
        <f t="shared" ref="W7:W15" si="2">J7</f>
        <v>0</v>
      </c>
      <c r="X7" s="1320"/>
      <c r="Y7" s="3620" t="s">
        <v>400</v>
      </c>
      <c r="Z7" s="3621"/>
      <c r="AA7" s="1321" t="e">
        <f>D7/F7</f>
        <v>#DIV/0!</v>
      </c>
      <c r="AB7" s="1321" t="e">
        <f>D7/H7</f>
        <v>#DIV/0!</v>
      </c>
      <c r="AC7" s="1321" t="e">
        <f>D7/J7</f>
        <v>#DIV/0!</v>
      </c>
    </row>
    <row r="8" spans="1:29" s="407" customFormat="1" ht="15.75" thickBot="1">
      <c r="A8" s="751" t="s">
        <v>401</v>
      </c>
      <c r="B8" s="752"/>
      <c r="C8" s="1019" t="s">
        <v>155</v>
      </c>
      <c r="D8" s="754">
        <v>100</v>
      </c>
      <c r="E8" s="1019"/>
      <c r="F8" s="756">
        <f>SUMIF(68:68,E8,69:69)-SUMIF(68:68,C8,69:69)+100</f>
        <v>0</v>
      </c>
      <c r="G8" s="1019"/>
      <c r="H8" s="754">
        <f>SUMIF(68:68,G8,69:69)-SUMIF(68:68,C8,69:69)+100</f>
        <v>0</v>
      </c>
      <c r="I8" s="1019"/>
      <c r="J8" s="754">
        <f>SUMIF(68:68,I8,69:69)-SUMIF(68:68,C8,69:69)+100</f>
        <v>0</v>
      </c>
      <c r="K8" s="953"/>
      <c r="L8" s="2351"/>
      <c r="M8" s="2352"/>
      <c r="N8" s="2352"/>
      <c r="O8" s="2352"/>
      <c r="P8" s="3620" t="s">
        <v>436</v>
      </c>
      <c r="Q8" s="3621"/>
      <c r="R8" s="1318" t="s">
        <v>65</v>
      </c>
      <c r="S8" s="1319">
        <f t="shared" si="0"/>
        <v>0</v>
      </c>
      <c r="T8" s="1318" t="s">
        <v>65</v>
      </c>
      <c r="U8" s="1319">
        <f t="shared" si="1"/>
        <v>0</v>
      </c>
      <c r="V8" s="1318" t="s">
        <v>65</v>
      </c>
      <c r="W8" s="1319">
        <f t="shared" si="2"/>
        <v>0</v>
      </c>
      <c r="X8" s="1320"/>
      <c r="Y8" s="3620" t="s">
        <v>436</v>
      </c>
      <c r="Z8" s="3621"/>
      <c r="AA8" s="1321" t="e">
        <f t="shared" ref="AA8:AA40" si="3">D8/F8</f>
        <v>#DIV/0!</v>
      </c>
      <c r="AB8" s="1321" t="e">
        <f t="shared" ref="AB8:AB40" si="4">D8/H8</f>
        <v>#DIV/0!</v>
      </c>
      <c r="AC8" s="1321" t="e">
        <f t="shared" ref="AC8:AC40" si="5">D8/J8</f>
        <v>#DIV/0!</v>
      </c>
    </row>
    <row r="9" spans="1:29" s="407" customFormat="1">
      <c r="A9" s="758" t="s">
        <v>402</v>
      </c>
      <c r="B9" s="361" t="s">
        <v>420</v>
      </c>
      <c r="C9" s="1021"/>
      <c r="D9" s="425">
        <v>100</v>
      </c>
      <c r="E9" s="1021"/>
      <c r="F9" s="425">
        <f>SUMIF(70:70,E9,71:71)-SUMIF(70:70,C9,71:71)+100</f>
        <v>100</v>
      </c>
      <c r="G9" s="1021"/>
      <c r="H9" s="425">
        <f>SUMIF(70:70,G9,71:71)-SUMIF(70:70,C9,71:71)+100</f>
        <v>100</v>
      </c>
      <c r="I9" s="1021"/>
      <c r="J9" s="425">
        <f>SUMIF(70:70,I9,71:71)-SUMIF(70:70,C9,71:71)+100</f>
        <v>100</v>
      </c>
      <c r="K9" s="953"/>
      <c r="L9" s="2351"/>
      <c r="M9" s="2352"/>
      <c r="N9" s="2352"/>
      <c r="O9" s="2353"/>
      <c r="P9" s="3634" t="s">
        <v>403</v>
      </c>
      <c r="Q9" s="296" t="str">
        <f t="shared" ref="Q9:Q15" si="6">B9</f>
        <v>用途</v>
      </c>
      <c r="R9" s="1318" t="s">
        <v>65</v>
      </c>
      <c r="S9" s="1319">
        <f t="shared" si="0"/>
        <v>100</v>
      </c>
      <c r="T9" s="1318" t="s">
        <v>65</v>
      </c>
      <c r="U9" s="1319">
        <f t="shared" si="1"/>
        <v>100</v>
      </c>
      <c r="V9" s="1318" t="s">
        <v>65</v>
      </c>
      <c r="W9" s="1319">
        <f t="shared" si="2"/>
        <v>100</v>
      </c>
      <c r="X9" s="1320"/>
      <c r="Y9" s="3505" t="s">
        <v>404</v>
      </c>
      <c r="Z9" s="344" t="str">
        <f t="shared" ref="Z9:Z15" si="7">Q9</f>
        <v>用途</v>
      </c>
      <c r="AA9" s="1321">
        <f t="shared" si="3"/>
        <v>1</v>
      </c>
      <c r="AB9" s="1321">
        <f t="shared" si="4"/>
        <v>1</v>
      </c>
      <c r="AC9" s="1321">
        <f t="shared" si="5"/>
        <v>1</v>
      </c>
    </row>
    <row r="10" spans="1:29" s="770" customFormat="1" ht="27">
      <c r="A10" s="764"/>
      <c r="B10" s="765" t="s">
        <v>405</v>
      </c>
      <c r="C10" s="1023"/>
      <c r="D10" s="426">
        <v>100</v>
      </c>
      <c r="E10" s="1023"/>
      <c r="F10" s="426">
        <f>ROUND(100/'数据-取费表'!G16,0)</f>
        <v>110</v>
      </c>
      <c r="G10" s="1023"/>
      <c r="H10" s="426">
        <f>ROUND(100/'数据-取费表'!G16,0)</f>
        <v>110</v>
      </c>
      <c r="I10" s="1023"/>
      <c r="J10" s="426">
        <f>ROUND(100/'数据-取费表'!G16,0)</f>
        <v>110</v>
      </c>
      <c r="K10" s="1080"/>
      <c r="L10" s="2354"/>
      <c r="M10" s="2355"/>
      <c r="N10" s="2355"/>
      <c r="O10" s="2356"/>
      <c r="P10" s="3634"/>
      <c r="Q10" s="296" t="str">
        <f t="shared" si="6"/>
        <v>土地使用年限（年）</v>
      </c>
      <c r="R10" s="1318" t="s">
        <v>65</v>
      </c>
      <c r="S10" s="1319">
        <f t="shared" si="0"/>
        <v>110</v>
      </c>
      <c r="T10" s="1318" t="s">
        <v>65</v>
      </c>
      <c r="U10" s="1319">
        <f t="shared" si="1"/>
        <v>110</v>
      </c>
      <c r="V10" s="1318" t="s">
        <v>65</v>
      </c>
      <c r="W10" s="1319">
        <f t="shared" si="2"/>
        <v>110</v>
      </c>
      <c r="X10" s="1320"/>
      <c r="Y10" s="3505"/>
      <c r="Z10" s="344" t="str">
        <f t="shared" si="7"/>
        <v>土地使用年限（年）</v>
      </c>
      <c r="AA10" s="1321">
        <f t="shared" si="3"/>
        <v>0.90909090909090906</v>
      </c>
      <c r="AB10" s="1321">
        <f t="shared" si="4"/>
        <v>0.90909090909090906</v>
      </c>
      <c r="AC10" s="1321">
        <f t="shared" si="5"/>
        <v>0.90909090909090906</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1"/>
      <c r="L11" s="2357"/>
      <c r="M11" s="2350"/>
      <c r="N11" s="2350"/>
      <c r="O11" s="2358"/>
      <c r="P11" s="3634"/>
      <c r="Q11" s="296" t="str">
        <f t="shared" si="6"/>
        <v>容积率</v>
      </c>
      <c r="R11" s="1318" t="s">
        <v>65</v>
      </c>
      <c r="S11" s="1319" t="e">
        <f t="shared" si="0"/>
        <v>#N/A</v>
      </c>
      <c r="T11" s="1318" t="s">
        <v>65</v>
      </c>
      <c r="U11" s="1319" t="e">
        <f t="shared" si="1"/>
        <v>#N/A</v>
      </c>
      <c r="V11" s="1318" t="s">
        <v>65</v>
      </c>
      <c r="W11" s="1319" t="e">
        <f t="shared" si="2"/>
        <v>#N/A</v>
      </c>
      <c r="X11" s="1320"/>
      <c r="Y11" s="3505"/>
      <c r="Z11" s="344" t="str">
        <f t="shared" si="7"/>
        <v>容积率</v>
      </c>
      <c r="AA11" s="1321" t="e">
        <f t="shared" si="3"/>
        <v>#N/A</v>
      </c>
      <c r="AB11" s="1321" t="e">
        <f t="shared" si="4"/>
        <v>#N/A</v>
      </c>
      <c r="AC11" s="1321" t="e">
        <f t="shared" si="5"/>
        <v>#N/A</v>
      </c>
    </row>
    <row r="12" spans="1:29" s="407" customFormat="1" ht="15">
      <c r="A12" s="774"/>
      <c r="B12" s="1030">
        <v>111</v>
      </c>
      <c r="C12" s="1023"/>
      <c r="D12" s="776">
        <v>100</v>
      </c>
      <c r="E12" s="126"/>
      <c r="F12" s="426">
        <f>SUMIF(77:77,E12,78:78)-SUMIF(77:77,C12,78:78)+100</f>
        <v>100</v>
      </c>
      <c r="G12" s="203"/>
      <c r="H12" s="426">
        <f>SUMIF(77:77,G12,78:78)-SUMIF(77:77,C12,78:78)+100</f>
        <v>100</v>
      </c>
      <c r="I12" s="126"/>
      <c r="J12" s="426">
        <f>SUMIF(77:77,I12,78:78)-SUMIF(77:77,C12,78:78)+100</f>
        <v>100</v>
      </c>
      <c r="K12" s="1080"/>
      <c r="L12" s="2351"/>
      <c r="M12" s="2352"/>
      <c r="N12" s="2352"/>
      <c r="O12" s="2353"/>
      <c r="P12" s="3634"/>
      <c r="Q12" s="296">
        <f t="shared" si="6"/>
        <v>111</v>
      </c>
      <c r="R12" s="1318" t="s">
        <v>65</v>
      </c>
      <c r="S12" s="1319">
        <f t="shared" si="0"/>
        <v>100</v>
      </c>
      <c r="T12" s="1318" t="s">
        <v>65</v>
      </c>
      <c r="U12" s="1319">
        <f t="shared" si="1"/>
        <v>100</v>
      </c>
      <c r="V12" s="1318" t="s">
        <v>65</v>
      </c>
      <c r="W12" s="1319">
        <f t="shared" si="2"/>
        <v>100</v>
      </c>
      <c r="X12" s="1320"/>
      <c r="Y12" s="3505"/>
      <c r="Z12" s="344">
        <f t="shared" si="7"/>
        <v>111</v>
      </c>
      <c r="AA12" s="1321">
        <f>D12/F12</f>
        <v>1</v>
      </c>
      <c r="AB12" s="1321">
        <f>D12/H12</f>
        <v>1</v>
      </c>
      <c r="AC12" s="1321">
        <f>D12/J12</f>
        <v>1</v>
      </c>
    </row>
    <row r="13" spans="1:29" ht="15">
      <c r="A13" s="771"/>
      <c r="B13" s="1030">
        <v>111</v>
      </c>
      <c r="C13" s="93"/>
      <c r="D13" s="778">
        <v>100</v>
      </c>
      <c r="E13" s="126"/>
      <c r="F13" s="426">
        <f>SUMIF(79:79,E13,80:80)-SUMIF(79:79,C13,80:80)+100</f>
        <v>100</v>
      </c>
      <c r="G13" s="203"/>
      <c r="H13" s="778">
        <f>SUMIF(79:79,G13,80:80)-SUMIF(79:79,C13,80:80)+100</f>
        <v>100</v>
      </c>
      <c r="I13" s="126"/>
      <c r="J13" s="778">
        <f>SUMIF(79:79,I13,80:80)-SUMIF(79:79,C13,80:80)+100</f>
        <v>100</v>
      </c>
      <c r="K13" s="1080"/>
      <c r="L13" s="2359"/>
      <c r="M13" s="2350"/>
      <c r="N13" s="2350"/>
      <c r="O13" s="2358"/>
      <c r="P13" s="3634"/>
      <c r="Q13" s="296">
        <f t="shared" si="6"/>
        <v>111</v>
      </c>
      <c r="R13" s="1318" t="s">
        <v>65</v>
      </c>
      <c r="S13" s="1319">
        <f t="shared" si="0"/>
        <v>100</v>
      </c>
      <c r="T13" s="1318" t="s">
        <v>65</v>
      </c>
      <c r="U13" s="1319">
        <f t="shared" si="1"/>
        <v>100</v>
      </c>
      <c r="V13" s="1318" t="s">
        <v>65</v>
      </c>
      <c r="W13" s="1319">
        <f t="shared" si="2"/>
        <v>100</v>
      </c>
      <c r="X13" s="1320"/>
      <c r="Y13" s="3505"/>
      <c r="Z13" s="344">
        <f t="shared" si="7"/>
        <v>111</v>
      </c>
      <c r="AA13" s="1321">
        <f t="shared" si="3"/>
        <v>1</v>
      </c>
      <c r="AB13" s="1321">
        <f t="shared" si="4"/>
        <v>1</v>
      </c>
      <c r="AC13" s="1321">
        <f t="shared" si="5"/>
        <v>1</v>
      </c>
    </row>
    <row r="14" spans="1:29" ht="15.75" thickBot="1">
      <c r="A14" s="779"/>
      <c r="B14" s="1031">
        <v>111</v>
      </c>
      <c r="C14" s="94"/>
      <c r="D14" s="781">
        <v>100</v>
      </c>
      <c r="E14" s="126"/>
      <c r="F14" s="781">
        <f>SUMIF(81:81,E14,82:82)-SUMIF(81:81,C14,82:82)+100</f>
        <v>100</v>
      </c>
      <c r="G14" s="203"/>
      <c r="H14" s="781">
        <f>SUMIF(81:81,G14,82:82)-SUMIF(81:81,C14,82:82)+100</f>
        <v>100</v>
      </c>
      <c r="I14" s="126"/>
      <c r="J14" s="781">
        <f>SUMIF(81:81,I14,82:82)-SUMIF(81:81,C14,82:82)+100</f>
        <v>100</v>
      </c>
      <c r="K14" s="1080"/>
      <c r="L14" s="2359"/>
      <c r="M14" s="2350"/>
      <c r="N14" s="2350"/>
      <c r="O14" s="2358"/>
      <c r="P14" s="3634"/>
      <c r="Q14" s="296">
        <f t="shared" si="6"/>
        <v>111</v>
      </c>
      <c r="R14" s="1318" t="s">
        <v>65</v>
      </c>
      <c r="S14" s="1319">
        <f t="shared" si="0"/>
        <v>100</v>
      </c>
      <c r="T14" s="1318" t="s">
        <v>65</v>
      </c>
      <c r="U14" s="1319">
        <f t="shared" si="1"/>
        <v>100</v>
      </c>
      <c r="V14" s="1318" t="s">
        <v>65</v>
      </c>
      <c r="W14" s="1319">
        <f t="shared" si="2"/>
        <v>100</v>
      </c>
      <c r="X14" s="1320"/>
      <c r="Y14" s="3505"/>
      <c r="Z14" s="344">
        <f t="shared" si="7"/>
        <v>111</v>
      </c>
      <c r="AA14" s="1321">
        <f t="shared" si="3"/>
        <v>1</v>
      </c>
      <c r="AB14" s="1321">
        <f t="shared" si="4"/>
        <v>1</v>
      </c>
      <c r="AC14" s="1321">
        <f t="shared" si="5"/>
        <v>1</v>
      </c>
    </row>
    <row r="15" spans="1:29" ht="67.5">
      <c r="A15" s="783" t="s">
        <v>407</v>
      </c>
      <c r="B15" s="971"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1"/>
      <c r="L15" s="2359"/>
      <c r="M15" s="2350"/>
      <c r="N15" s="2350"/>
      <c r="O15" s="2358"/>
      <c r="P15" s="3649" t="s">
        <v>408</v>
      </c>
      <c r="Q15" s="1322" t="str">
        <f t="shared" si="6"/>
        <v>产业集聚程度</v>
      </c>
      <c r="R15" s="1323" t="s">
        <v>65</v>
      </c>
      <c r="S15" s="1324">
        <f t="shared" si="0"/>
        <v>100</v>
      </c>
      <c r="T15" s="1323" t="s">
        <v>65</v>
      </c>
      <c r="U15" s="1324">
        <f t="shared" si="1"/>
        <v>100</v>
      </c>
      <c r="V15" s="1323" t="s">
        <v>65</v>
      </c>
      <c r="W15" s="1324">
        <f t="shared" si="2"/>
        <v>100</v>
      </c>
      <c r="X15" s="1317"/>
      <c r="Y15" s="3649" t="s">
        <v>408</v>
      </c>
      <c r="Z15" s="1325" t="str">
        <f t="shared" si="7"/>
        <v>产业集聚程度</v>
      </c>
      <c r="AA15" s="1326">
        <f t="shared" si="3"/>
        <v>1</v>
      </c>
      <c r="AB15" s="1326">
        <f t="shared" si="4"/>
        <v>1</v>
      </c>
      <c r="AC15" s="1326">
        <f t="shared" si="5"/>
        <v>1</v>
      </c>
    </row>
    <row r="16" spans="1:29" ht="15">
      <c r="A16" s="771"/>
      <c r="B16" s="972"/>
      <c r="C16" s="97"/>
      <c r="D16" s="791"/>
      <c r="E16" s="192"/>
      <c r="F16" s="791"/>
      <c r="G16" s="192"/>
      <c r="H16" s="793"/>
      <c r="I16" s="192"/>
      <c r="J16" s="791"/>
      <c r="K16" s="1080"/>
      <c r="L16" s="2359"/>
      <c r="M16" s="2350"/>
      <c r="N16" s="2350"/>
      <c r="O16" s="2358"/>
      <c r="P16" s="3650"/>
      <c r="Q16" s="1322"/>
      <c r="R16" s="1323"/>
      <c r="S16" s="1324"/>
      <c r="T16" s="1323"/>
      <c r="U16" s="1324"/>
      <c r="V16" s="1323"/>
      <c r="W16" s="1324"/>
      <c r="X16" s="1317"/>
      <c r="Y16" s="3650"/>
      <c r="Z16" s="1325"/>
      <c r="AA16" s="1326">
        <v>1</v>
      </c>
      <c r="AB16" s="1326">
        <v>1</v>
      </c>
      <c r="AC16" s="1326">
        <v>1</v>
      </c>
    </row>
    <row r="17" spans="1:29" ht="94.5">
      <c r="A17" s="771"/>
      <c r="B17" s="973"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1"/>
      <c r="L17" s="2359"/>
      <c r="M17" s="2350"/>
      <c r="N17" s="2350"/>
      <c r="O17" s="2358"/>
      <c r="P17" s="3650"/>
      <c r="Q17" s="1322" t="str">
        <f>B17</f>
        <v>交通便捷度</v>
      </c>
      <c r="R17" s="1323" t="s">
        <v>65</v>
      </c>
      <c r="S17" s="1324">
        <f>F17</f>
        <v>100</v>
      </c>
      <c r="T17" s="1323" t="s">
        <v>65</v>
      </c>
      <c r="U17" s="1324">
        <f>H17</f>
        <v>100</v>
      </c>
      <c r="V17" s="1323" t="s">
        <v>65</v>
      </c>
      <c r="W17" s="1324">
        <f>J17</f>
        <v>100</v>
      </c>
      <c r="X17" s="1317"/>
      <c r="Y17" s="3650"/>
      <c r="Z17" s="1325" t="str">
        <f>Q17</f>
        <v>交通便捷度</v>
      </c>
      <c r="AA17" s="1326">
        <f t="shared" si="3"/>
        <v>1</v>
      </c>
      <c r="AB17" s="1326">
        <f t="shared" si="4"/>
        <v>1</v>
      </c>
      <c r="AC17" s="1326">
        <f t="shared" si="5"/>
        <v>1</v>
      </c>
    </row>
    <row r="18" spans="1:29" ht="15">
      <c r="A18" s="771"/>
      <c r="B18" s="974"/>
      <c r="C18" s="97"/>
      <c r="D18" s="791"/>
      <c r="E18" s="98"/>
      <c r="F18" s="791"/>
      <c r="G18" s="98"/>
      <c r="H18" s="791"/>
      <c r="I18" s="99"/>
      <c r="J18" s="791"/>
      <c r="K18" s="1080"/>
      <c r="L18" s="2359"/>
      <c r="M18" s="2350"/>
      <c r="N18" s="2350"/>
      <c r="O18" s="2358"/>
      <c r="P18" s="3650"/>
      <c r="Q18" s="1322"/>
      <c r="R18" s="1323"/>
      <c r="S18" s="1324"/>
      <c r="T18" s="1323"/>
      <c r="U18" s="1324"/>
      <c r="V18" s="1323"/>
      <c r="W18" s="1324"/>
      <c r="X18" s="1317"/>
      <c r="Y18" s="3650"/>
      <c r="Z18" s="1325"/>
      <c r="AA18" s="1326">
        <v>1</v>
      </c>
      <c r="AB18" s="1326">
        <v>1</v>
      </c>
      <c r="AC18" s="1326">
        <v>1</v>
      </c>
    </row>
    <row r="19" spans="1:29" ht="27">
      <c r="A19" s="771"/>
      <c r="B19" s="973" t="s">
        <v>1851</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1"/>
      <c r="L19" s="2359"/>
      <c r="M19" s="2350"/>
      <c r="N19" s="2350"/>
      <c r="O19" s="2358"/>
      <c r="P19" s="3650"/>
      <c r="Q19" s="1322" t="str">
        <f t="shared" ref="Q19:Q33" si="8">B19</f>
        <v>区域土地利用方向</v>
      </c>
      <c r="R19" s="1323" t="s">
        <v>65</v>
      </c>
      <c r="S19" s="1324">
        <f>F19</f>
        <v>100</v>
      </c>
      <c r="T19" s="1323" t="s">
        <v>65</v>
      </c>
      <c r="U19" s="1324">
        <f>H19</f>
        <v>100</v>
      </c>
      <c r="V19" s="1323" t="s">
        <v>65</v>
      </c>
      <c r="W19" s="1324">
        <f>J19</f>
        <v>100</v>
      </c>
      <c r="X19" s="1317"/>
      <c r="Y19" s="3650"/>
      <c r="Z19" s="1325" t="str">
        <f>Q19</f>
        <v>区域土地利用方向</v>
      </c>
      <c r="AA19" s="1326">
        <f t="shared" si="3"/>
        <v>1</v>
      </c>
      <c r="AB19" s="1326">
        <f t="shared" si="4"/>
        <v>1</v>
      </c>
      <c r="AC19" s="1326">
        <f t="shared" si="5"/>
        <v>1</v>
      </c>
    </row>
    <row r="20" spans="1:29" ht="15">
      <c r="A20" s="747"/>
      <c r="B20" s="974"/>
      <c r="C20" s="97"/>
      <c r="D20" s="791"/>
      <c r="E20" s="98"/>
      <c r="F20" s="791"/>
      <c r="G20" s="98"/>
      <c r="H20" s="791"/>
      <c r="I20" s="98"/>
      <c r="J20" s="791"/>
      <c r="K20" s="1485"/>
      <c r="L20" s="2359"/>
      <c r="M20" s="2350"/>
      <c r="N20" s="2350"/>
      <c r="O20" s="2358"/>
      <c r="P20" s="3650"/>
      <c r="Q20" s="1469"/>
      <c r="R20" s="1323"/>
      <c r="S20" s="1324"/>
      <c r="T20" s="1323"/>
      <c r="U20" s="1324"/>
      <c r="V20" s="1323"/>
      <c r="W20" s="1324"/>
      <c r="X20" s="1468"/>
      <c r="Y20" s="3650"/>
      <c r="Z20" s="1470"/>
      <c r="AA20" s="1326"/>
      <c r="AB20" s="1326"/>
      <c r="AC20" s="1326"/>
    </row>
    <row r="21" spans="1:29" ht="81">
      <c r="A21" s="747"/>
      <c r="B21" s="973"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1"/>
      <c r="L21" s="2359"/>
      <c r="M21" s="2350"/>
      <c r="N21" s="2350"/>
      <c r="O21" s="2358"/>
      <c r="P21" s="3650"/>
      <c r="Q21" s="1322" t="str">
        <f t="shared" si="8"/>
        <v>环境状况</v>
      </c>
      <c r="R21" s="1323" t="s">
        <v>65</v>
      </c>
      <c r="S21" s="1324">
        <f>F21</f>
        <v>100</v>
      </c>
      <c r="T21" s="1323" t="s">
        <v>65</v>
      </c>
      <c r="U21" s="1324">
        <f>H21</f>
        <v>100</v>
      </c>
      <c r="V21" s="1323" t="s">
        <v>65</v>
      </c>
      <c r="W21" s="1324">
        <f>J21</f>
        <v>100</v>
      </c>
      <c r="X21" s="1317"/>
      <c r="Y21" s="3650"/>
      <c r="Z21" s="1325" t="str">
        <f>Q21</f>
        <v>环境状况</v>
      </c>
      <c r="AA21" s="1326">
        <f t="shared" si="3"/>
        <v>1</v>
      </c>
      <c r="AB21" s="1326">
        <f t="shared" si="4"/>
        <v>1</v>
      </c>
      <c r="AC21" s="1326">
        <f t="shared" si="5"/>
        <v>1</v>
      </c>
    </row>
    <row r="22" spans="1:29" ht="15">
      <c r="A22" s="747"/>
      <c r="B22" s="974"/>
      <c r="C22" s="97"/>
      <c r="D22" s="791"/>
      <c r="E22" s="192"/>
      <c r="F22" s="791"/>
      <c r="G22" s="192"/>
      <c r="H22" s="791"/>
      <c r="I22" s="97"/>
      <c r="J22" s="791"/>
      <c r="K22" s="1080"/>
      <c r="L22" s="2359"/>
      <c r="M22" s="2350"/>
      <c r="N22" s="2350"/>
      <c r="O22" s="2358"/>
      <c r="P22" s="3650"/>
      <c r="Q22" s="1322"/>
      <c r="R22" s="1323"/>
      <c r="S22" s="1324"/>
      <c r="T22" s="1323"/>
      <c r="U22" s="1324"/>
      <c r="V22" s="1323"/>
      <c r="W22" s="1324"/>
      <c r="X22" s="1317"/>
      <c r="Y22" s="3650"/>
      <c r="Z22" s="1325"/>
      <c r="AA22" s="1326">
        <v>1</v>
      </c>
      <c r="AB22" s="1326">
        <v>1</v>
      </c>
      <c r="AC22" s="1326">
        <v>1</v>
      </c>
    </row>
    <row r="23" spans="1:29" s="407" customFormat="1" ht="40.5">
      <c r="A23" s="991"/>
      <c r="B23" s="1035" t="s">
        <v>2671</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1"/>
      <c r="L23" s="2351"/>
      <c r="M23" s="2352"/>
      <c r="N23" s="2352"/>
      <c r="O23" s="2353"/>
      <c r="P23" s="3650"/>
      <c r="Q23" s="296" t="str">
        <f t="shared" si="8"/>
        <v>公共配套设施</v>
      </c>
      <c r="R23" s="1318" t="s">
        <v>65</v>
      </c>
      <c r="S23" s="1319">
        <f>F23</f>
        <v>100</v>
      </c>
      <c r="T23" s="1318" t="s">
        <v>65</v>
      </c>
      <c r="U23" s="1319">
        <f>H23</f>
        <v>100</v>
      </c>
      <c r="V23" s="1318" t="s">
        <v>65</v>
      </c>
      <c r="W23" s="1319">
        <f>J23</f>
        <v>100</v>
      </c>
      <c r="X23" s="1320"/>
      <c r="Y23" s="3650"/>
      <c r="Z23" s="344" t="str">
        <f>Q23</f>
        <v>公共配套设施</v>
      </c>
      <c r="AA23" s="1326">
        <f>D23/F23</f>
        <v>1</v>
      </c>
      <c r="AB23" s="1326">
        <f>D23/H23</f>
        <v>1</v>
      </c>
      <c r="AC23" s="1326">
        <f>D23/J23</f>
        <v>1</v>
      </c>
    </row>
    <row r="24" spans="1:29" s="407" customFormat="1" ht="15">
      <c r="A24" s="991"/>
      <c r="B24" s="974"/>
      <c r="C24" s="2776"/>
      <c r="D24" s="791"/>
      <c r="E24" s="192"/>
      <c r="F24" s="791"/>
      <c r="G24" s="192"/>
      <c r="H24" s="791"/>
      <c r="I24" s="97"/>
      <c r="J24" s="791"/>
      <c r="K24" s="1080"/>
      <c r="L24" s="2351"/>
      <c r="M24" s="2352"/>
      <c r="N24" s="2352"/>
      <c r="O24" s="2353"/>
      <c r="P24" s="3650"/>
      <c r="Q24" s="296"/>
      <c r="R24" s="1318"/>
      <c r="S24" s="1319"/>
      <c r="T24" s="1318"/>
      <c r="U24" s="1319"/>
      <c r="V24" s="1318"/>
      <c r="W24" s="1319"/>
      <c r="X24" s="1320"/>
      <c r="Y24" s="3650"/>
      <c r="Z24" s="344"/>
      <c r="AA24" s="1321">
        <v>1</v>
      </c>
      <c r="AB24" s="1321">
        <v>1</v>
      </c>
      <c r="AC24" s="1321">
        <v>1</v>
      </c>
    </row>
    <row r="25" spans="1:29" s="407" customFormat="1" ht="40.5">
      <c r="A25" s="991"/>
      <c r="B25" s="1035" t="s">
        <v>2672</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1"/>
      <c r="L25" s="2351"/>
      <c r="M25" s="2352"/>
      <c r="N25" s="2352"/>
      <c r="O25" s="2353"/>
      <c r="P25" s="3650"/>
      <c r="Q25" s="2745" t="str">
        <f t="shared" ref="Q25" si="9">B25</f>
        <v>基础设施水平</v>
      </c>
      <c r="R25" s="1318" t="s">
        <v>65</v>
      </c>
      <c r="S25" s="1319">
        <f>F25</f>
        <v>100</v>
      </c>
      <c r="T25" s="1318" t="s">
        <v>65</v>
      </c>
      <c r="U25" s="1319">
        <f>H25</f>
        <v>100</v>
      </c>
      <c r="V25" s="1318" t="s">
        <v>65</v>
      </c>
      <c r="W25" s="1319">
        <f>J25</f>
        <v>100</v>
      </c>
      <c r="X25" s="1320"/>
      <c r="Y25" s="3650"/>
      <c r="Z25" s="344" t="str">
        <f>Q25</f>
        <v>基础设施水平</v>
      </c>
      <c r="AA25" s="1326">
        <f>D25/F25</f>
        <v>1</v>
      </c>
      <c r="AB25" s="1326">
        <f>D25/H25</f>
        <v>1</v>
      </c>
      <c r="AC25" s="1326">
        <f>D25/J25</f>
        <v>1</v>
      </c>
    </row>
    <row r="26" spans="1:29" s="407" customFormat="1" ht="15">
      <c r="A26" s="991"/>
      <c r="B26" s="974"/>
      <c r="C26" s="2776"/>
      <c r="D26" s="791"/>
      <c r="E26" s="1036"/>
      <c r="F26" s="791"/>
      <c r="G26" s="1036"/>
      <c r="H26" s="791"/>
      <c r="I26" s="1036"/>
      <c r="J26" s="791"/>
      <c r="K26" s="1080"/>
      <c r="L26" s="2351"/>
      <c r="M26" s="2352"/>
      <c r="N26" s="2352"/>
      <c r="O26" s="2353"/>
      <c r="P26" s="3650"/>
      <c r="Q26" s="2745"/>
      <c r="R26" s="1318"/>
      <c r="S26" s="1319"/>
      <c r="T26" s="1318"/>
      <c r="U26" s="1319"/>
      <c r="V26" s="1318"/>
      <c r="W26" s="1319"/>
      <c r="X26" s="1320"/>
      <c r="Y26" s="3650"/>
      <c r="Z26" s="344"/>
      <c r="AA26" s="1321">
        <v>1</v>
      </c>
      <c r="AB26" s="1321">
        <v>1</v>
      </c>
      <c r="AC26" s="1321">
        <v>1</v>
      </c>
    </row>
    <row r="27" spans="1:29" ht="15">
      <c r="A27" s="771"/>
      <c r="B27" s="974" t="s">
        <v>438</v>
      </c>
      <c r="C27" s="182"/>
      <c r="D27" s="778">
        <v>100</v>
      </c>
      <c r="E27" s="195"/>
      <c r="F27" s="778">
        <f>SUMIF(95:95,E27,96:96)-SUMIF(95:95,C27,96:96)+100</f>
        <v>100</v>
      </c>
      <c r="G27" s="195"/>
      <c r="H27" s="778">
        <f>SUMIF(95:95,G27,96:96)-SUMIF(95:95,C27,96:96)+100</f>
        <v>100</v>
      </c>
      <c r="I27" s="195"/>
      <c r="J27" s="778">
        <f>SUMIF(95:95,I27,96:96)-SUMIF(95:95,C27,96:96)+100</f>
        <v>100</v>
      </c>
      <c r="K27" s="1081"/>
      <c r="L27" s="2359"/>
      <c r="M27" s="2350"/>
      <c r="N27" s="2350"/>
      <c r="O27" s="2358"/>
      <c r="P27" s="3650"/>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650"/>
      <c r="Z27" s="1325" t="str">
        <f t="shared" ref="Z27:Z40" si="13">Q27</f>
        <v>临街状况</v>
      </c>
      <c r="AA27" s="1326">
        <f t="shared" si="3"/>
        <v>1</v>
      </c>
      <c r="AB27" s="1326">
        <f t="shared" si="4"/>
        <v>1</v>
      </c>
      <c r="AC27" s="1326">
        <f t="shared" si="5"/>
        <v>1</v>
      </c>
    </row>
    <row r="28" spans="1:29" ht="27">
      <c r="A28" s="771"/>
      <c r="B28" s="975" t="s">
        <v>443</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1"/>
      <c r="L28" s="2359"/>
      <c r="M28" s="2350"/>
      <c r="N28" s="2350"/>
      <c r="O28" s="2358"/>
      <c r="P28" s="3650"/>
      <c r="Q28" s="1322" t="str">
        <f t="shared" si="8"/>
        <v>毗邻道路的类型与等级</v>
      </c>
      <c r="R28" s="1323" t="s">
        <v>65</v>
      </c>
      <c r="S28" s="1324">
        <f t="shared" si="10"/>
        <v>100</v>
      </c>
      <c r="T28" s="1323" t="s">
        <v>65</v>
      </c>
      <c r="U28" s="1324">
        <f t="shared" si="11"/>
        <v>100</v>
      </c>
      <c r="V28" s="1323" t="s">
        <v>65</v>
      </c>
      <c r="W28" s="1324">
        <f t="shared" si="12"/>
        <v>100</v>
      </c>
      <c r="X28" s="1317"/>
      <c r="Y28" s="3650"/>
      <c r="Z28" s="1325" t="str">
        <f t="shared" si="13"/>
        <v>毗邻道路的类型与等级</v>
      </c>
      <c r="AA28" s="1326">
        <f t="shared" si="3"/>
        <v>1</v>
      </c>
      <c r="AB28" s="1326">
        <f t="shared" si="4"/>
        <v>1</v>
      </c>
      <c r="AC28" s="1326">
        <f t="shared" si="5"/>
        <v>1</v>
      </c>
    </row>
    <row r="29" spans="1:29" ht="15">
      <c r="A29" s="771"/>
      <c r="B29" s="974"/>
      <c r="C29" s="97"/>
      <c r="D29" s="791"/>
      <c r="E29" s="192"/>
      <c r="F29" s="791"/>
      <c r="G29" s="192"/>
      <c r="H29" s="791"/>
      <c r="I29" s="192"/>
      <c r="J29" s="791"/>
      <c r="K29" s="955"/>
      <c r="L29" s="2359"/>
      <c r="M29" s="2350"/>
      <c r="N29" s="2350"/>
      <c r="O29" s="2358"/>
      <c r="P29" s="3650"/>
      <c r="Q29" s="1322"/>
      <c r="R29" s="1323"/>
      <c r="S29" s="1324"/>
      <c r="T29" s="1323"/>
      <c r="U29" s="1324"/>
      <c r="V29" s="1323"/>
      <c r="W29" s="1324"/>
      <c r="X29" s="1317"/>
      <c r="Y29" s="3650"/>
      <c r="Z29" s="1325"/>
      <c r="AA29" s="1326">
        <v>1</v>
      </c>
      <c r="AB29" s="1326">
        <v>1</v>
      </c>
      <c r="AC29" s="1326">
        <v>1</v>
      </c>
    </row>
    <row r="30" spans="1:29" ht="15">
      <c r="A30" s="771"/>
      <c r="B30" s="996" t="s">
        <v>486</v>
      </c>
      <c r="C30" s="2778">
        <f>估价对象房地状况!G23</f>
        <v>0</v>
      </c>
      <c r="D30" s="778">
        <v>100</v>
      </c>
      <c r="E30" s="976"/>
      <c r="F30" s="778">
        <f>SUMIF(99:99,E30,100:100)-SUMIF(99:99,C30,100:100)+100</f>
        <v>100</v>
      </c>
      <c r="G30" s="976"/>
      <c r="H30" s="778">
        <f>SUMIF(99:99,G30,100:100)-SUMIF(99:99,C30,100:100)+100</f>
        <v>100</v>
      </c>
      <c r="I30" s="976"/>
      <c r="J30" s="778">
        <f>SUMIF(99:99,I30,100:100)-SUMIF(99:99,C30,100:100)+100</f>
        <v>100</v>
      </c>
      <c r="K30" s="954"/>
      <c r="L30" s="2359"/>
      <c r="M30" s="2350"/>
      <c r="N30" s="2350"/>
      <c r="O30" s="2358"/>
      <c r="P30" s="3650"/>
      <c r="Q30" s="1322" t="str">
        <f t="shared" si="8"/>
        <v>土地级别</v>
      </c>
      <c r="R30" s="1323" t="s">
        <v>65</v>
      </c>
      <c r="S30" s="1324">
        <f t="shared" si="10"/>
        <v>100</v>
      </c>
      <c r="T30" s="1323" t="s">
        <v>65</v>
      </c>
      <c r="U30" s="1324">
        <f t="shared" si="11"/>
        <v>100</v>
      </c>
      <c r="V30" s="1323" t="s">
        <v>65</v>
      </c>
      <c r="W30" s="1324">
        <f t="shared" si="12"/>
        <v>100</v>
      </c>
      <c r="X30" s="1317"/>
      <c r="Y30" s="3650"/>
      <c r="Z30" s="1325" t="str">
        <f t="shared" si="13"/>
        <v>土地级别</v>
      </c>
      <c r="AA30" s="1326">
        <f t="shared" si="3"/>
        <v>1</v>
      </c>
      <c r="AB30" s="1326">
        <f t="shared" si="4"/>
        <v>1</v>
      </c>
      <c r="AC30" s="1326">
        <f t="shared" si="5"/>
        <v>1</v>
      </c>
    </row>
    <row r="31" spans="1:29" ht="15">
      <c r="A31" s="747"/>
      <c r="B31" s="1037">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5"/>
      <c r="L31" s="2359"/>
      <c r="M31" s="2350"/>
      <c r="N31" s="2350"/>
      <c r="O31" s="2358"/>
      <c r="P31" s="3650"/>
      <c r="Q31" s="1322">
        <f t="shared" si="8"/>
        <v>111</v>
      </c>
      <c r="R31" s="1323" t="s">
        <v>65</v>
      </c>
      <c r="S31" s="1324">
        <f t="shared" si="10"/>
        <v>100</v>
      </c>
      <c r="T31" s="1323" t="s">
        <v>65</v>
      </c>
      <c r="U31" s="1324">
        <f t="shared" si="11"/>
        <v>100</v>
      </c>
      <c r="V31" s="1323" t="s">
        <v>65</v>
      </c>
      <c r="W31" s="1324">
        <f t="shared" si="12"/>
        <v>100</v>
      </c>
      <c r="X31" s="1317"/>
      <c r="Y31" s="3650"/>
      <c r="Z31" s="1325">
        <f t="shared" si="13"/>
        <v>111</v>
      </c>
      <c r="AA31" s="1326">
        <f t="shared" si="3"/>
        <v>1</v>
      </c>
      <c r="AB31" s="1326">
        <f t="shared" si="4"/>
        <v>1</v>
      </c>
      <c r="AC31" s="1326">
        <f t="shared" si="5"/>
        <v>1</v>
      </c>
    </row>
    <row r="32" spans="1:29" ht="15">
      <c r="A32" s="1083"/>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5"/>
      <c r="L32" s="2359"/>
      <c r="M32" s="2350"/>
      <c r="N32" s="2350"/>
      <c r="O32" s="2358"/>
      <c r="P32" s="3651" t="s">
        <v>410</v>
      </c>
      <c r="Q32" s="1322">
        <f t="shared" si="8"/>
        <v>111</v>
      </c>
      <c r="R32" s="1323" t="s">
        <v>65</v>
      </c>
      <c r="S32" s="1324">
        <f t="shared" si="10"/>
        <v>100</v>
      </c>
      <c r="T32" s="1323" t="s">
        <v>65</v>
      </c>
      <c r="U32" s="1324">
        <f t="shared" si="11"/>
        <v>100</v>
      </c>
      <c r="V32" s="1323" t="s">
        <v>65</v>
      </c>
      <c r="W32" s="1324">
        <f t="shared" si="12"/>
        <v>100</v>
      </c>
      <c r="X32" s="1317"/>
      <c r="Y32" s="3652" t="s">
        <v>410</v>
      </c>
      <c r="Z32" s="1325">
        <f t="shared" si="13"/>
        <v>111</v>
      </c>
      <c r="AA32" s="1326">
        <f t="shared" si="3"/>
        <v>1</v>
      </c>
      <c r="AB32" s="1326">
        <f t="shared" si="4"/>
        <v>1</v>
      </c>
      <c r="AC32" s="1326">
        <f t="shared" si="5"/>
        <v>1</v>
      </c>
    </row>
    <row r="33" spans="1:29" s="813" customFormat="1" ht="15.75" thickBot="1">
      <c r="A33" s="1084"/>
      <c r="B33" s="3302">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5"/>
      <c r="L33" s="2357"/>
      <c r="M33" s="2360"/>
      <c r="N33" s="2360"/>
      <c r="O33" s="2361"/>
      <c r="P33" s="3652"/>
      <c r="Q33" s="1322">
        <f t="shared" si="8"/>
        <v>111</v>
      </c>
      <c r="R33" s="1328" t="s">
        <v>65</v>
      </c>
      <c r="S33" s="1329">
        <f t="shared" si="10"/>
        <v>100</v>
      </c>
      <c r="T33" s="1328" t="s">
        <v>65</v>
      </c>
      <c r="U33" s="1329">
        <f t="shared" si="11"/>
        <v>100</v>
      </c>
      <c r="V33" s="1328" t="s">
        <v>65</v>
      </c>
      <c r="W33" s="1329">
        <f t="shared" si="12"/>
        <v>100</v>
      </c>
      <c r="X33" s="1330"/>
      <c r="Y33" s="3652"/>
      <c r="Z33" s="1331">
        <f t="shared" si="13"/>
        <v>111</v>
      </c>
      <c r="AA33" s="1326">
        <f t="shared" si="3"/>
        <v>1</v>
      </c>
      <c r="AB33" s="1326">
        <f t="shared" si="4"/>
        <v>1</v>
      </c>
      <c r="AC33" s="1326">
        <f t="shared" si="5"/>
        <v>1</v>
      </c>
    </row>
    <row r="34" spans="1:29" ht="15">
      <c r="A34" s="783" t="s">
        <v>2798</v>
      </c>
      <c r="B34" s="799" t="s">
        <v>487</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9"/>
      <c r="M34" s="2350"/>
      <c r="N34" s="2350"/>
      <c r="O34" s="2358"/>
      <c r="P34" s="3652"/>
      <c r="Q34" s="1322" t="str">
        <f>B34</f>
        <v>宗地面积</v>
      </c>
      <c r="R34" s="1323" t="s">
        <v>65</v>
      </c>
      <c r="S34" s="1324" t="e">
        <f t="shared" si="10"/>
        <v>#N/A</v>
      </c>
      <c r="T34" s="1323" t="s">
        <v>65</v>
      </c>
      <c r="U34" s="1324" t="e">
        <f t="shared" si="11"/>
        <v>#N/A</v>
      </c>
      <c r="V34" s="1323" t="s">
        <v>65</v>
      </c>
      <c r="W34" s="1324" t="e">
        <f t="shared" si="12"/>
        <v>#N/A</v>
      </c>
      <c r="X34" s="1317"/>
      <c r="Y34" s="3652"/>
      <c r="Z34" s="1325" t="str">
        <f t="shared" si="13"/>
        <v>宗地面积</v>
      </c>
      <c r="AA34" s="1326" t="e">
        <f t="shared" si="3"/>
        <v>#N/A</v>
      </c>
      <c r="AB34" s="1326" t="e">
        <f t="shared" si="4"/>
        <v>#N/A</v>
      </c>
      <c r="AC34" s="1326" t="e">
        <f t="shared" si="5"/>
        <v>#N/A</v>
      </c>
    </row>
    <row r="35" spans="1:29" ht="15">
      <c r="A35" s="814"/>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4"/>
      <c r="L35" s="2359"/>
      <c r="M35" s="2350"/>
      <c r="N35" s="2350"/>
      <c r="O35" s="2358"/>
      <c r="P35" s="3652"/>
      <c r="Q35" s="1322" t="str">
        <f t="shared" ref="Q35:Q40" si="14">B35</f>
        <v>宗地形状</v>
      </c>
      <c r="R35" s="1323" t="s">
        <v>65</v>
      </c>
      <c r="S35" s="1324">
        <f t="shared" si="10"/>
        <v>100</v>
      </c>
      <c r="T35" s="1323" t="s">
        <v>65</v>
      </c>
      <c r="U35" s="1324">
        <f t="shared" si="11"/>
        <v>100</v>
      </c>
      <c r="V35" s="1323" t="s">
        <v>65</v>
      </c>
      <c r="W35" s="1324">
        <f t="shared" si="12"/>
        <v>100</v>
      </c>
      <c r="X35" s="1317"/>
      <c r="Y35" s="3652"/>
      <c r="Z35" s="1325" t="str">
        <f t="shared" si="13"/>
        <v>宗地形状</v>
      </c>
      <c r="AA35" s="1326">
        <f t="shared" si="3"/>
        <v>1</v>
      </c>
      <c r="AB35" s="1326">
        <f t="shared" si="4"/>
        <v>1</v>
      </c>
      <c r="AC35" s="1326">
        <f t="shared" si="5"/>
        <v>1</v>
      </c>
    </row>
    <row r="36" spans="1:29" s="407" customFormat="1" ht="15">
      <c r="A36" s="815"/>
      <c r="B36" s="2611" t="s">
        <v>2505</v>
      </c>
      <c r="C36" s="1041"/>
      <c r="D36" s="426">
        <v>100</v>
      </c>
      <c r="E36" s="1041"/>
      <c r="F36" s="778">
        <f>SUMIF(112:112,E36,113:113)-SUMIF(112:112,C36,113:113)+100</f>
        <v>100</v>
      </c>
      <c r="G36" s="1041"/>
      <c r="H36" s="778">
        <f>SUMIF(112:112,G36,113:113)-SUMIF(112:112,C36,113:113)+100</f>
        <v>100</v>
      </c>
      <c r="I36" s="1041"/>
      <c r="J36" s="778">
        <f>SUMIF(112:112,I36,113:113)-SUMIF(112:112,C36,113:113)+100</f>
        <v>100</v>
      </c>
      <c r="K36" s="954"/>
      <c r="L36" s="2351"/>
      <c r="M36" s="2352"/>
      <c r="N36" s="2352"/>
      <c r="O36" s="2353"/>
      <c r="P36" s="3652"/>
      <c r="Q36" s="1322" t="str">
        <f t="shared" si="14"/>
        <v>宗地开发程度</v>
      </c>
      <c r="R36" s="1318" t="s">
        <v>65</v>
      </c>
      <c r="S36" s="1319">
        <f t="shared" si="10"/>
        <v>100</v>
      </c>
      <c r="T36" s="1318" t="s">
        <v>65</v>
      </c>
      <c r="U36" s="1319">
        <f t="shared" si="11"/>
        <v>100</v>
      </c>
      <c r="V36" s="1318" t="s">
        <v>65</v>
      </c>
      <c r="W36" s="1319">
        <f t="shared" si="12"/>
        <v>100</v>
      </c>
      <c r="X36" s="1320"/>
      <c r="Y36" s="3652"/>
      <c r="Z36" s="344" t="str">
        <f t="shared" si="13"/>
        <v>宗地开发程度</v>
      </c>
      <c r="AA36" s="1321">
        <f t="shared" si="3"/>
        <v>1</v>
      </c>
      <c r="AB36" s="1321">
        <f t="shared" si="4"/>
        <v>1</v>
      </c>
      <c r="AC36" s="1321">
        <f t="shared" si="5"/>
        <v>1</v>
      </c>
    </row>
    <row r="37" spans="1:29" ht="15">
      <c r="A37" s="814"/>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4"/>
      <c r="L37" s="2359"/>
      <c r="M37" s="2350"/>
      <c r="N37" s="2350"/>
      <c r="O37" s="2358"/>
      <c r="P37" s="3652" t="s">
        <v>521</v>
      </c>
      <c r="Q37" s="1322" t="str">
        <f t="shared" si="14"/>
        <v>工程地质条件</v>
      </c>
      <c r="R37" s="1323" t="s">
        <v>65</v>
      </c>
      <c r="S37" s="1324">
        <f t="shared" si="10"/>
        <v>100</v>
      </c>
      <c r="T37" s="1323" t="s">
        <v>65</v>
      </c>
      <c r="U37" s="1324">
        <f t="shared" si="11"/>
        <v>100</v>
      </c>
      <c r="V37" s="1323" t="s">
        <v>65</v>
      </c>
      <c r="W37" s="1324">
        <f t="shared" si="12"/>
        <v>100</v>
      </c>
      <c r="X37" s="1317"/>
      <c r="Y37" s="3652" t="s">
        <v>521</v>
      </c>
      <c r="Z37" s="1325" t="str">
        <f t="shared" si="13"/>
        <v>工程地质条件</v>
      </c>
      <c r="AA37" s="1326">
        <f t="shared" si="3"/>
        <v>1</v>
      </c>
      <c r="AB37" s="1326">
        <f t="shared" si="4"/>
        <v>1</v>
      </c>
      <c r="AC37" s="1326">
        <f t="shared" si="5"/>
        <v>1</v>
      </c>
    </row>
    <row r="38" spans="1:29" ht="15">
      <c r="A38" s="814"/>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5"/>
      <c r="L38" s="2359"/>
      <c r="M38" s="2350"/>
      <c r="N38" s="2350"/>
      <c r="O38" s="2358"/>
      <c r="P38" s="3652"/>
      <c r="Q38" s="1322">
        <f t="shared" si="14"/>
        <v>111</v>
      </c>
      <c r="R38" s="1323" t="s">
        <v>65</v>
      </c>
      <c r="S38" s="1324">
        <f t="shared" si="10"/>
        <v>100</v>
      </c>
      <c r="T38" s="1323" t="s">
        <v>65</v>
      </c>
      <c r="U38" s="1324">
        <f t="shared" si="11"/>
        <v>100</v>
      </c>
      <c r="V38" s="1323" t="s">
        <v>65</v>
      </c>
      <c r="W38" s="1324">
        <f t="shared" si="12"/>
        <v>100</v>
      </c>
      <c r="X38" s="1317"/>
      <c r="Y38" s="3652"/>
      <c r="Z38" s="1325">
        <f t="shared" si="13"/>
        <v>111</v>
      </c>
      <c r="AA38" s="1326">
        <f t="shared" si="3"/>
        <v>1</v>
      </c>
      <c r="AB38" s="1326">
        <f t="shared" si="4"/>
        <v>1</v>
      </c>
      <c r="AC38" s="1326">
        <f t="shared" si="5"/>
        <v>1</v>
      </c>
    </row>
    <row r="39" spans="1:29" ht="15">
      <c r="A39" s="814"/>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5"/>
      <c r="L39" s="2359"/>
      <c r="M39" s="2350"/>
      <c r="N39" s="2350"/>
      <c r="O39" s="2358"/>
      <c r="P39" s="3652"/>
      <c r="Q39" s="1322">
        <f t="shared" si="14"/>
        <v>111</v>
      </c>
      <c r="R39" s="1323" t="s">
        <v>65</v>
      </c>
      <c r="S39" s="1324">
        <f t="shared" si="10"/>
        <v>100</v>
      </c>
      <c r="T39" s="1323" t="s">
        <v>65</v>
      </c>
      <c r="U39" s="1324">
        <f t="shared" si="11"/>
        <v>100</v>
      </c>
      <c r="V39" s="1323" t="s">
        <v>65</v>
      </c>
      <c r="W39" s="1324">
        <f t="shared" si="12"/>
        <v>100</v>
      </c>
      <c r="X39" s="1317"/>
      <c r="Y39" s="3652"/>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1">
        <f>SUMIF(120:120,E40,121:121)-SUMIF(120:120,C40,121:121)+100</f>
        <v>100</v>
      </c>
      <c r="G40" s="203"/>
      <c r="H40" s="781">
        <f>SUMIF(120:120,G40,121:121)-SUMIF(120:120,C40,121:121)+100</f>
        <v>100</v>
      </c>
      <c r="I40" s="126"/>
      <c r="J40" s="781">
        <f>SUMIF(120:120,I40,121:121)-SUMIF(120:120,C40,121:121)+100</f>
        <v>100</v>
      </c>
      <c r="K40" s="1089"/>
      <c r="L40" s="2357"/>
      <c r="M40" s="2360"/>
      <c r="N40" s="2360"/>
      <c r="O40" s="2361"/>
      <c r="P40" s="3652"/>
      <c r="Q40" s="1322">
        <f t="shared" si="14"/>
        <v>111</v>
      </c>
      <c r="R40" s="1328" t="s">
        <v>65</v>
      </c>
      <c r="S40" s="1329">
        <f t="shared" si="10"/>
        <v>100</v>
      </c>
      <c r="T40" s="1328" t="s">
        <v>65</v>
      </c>
      <c r="U40" s="1329">
        <f t="shared" si="11"/>
        <v>100</v>
      </c>
      <c r="V40" s="1328" t="s">
        <v>65</v>
      </c>
      <c r="W40" s="1329">
        <f t="shared" si="12"/>
        <v>100</v>
      </c>
      <c r="X40" s="1330"/>
      <c r="Y40" s="3652"/>
      <c r="Z40" s="1331">
        <f t="shared" si="13"/>
        <v>111</v>
      </c>
      <c r="AA40" s="1326">
        <f t="shared" si="3"/>
        <v>1</v>
      </c>
      <c r="AB40" s="1326">
        <f t="shared" si="4"/>
        <v>1</v>
      </c>
      <c r="AC40" s="1326">
        <f t="shared" si="5"/>
        <v>1</v>
      </c>
    </row>
    <row r="41" spans="1:29" ht="15">
      <c r="A41" s="821" t="s">
        <v>491</v>
      </c>
      <c r="B41" s="207" t="s">
        <v>3029</v>
      </c>
      <c r="C41" s="1090" t="s">
        <v>23</v>
      </c>
      <c r="D41" s="823"/>
      <c r="E41" s="824"/>
      <c r="F41" s="825"/>
      <c r="G41" s="826"/>
      <c r="H41" s="827"/>
      <c r="I41" s="824"/>
      <c r="J41" s="827"/>
      <c r="K41" s="1399"/>
      <c r="L41" s="2362"/>
      <c r="M41" s="2350"/>
      <c r="N41" s="2350"/>
      <c r="O41" s="2363"/>
      <c r="P41" s="3634" t="str">
        <f>A41</f>
        <v>成交单价</v>
      </c>
      <c r="Q41" s="3634"/>
      <c r="R41" s="3647">
        <f>E41</f>
        <v>0</v>
      </c>
      <c r="S41" s="3647"/>
      <c r="T41" s="3647">
        <f>G41</f>
        <v>0</v>
      </c>
      <c r="U41" s="3647"/>
      <c r="V41" s="3647">
        <f>I41</f>
        <v>0</v>
      </c>
      <c r="W41" s="3647"/>
      <c r="X41" s="1306"/>
      <c r="Y41" s="1332"/>
      <c r="Z41" s="1306"/>
      <c r="AA41" s="1306"/>
      <c r="AB41" s="1306"/>
      <c r="AC41" s="1306"/>
    </row>
    <row r="42" spans="1:29" ht="15.75" thickBot="1">
      <c r="A42" s="828" t="s">
        <v>412</v>
      </c>
      <c r="B42" s="1091"/>
      <c r="C42" s="832" t="e">
        <f>R43</f>
        <v>#DIV/0!</v>
      </c>
      <c r="D42" s="831"/>
      <c r="E42" s="832" t="e">
        <f>R42</f>
        <v>#DIV/0!</v>
      </c>
      <c r="F42" s="833"/>
      <c r="G42" s="830" t="e">
        <f>T42</f>
        <v>#DIV/0!</v>
      </c>
      <c r="H42" s="831"/>
      <c r="I42" s="832" t="e">
        <f>V42</f>
        <v>#DIV/0!</v>
      </c>
      <c r="J42" s="831"/>
      <c r="K42" s="1400"/>
      <c r="L42" s="2362"/>
      <c r="M42" s="2350"/>
      <c r="N42" s="2350"/>
      <c r="O42" s="2363"/>
      <c r="P42" s="3634" t="str">
        <f>A42</f>
        <v>比较价值（元/平方米）</v>
      </c>
      <c r="Q42" s="3634"/>
      <c r="R42" s="3657" t="e">
        <f>ROUND(PRODUCT(R41,AA7:AA40),0)</f>
        <v>#DIV/0!</v>
      </c>
      <c r="S42" s="3657"/>
      <c r="T42" s="3657" t="e">
        <f>ROUND(PRODUCT(T41,AB7:AB40),0)</f>
        <v>#DIV/0!</v>
      </c>
      <c r="U42" s="3657"/>
      <c r="V42" s="3657" t="e">
        <f>ROUND(PRODUCT(V41,AC7:AC40),0)</f>
        <v>#DIV/0!</v>
      </c>
      <c r="W42" s="3657"/>
      <c r="X42" s="1306"/>
      <c r="Y42" s="1306"/>
      <c r="Z42" s="1306"/>
      <c r="AA42" s="1306"/>
      <c r="AB42" s="1306"/>
      <c r="AC42" s="1306"/>
    </row>
    <row r="43" spans="1:29" ht="15.75" thickBot="1">
      <c r="A43" s="115" t="s">
        <v>3022</v>
      </c>
      <c r="B43" s="835"/>
      <c r="C43" s="836" t="e">
        <f>R43</f>
        <v>#DIV/0!</v>
      </c>
      <c r="D43" s="836"/>
      <c r="E43" s="836"/>
      <c r="F43" s="836"/>
      <c r="G43" s="836"/>
      <c r="H43" s="836"/>
      <c r="I43" s="836"/>
      <c r="J43" s="836"/>
      <c r="K43" s="1401"/>
      <c r="L43" s="2362"/>
      <c r="M43" s="2350"/>
      <c r="N43" s="2350"/>
      <c r="O43" s="2363"/>
      <c r="P43" s="3654" t="str">
        <f>A43</f>
        <v>估价对象XX用房的比较价值（楼面单价，元/平方米）</v>
      </c>
      <c r="Q43" s="3655"/>
      <c r="R43" s="3658" t="e">
        <f>ROUND(AVERAGE(R42:V42),0)</f>
        <v>#DIV/0!</v>
      </c>
      <c r="S43" s="3658"/>
      <c r="T43" s="3658"/>
      <c r="U43" s="3658"/>
      <c r="V43" s="3658"/>
      <c r="W43" s="3658"/>
      <c r="X43" s="1306"/>
      <c r="Y43" s="1306"/>
      <c r="Z43" s="1306"/>
      <c r="AA43" s="1306"/>
      <c r="AB43" s="1306"/>
      <c r="AC43" s="1306"/>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39" t="s">
        <v>413</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9"/>
      <c r="L46" s="2190"/>
      <c r="M46" s="2350"/>
      <c r="N46" s="2350"/>
      <c r="O46" s="2363"/>
    </row>
    <row r="47" spans="1:29" ht="13.5" customHeight="1">
      <c r="A47" s="2363"/>
      <c r="B47" s="2363"/>
      <c r="C47" s="839" t="s">
        <v>414</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9"/>
      <c r="L47" s="2190"/>
      <c r="M47" s="2363"/>
      <c r="N47" s="2363"/>
      <c r="O47" s="2363"/>
    </row>
    <row r="48" spans="1:29" s="844" customFormat="1" ht="13.5" customHeight="1">
      <c r="A48" s="2364"/>
      <c r="B48" s="2364"/>
      <c r="C48" s="839" t="s">
        <v>415</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7"/>
      <c r="L48" s="2368"/>
      <c r="M48" s="2364"/>
      <c r="N48" s="2364"/>
      <c r="O48" s="2364"/>
    </row>
    <row r="49" spans="1:17" s="844" customFormat="1" ht="15" thickBot="1">
      <c r="A49" s="2364"/>
      <c r="B49" s="2365"/>
      <c r="C49" s="1309"/>
      <c r="D49" s="1307"/>
      <c r="E49" s="1307"/>
      <c r="F49" s="1307"/>
      <c r="G49" s="1307"/>
      <c r="H49" s="1307"/>
      <c r="I49" s="1307"/>
      <c r="J49" s="1307"/>
      <c r="K49" s="2367"/>
      <c r="L49" s="2368"/>
      <c r="M49" s="2364"/>
      <c r="N49" s="2364"/>
      <c r="O49" s="2364"/>
    </row>
    <row r="50" spans="1:17" ht="27">
      <c r="A50" s="1092" t="s">
        <v>492</v>
      </c>
      <c r="B50" s="1093" t="s">
        <v>493</v>
      </c>
      <c r="C50" s="1777" t="s">
        <v>1890</v>
      </c>
      <c r="D50" s="2394" t="s">
        <v>2328</v>
      </c>
      <c r="E50" s="1094" t="s">
        <v>494</v>
      </c>
      <c r="F50" s="1095" t="s">
        <v>495</v>
      </c>
      <c r="G50" s="3659" t="s">
        <v>2321</v>
      </c>
      <c r="H50" s="3660"/>
      <c r="I50" s="2184" t="s">
        <v>1889</v>
      </c>
      <c r="J50" s="1767">
        <f>项目基本情况!F35</f>
        <v>0</v>
      </c>
      <c r="K50" s="2377" t="s">
        <v>1891</v>
      </c>
      <c r="L50" s="2190"/>
      <c r="M50" s="2363"/>
      <c r="N50" s="2363"/>
      <c r="O50" s="2363"/>
    </row>
    <row r="51" spans="1:17" s="1100" customFormat="1">
      <c r="A51" s="1096" t="s">
        <v>496</v>
      </c>
      <c r="B51" s="1097" t="e">
        <f>C43</f>
        <v>#DIV/0!</v>
      </c>
      <c r="C51" s="1098">
        <v>1</v>
      </c>
      <c r="D51" s="2395">
        <v>1</v>
      </c>
      <c r="E51" s="1098">
        <f>'数据-汇总表'!E8+'数据-汇总表'!E9</f>
        <v>7148.0899999999992</v>
      </c>
      <c r="F51" s="1099" t="e">
        <f t="shared" ref="F51:F60" si="15">ROUND(B51*E51/10000,0)</f>
        <v>#DIV/0!</v>
      </c>
      <c r="G51" s="3661"/>
      <c r="H51" s="3662"/>
      <c r="I51" s="1775">
        <v>1</v>
      </c>
      <c r="J51" s="1775">
        <v>1</v>
      </c>
      <c r="K51" s="2364"/>
      <c r="L51" s="1774"/>
      <c r="M51" s="1774"/>
      <c r="N51" s="1774"/>
      <c r="O51" s="1774"/>
    </row>
    <row r="52" spans="1:17" s="1100" customFormat="1">
      <c r="A52" s="1101" t="s">
        <v>497</v>
      </c>
      <c r="B52" s="594" t="e">
        <f>ROUND($C$43*C52*D52,0)</f>
        <v>#DIV/0!</v>
      </c>
      <c r="C52" s="532">
        <f t="shared" ref="C52:C60" si="16">IF($C$50="北京市系数",I52,J52)</f>
        <v>0.7</v>
      </c>
      <c r="D52" s="2396">
        <v>0.25</v>
      </c>
      <c r="E52" s="1102"/>
      <c r="F52" s="1099" t="e">
        <f t="shared" si="15"/>
        <v>#DIV/0!</v>
      </c>
      <c r="G52" s="3663" t="s">
        <v>2322</v>
      </c>
      <c r="H52" s="2188" t="str">
        <f>项目基本情况!B37</f>
        <v>四级</v>
      </c>
      <c r="I52" s="1775">
        <f>SUMIF(修正!A45:A56,H52,修正!B45:B56)</f>
        <v>0.7</v>
      </c>
      <c r="J52" s="1776"/>
      <c r="K52" s="2363"/>
      <c r="L52" s="1774"/>
      <c r="M52" s="1774"/>
      <c r="N52" s="1774"/>
      <c r="O52" s="1774"/>
    </row>
    <row r="53" spans="1:17" s="1100" customFormat="1">
      <c r="A53" s="1101" t="s">
        <v>498</v>
      </c>
      <c r="B53" s="594" t="e">
        <f t="shared" ref="B53:B60" si="17">ROUND($C$43*C53*D53,0)</f>
        <v>#DIV/0!</v>
      </c>
      <c r="C53" s="532">
        <f t="shared" si="16"/>
        <v>0.4</v>
      </c>
      <c r="D53" s="2396">
        <v>0.25</v>
      </c>
      <c r="E53" s="1102"/>
      <c r="F53" s="1099" t="e">
        <f t="shared" si="15"/>
        <v>#DIV/0!</v>
      </c>
      <c r="G53" s="3663"/>
      <c r="H53" s="2188" t="str">
        <f>项目基本情况!B37</f>
        <v>四级</v>
      </c>
      <c r="I53" s="1775">
        <f>SUMIF(修正!A45:A56,H53,修正!C45:C56)</f>
        <v>0.4</v>
      </c>
      <c r="J53" s="1776"/>
      <c r="K53" s="2364"/>
      <c r="L53" s="1774"/>
      <c r="M53" s="1774"/>
      <c r="N53" s="1774"/>
      <c r="O53" s="1774"/>
    </row>
    <row r="54" spans="1:17" s="1100" customFormat="1">
      <c r="A54" s="1101" t="s">
        <v>499</v>
      </c>
      <c r="B54" s="594" t="e">
        <f t="shared" si="17"/>
        <v>#DIV/0!</v>
      </c>
      <c r="C54" s="532">
        <f t="shared" si="16"/>
        <v>0.28000000000000003</v>
      </c>
      <c r="D54" s="2396">
        <v>0.25</v>
      </c>
      <c r="E54" s="1102"/>
      <c r="F54" s="1099" t="e">
        <f t="shared" si="15"/>
        <v>#DIV/0!</v>
      </c>
      <c r="G54" s="3663"/>
      <c r="H54" s="2188" t="str">
        <f>项目基本情况!B37</f>
        <v>四级</v>
      </c>
      <c r="I54" s="1775">
        <f>SUMIF(修正!A45:A56,H54,修正!D45:D56)</f>
        <v>0.28000000000000003</v>
      </c>
      <c r="J54" s="1776"/>
      <c r="K54" s="2363"/>
      <c r="L54" s="1774"/>
      <c r="M54" s="1774"/>
      <c r="N54" s="1774"/>
      <c r="O54" s="1774"/>
    </row>
    <row r="55" spans="1:17" s="1100" customFormat="1">
      <c r="A55" s="1101" t="s">
        <v>500</v>
      </c>
      <c r="B55" s="594" t="e">
        <f t="shared" si="17"/>
        <v>#DIV/0!</v>
      </c>
      <c r="C55" s="532">
        <f t="shared" si="16"/>
        <v>0.25</v>
      </c>
      <c r="D55" s="2396">
        <v>0.25</v>
      </c>
      <c r="E55" s="1102"/>
      <c r="F55" s="1099" t="e">
        <f t="shared" si="15"/>
        <v>#DIV/0!</v>
      </c>
      <c r="G55" s="3663"/>
      <c r="H55" s="2188" t="str">
        <f>项目基本情况!B37</f>
        <v>四级</v>
      </c>
      <c r="I55" s="1775">
        <f>SUMIF(修正!A45:A56,H55,修正!E45:E56)</f>
        <v>0.25</v>
      </c>
      <c r="J55" s="1776"/>
      <c r="K55" s="2364"/>
      <c r="L55" s="1774"/>
      <c r="M55" s="1774"/>
      <c r="N55" s="1774"/>
      <c r="O55" s="1774"/>
    </row>
    <row r="56" spans="1:17" s="1100" customFormat="1">
      <c r="A56" s="2516" t="s">
        <v>2405</v>
      </c>
      <c r="B56" s="594" t="e">
        <f t="shared" si="17"/>
        <v>#DIV/0!</v>
      </c>
      <c r="C56" s="532">
        <f t="shared" si="16"/>
        <v>0</v>
      </c>
      <c r="D56" s="2396">
        <v>0.25</v>
      </c>
      <c r="E56" s="593">
        <f>'数据-汇总表'!E11</f>
        <v>0</v>
      </c>
      <c r="F56" s="1099" t="e">
        <f t="shared" si="15"/>
        <v>#DIV/0!</v>
      </c>
      <c r="G56" s="2200" t="s">
        <v>2323</v>
      </c>
      <c r="H56" s="2188">
        <f>项目基本情况!C37</f>
        <v>0</v>
      </c>
      <c r="I56" s="1775">
        <f>SUMIF(修正!A45:A56,H56,修正!F45:F56)</f>
        <v>0</v>
      </c>
      <c r="J56" s="1776"/>
      <c r="K56" s="2363"/>
      <c r="L56" s="1774"/>
      <c r="M56" s="1774"/>
      <c r="N56" s="1774"/>
      <c r="O56" s="1774"/>
    </row>
    <row r="57" spans="1:17" s="1100" customFormat="1">
      <c r="A57" s="1101" t="s">
        <v>501</v>
      </c>
      <c r="B57" s="594" t="e">
        <f t="shared" si="17"/>
        <v>#DIV/0!</v>
      </c>
      <c r="C57" s="532">
        <f t="shared" si="16"/>
        <v>0</v>
      </c>
      <c r="D57" s="2396">
        <v>0.25</v>
      </c>
      <c r="E57" s="593">
        <f>'数据-汇总表'!E12</f>
        <v>0</v>
      </c>
      <c r="F57" s="1099"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0" customFormat="1">
      <c r="A58" s="1101" t="s">
        <v>502</v>
      </c>
      <c r="B58" s="594" t="e">
        <f t="shared" si="17"/>
        <v>#DIV/0!</v>
      </c>
      <c r="C58" s="532">
        <f t="shared" si="16"/>
        <v>0</v>
      </c>
      <c r="D58" s="2396">
        <v>0.25</v>
      </c>
      <c r="E58" s="593">
        <f>'数据-汇总表'!E13</f>
        <v>0</v>
      </c>
      <c r="F58" s="1099"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0" customFormat="1">
      <c r="A59" s="1101" t="s">
        <v>503</v>
      </c>
      <c r="B59" s="594" t="e">
        <f t="shared" si="17"/>
        <v>#DIV/0!</v>
      </c>
      <c r="C59" s="532">
        <f t="shared" si="16"/>
        <v>0.2</v>
      </c>
      <c r="D59" s="2396">
        <v>0.25</v>
      </c>
      <c r="E59" s="593">
        <f>'数据-汇总表'!E14</f>
        <v>0</v>
      </c>
      <c r="F59" s="1099" t="e">
        <f t="shared" si="15"/>
        <v>#DIV/0!</v>
      </c>
      <c r="G59" s="2200" t="s">
        <v>2324</v>
      </c>
      <c r="H59" s="2188" t="str">
        <f>项目基本情况!B37</f>
        <v>四级</v>
      </c>
      <c r="I59" s="1775">
        <f>SUMIF(修正!A45:A56,H59,修正!H45:H56)</f>
        <v>0.2</v>
      </c>
      <c r="J59" s="1776"/>
      <c r="K59" s="2364"/>
      <c r="L59" s="1774"/>
      <c r="M59" s="1774"/>
      <c r="N59" s="1774"/>
      <c r="O59" s="1774"/>
    </row>
    <row r="60" spans="1:17" s="1100" customFormat="1" ht="15" thickBot="1">
      <c r="A60" s="1101" t="s">
        <v>504</v>
      </c>
      <c r="B60" s="594" t="e">
        <f t="shared" si="17"/>
        <v>#DIV/0!</v>
      </c>
      <c r="C60" s="532">
        <f t="shared" si="16"/>
        <v>0</v>
      </c>
      <c r="D60" s="2396">
        <v>0.25</v>
      </c>
      <c r="E60" s="593">
        <f>'数据-汇总表'!E15</f>
        <v>0</v>
      </c>
      <c r="F60" s="1099" t="e">
        <f t="shared" si="15"/>
        <v>#DIV/0!</v>
      </c>
      <c r="G60" s="2201" t="s">
        <v>2323</v>
      </c>
      <c r="H60" s="2202">
        <f>项目基本情况!C37</f>
        <v>0</v>
      </c>
      <c r="I60" s="1775">
        <f>SUMIF(修正!A45:A56,H60,修正!H45:H56)</f>
        <v>0</v>
      </c>
      <c r="J60" s="1776"/>
      <c r="K60" s="2363"/>
      <c r="L60" s="1774"/>
      <c r="M60" s="1774"/>
      <c r="N60" s="1774"/>
      <c r="O60" s="1774"/>
    </row>
    <row r="61" spans="1:17" s="1100" customFormat="1" ht="15" thickBot="1">
      <c r="A61" s="1103" t="s">
        <v>505</v>
      </c>
      <c r="B61" s="1104" t="s">
        <v>156</v>
      </c>
      <c r="C61" s="1104" t="s">
        <v>157</v>
      </c>
      <c r="D61" s="1104" t="s">
        <v>2329</v>
      </c>
      <c r="E61" s="1104">
        <f>IF(B41="楼面地价",SUM(E51:E60),'数据-汇总表'!D3)</f>
        <v>1927.24</v>
      </c>
      <c r="F61" s="1105"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8" t="str">
        <f>YEAR(C7)&amp;"-"&amp;MONTH(C7)&amp;"-1"</f>
        <v>2017-7-1</v>
      </c>
      <c r="D63" s="1308">
        <f>EDATE(C63,-3)</f>
        <v>42826</v>
      </c>
      <c r="E63" s="1308">
        <f>EDATE(D63,-3)</f>
        <v>42736</v>
      </c>
      <c r="F63" s="1308">
        <f t="shared" ref="F63:O63" si="18">EDATE(E63,-3)</f>
        <v>42644</v>
      </c>
      <c r="G63" s="1308">
        <f t="shared" si="18"/>
        <v>42552</v>
      </c>
      <c r="H63" s="1308">
        <f t="shared" si="18"/>
        <v>42461</v>
      </c>
      <c r="I63" s="1308">
        <f t="shared" si="18"/>
        <v>42370</v>
      </c>
      <c r="J63" s="1308">
        <f t="shared" si="18"/>
        <v>42278</v>
      </c>
      <c r="K63" s="1308">
        <f t="shared" si="18"/>
        <v>42186</v>
      </c>
      <c r="L63" s="1308">
        <f t="shared" si="18"/>
        <v>42095</v>
      </c>
      <c r="M63" s="1308">
        <f t="shared" si="18"/>
        <v>42005</v>
      </c>
      <c r="N63" s="1308">
        <f t="shared" si="18"/>
        <v>41913</v>
      </c>
      <c r="O63" s="1308">
        <f t="shared" si="18"/>
        <v>41821</v>
      </c>
    </row>
    <row r="64" spans="1:17" ht="21.75" thickBot="1">
      <c r="A64" s="1310" t="s">
        <v>416</v>
      </c>
      <c r="B64" s="1306"/>
      <c r="C64" s="1311"/>
      <c r="D64" s="1311"/>
      <c r="E64" s="1311"/>
      <c r="F64" s="1312"/>
      <c r="G64" s="1312"/>
      <c r="H64" s="1311"/>
      <c r="I64" s="1311"/>
      <c r="J64" s="1311"/>
      <c r="K64" s="1313"/>
      <c r="L64" s="1314"/>
      <c r="M64" s="1311"/>
      <c r="N64" s="1311"/>
      <c r="O64" s="2379"/>
      <c r="P64" s="845"/>
      <c r="Q64" s="846"/>
    </row>
    <row r="65" spans="1:17" s="850" customFormat="1" ht="15">
      <c r="A65" s="2707" t="s">
        <v>2795</v>
      </c>
      <c r="B65" s="2708"/>
      <c r="C65" s="3042" t="str">
        <f>YEAR(C63)&amp;"-"&amp;ROUNDUP(MONTH(C63)/3,0)</f>
        <v>2017-3</v>
      </c>
      <c r="D65" s="3042" t="str">
        <f t="shared" ref="D65:O65" si="19">YEAR(D63)&amp;"-"&amp;ROUNDUP(MONTH(D63)/3,0)</f>
        <v>2017-2</v>
      </c>
      <c r="E65" s="3042" t="str">
        <f t="shared" si="19"/>
        <v>2017-1</v>
      </c>
      <c r="F65" s="3042" t="str">
        <f t="shared" si="19"/>
        <v>2016-4</v>
      </c>
      <c r="G65" s="3042" t="str">
        <f t="shared" si="19"/>
        <v>2016-3</v>
      </c>
      <c r="H65" s="3042" t="str">
        <f t="shared" si="19"/>
        <v>2016-2</v>
      </c>
      <c r="I65" s="3042" t="str">
        <f t="shared" si="19"/>
        <v>2016-1</v>
      </c>
      <c r="J65" s="3042" t="str">
        <f t="shared" si="19"/>
        <v>2015-4</v>
      </c>
      <c r="K65" s="3042" t="str">
        <f t="shared" si="19"/>
        <v>2015-3</v>
      </c>
      <c r="L65" s="3042" t="str">
        <f t="shared" si="19"/>
        <v>2015-2</v>
      </c>
      <c r="M65" s="3042" t="str">
        <f t="shared" si="19"/>
        <v>2015-1</v>
      </c>
      <c r="N65" s="3042" t="str">
        <f t="shared" si="19"/>
        <v>2014-4</v>
      </c>
      <c r="O65" s="3042" t="str">
        <f t="shared" si="19"/>
        <v>2014-3</v>
      </c>
      <c r="P65" s="849"/>
    </row>
    <row r="66" spans="1:17" s="407" customFormat="1" ht="30.75" customHeight="1">
      <c r="A66" s="3038" t="s">
        <v>2794</v>
      </c>
      <c r="B66" s="664" t="str">
        <f>"北京市平均增长率"&amp;TEXT(基准地价修正!P24,"0.00%")</f>
        <v>北京市平均增长率1.34%</v>
      </c>
      <c r="C66" s="945">
        <v>100</v>
      </c>
      <c r="D66" s="937"/>
      <c r="E66" s="937"/>
      <c r="F66" s="937"/>
      <c r="G66" s="937"/>
      <c r="H66" s="937"/>
      <c r="I66" s="937"/>
      <c r="J66" s="937"/>
      <c r="K66" s="937"/>
      <c r="L66" s="937"/>
      <c r="M66" s="3036"/>
      <c r="N66" s="3036"/>
      <c r="O66" s="3039"/>
      <c r="P66" s="846"/>
    </row>
    <row r="67" spans="1:17" s="407" customFormat="1" ht="15.75" thickBot="1">
      <c r="A67" s="857" t="s">
        <v>417</v>
      </c>
      <c r="B67" s="858"/>
      <c r="C67" s="859"/>
      <c r="D67" s="860"/>
      <c r="E67" s="860"/>
      <c r="F67" s="860"/>
      <c r="G67" s="860"/>
      <c r="H67" s="860"/>
      <c r="I67" s="860"/>
      <c r="J67" s="860"/>
      <c r="K67" s="860"/>
      <c r="L67" s="860"/>
      <c r="M67" s="861"/>
      <c r="N67" s="861"/>
      <c r="O67" s="862"/>
      <c r="P67" s="846"/>
      <c r="Q67" s="846"/>
    </row>
    <row r="68" spans="1:17" s="407" customFormat="1" ht="15">
      <c r="A68" s="863" t="s">
        <v>401</v>
      </c>
      <c r="B68" s="852"/>
      <c r="C68" s="864" t="s">
        <v>418</v>
      </c>
      <c r="D68" s="140"/>
      <c r="E68" s="140"/>
      <c r="F68" s="140"/>
      <c r="G68" s="140"/>
      <c r="H68" s="140"/>
      <c r="I68" s="140"/>
      <c r="J68" s="140"/>
      <c r="K68" s="140"/>
      <c r="L68" s="141"/>
      <c r="M68" s="1050"/>
      <c r="N68" s="2370"/>
      <c r="O68" s="2370"/>
      <c r="P68" s="868"/>
      <c r="Q68" s="846"/>
    </row>
    <row r="69" spans="1:17" s="407" customFormat="1" ht="15.75" thickBot="1">
      <c r="A69" s="863"/>
      <c r="B69" s="852"/>
      <c r="C69" s="981">
        <v>100</v>
      </c>
      <c r="D69" s="854"/>
      <c r="E69" s="854"/>
      <c r="F69" s="854"/>
      <c r="G69" s="854"/>
      <c r="H69" s="854"/>
      <c r="I69" s="854"/>
      <c r="J69" s="854"/>
      <c r="K69" s="854"/>
      <c r="L69" s="854"/>
      <c r="M69" s="856"/>
      <c r="N69" s="2370"/>
      <c r="O69" s="2370"/>
      <c r="P69" s="846"/>
      <c r="Q69" s="846"/>
    </row>
    <row r="70" spans="1:17">
      <c r="A70" s="869" t="s">
        <v>419</v>
      </c>
      <c r="B70" s="870" t="s">
        <v>420</v>
      </c>
      <c r="C70" s="122"/>
      <c r="D70" s="122"/>
      <c r="E70" s="122"/>
      <c r="F70" s="122"/>
      <c r="G70" s="122"/>
      <c r="H70" s="122"/>
      <c r="I70" s="122"/>
      <c r="J70" s="122"/>
      <c r="K70" s="123"/>
      <c r="L70" s="124"/>
      <c r="M70" s="125"/>
      <c r="N70" s="2371"/>
      <c r="O70" s="2371"/>
      <c r="P70" s="334"/>
      <c r="Q70" s="846"/>
    </row>
    <row r="71" spans="1:17" ht="15.75" thickBot="1">
      <c r="A71" s="876"/>
      <c r="B71" s="877"/>
      <c r="C71" s="878"/>
      <c r="D71" s="878"/>
      <c r="E71" s="878"/>
      <c r="F71" s="878"/>
      <c r="G71" s="878"/>
      <c r="H71" s="878"/>
      <c r="I71" s="878"/>
      <c r="J71" s="878"/>
      <c r="K71" s="878"/>
      <c r="L71" s="878"/>
      <c r="M71" s="879"/>
      <c r="N71" s="2372"/>
      <c r="O71" s="2372"/>
      <c r="P71" s="334"/>
      <c r="Q71" s="846"/>
    </row>
    <row r="72" spans="1:17" ht="27.75" thickTop="1">
      <c r="A72" s="876"/>
      <c r="B72" s="880" t="s">
        <v>405</v>
      </c>
      <c r="C72" s="881"/>
      <c r="D72" s="881"/>
      <c r="E72" s="881"/>
      <c r="F72" s="881"/>
      <c r="G72" s="881"/>
      <c r="H72" s="881"/>
      <c r="I72" s="881"/>
      <c r="J72" s="881"/>
      <c r="K72" s="882"/>
      <c r="L72" s="883"/>
      <c r="M72" s="884"/>
      <c r="N72" s="2371"/>
      <c r="O72" s="2371"/>
      <c r="P72" s="334"/>
      <c r="Q72" s="846"/>
    </row>
    <row r="73" spans="1:17" ht="15.75" thickBot="1">
      <c r="A73" s="876"/>
      <c r="B73" s="885"/>
      <c r="C73" s="886"/>
      <c r="D73" s="886"/>
      <c r="E73" s="886"/>
      <c r="F73" s="886"/>
      <c r="G73" s="886"/>
      <c r="H73" s="886"/>
      <c r="I73" s="886"/>
      <c r="J73" s="886"/>
      <c r="K73" s="886"/>
      <c r="L73" s="886"/>
      <c r="M73" s="887"/>
      <c r="N73" s="2372"/>
      <c r="O73" s="2372"/>
      <c r="P73" s="334"/>
      <c r="Q73" s="846"/>
    </row>
    <row r="74" spans="1:17" ht="15.75" thickTop="1">
      <c r="A74" s="876"/>
      <c r="B74" s="1055" t="s">
        <v>93</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1" t="str">
        <f>M75&amp;"（含）"&amp;"-"&amp;P75</f>
        <v>（含）-</v>
      </c>
      <c r="N74" s="2372"/>
      <c r="O74" s="2372"/>
      <c r="P74" s="334"/>
      <c r="Q74" s="846"/>
    </row>
    <row r="75" spans="1:17" ht="15">
      <c r="A75" s="876"/>
      <c r="B75" s="1056"/>
      <c r="C75" s="891"/>
      <c r="D75" s="891"/>
      <c r="E75" s="891"/>
      <c r="F75" s="891"/>
      <c r="G75" s="891"/>
      <c r="H75" s="891"/>
      <c r="I75" s="891"/>
      <c r="J75" s="891"/>
      <c r="K75" s="892"/>
      <c r="L75" s="893"/>
      <c r="M75" s="894"/>
      <c r="N75" s="2371"/>
      <c r="O75" s="2371"/>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2"/>
      <c r="O76" s="2372"/>
      <c r="P76" s="334"/>
      <c r="Q76" s="846"/>
    </row>
    <row r="77" spans="1:17" s="813" customFormat="1" ht="15.75" thickTop="1">
      <c r="A77" s="895"/>
      <c r="B77" s="1053">
        <f>B12</f>
        <v>111</v>
      </c>
      <c r="C77" s="139"/>
      <c r="D77" s="139"/>
      <c r="E77" s="139"/>
      <c r="F77" s="139"/>
      <c r="G77" s="139"/>
      <c r="H77" s="1058"/>
      <c r="I77" s="1058"/>
      <c r="J77" s="1058"/>
      <c r="K77" s="1058"/>
      <c r="L77" s="1059"/>
      <c r="M77" s="1060"/>
      <c r="N77" s="2373"/>
      <c r="O77" s="2373"/>
      <c r="P77" s="900"/>
      <c r="Q77" s="901"/>
    </row>
    <row r="78" spans="1:17" s="813" customFormat="1" ht="15.75" thickBot="1">
      <c r="A78" s="895"/>
      <c r="B78" s="1054"/>
      <c r="C78" s="902"/>
      <c r="D78" s="878"/>
      <c r="E78" s="878"/>
      <c r="F78" s="878"/>
      <c r="G78" s="878"/>
      <c r="H78" s="878"/>
      <c r="I78" s="878"/>
      <c r="J78" s="878"/>
      <c r="K78" s="878"/>
      <c r="L78" s="878"/>
      <c r="M78" s="879"/>
      <c r="N78" s="2372"/>
      <c r="O78" s="2372"/>
      <c r="P78" s="900"/>
      <c r="Q78" s="901"/>
    </row>
    <row r="79" spans="1:17" s="813" customFormat="1" ht="15.75" thickTop="1">
      <c r="A79" s="895"/>
      <c r="B79" s="1053">
        <f>B13</f>
        <v>111</v>
      </c>
      <c r="C79" s="139"/>
      <c r="D79" s="139"/>
      <c r="E79" s="139"/>
      <c r="F79" s="139"/>
      <c r="G79" s="139"/>
      <c r="H79" s="1058"/>
      <c r="I79" s="1058"/>
      <c r="J79" s="1058"/>
      <c r="K79" s="1058"/>
      <c r="L79" s="1059"/>
      <c r="M79" s="1060"/>
      <c r="N79" s="2373"/>
      <c r="O79" s="2373"/>
      <c r="P79" s="812"/>
      <c r="Q79" s="903"/>
    </row>
    <row r="80" spans="1:17" s="813" customFormat="1" ht="15.75" thickBot="1">
      <c r="A80" s="895"/>
      <c r="B80" s="1054"/>
      <c r="C80" s="902"/>
      <c r="D80" s="902"/>
      <c r="E80" s="902"/>
      <c r="F80" s="902"/>
      <c r="G80" s="902"/>
      <c r="H80" s="904"/>
      <c r="I80" s="904"/>
      <c r="J80" s="904"/>
      <c r="K80" s="904"/>
      <c r="L80" s="904"/>
      <c r="M80" s="905"/>
      <c r="N80" s="2373"/>
      <c r="O80" s="2373"/>
      <c r="P80" s="900"/>
      <c r="Q80" s="901"/>
    </row>
    <row r="81" spans="1:17" s="813" customFormat="1" ht="15.75" thickTop="1">
      <c r="A81" s="895"/>
      <c r="B81" s="1055">
        <f>B14</f>
        <v>111</v>
      </c>
      <c r="C81" s="140"/>
      <c r="D81" s="140"/>
      <c r="E81" s="140"/>
      <c r="F81" s="140"/>
      <c r="G81" s="140"/>
      <c r="H81" s="1065"/>
      <c r="I81" s="1065"/>
      <c r="J81" s="1065"/>
      <c r="K81" s="1065"/>
      <c r="L81" s="1066"/>
      <c r="M81" s="1067"/>
      <c r="N81" s="2373"/>
      <c r="O81" s="2373"/>
      <c r="P81" s="909"/>
      <c r="Q81" s="901"/>
    </row>
    <row r="82" spans="1:17" s="813" customFormat="1" ht="15.75" thickBot="1">
      <c r="A82" s="910"/>
      <c r="B82" s="1070"/>
      <c r="C82" s="912"/>
      <c r="D82" s="912"/>
      <c r="E82" s="912"/>
      <c r="F82" s="912"/>
      <c r="G82" s="912"/>
      <c r="H82" s="913"/>
      <c r="I82" s="913"/>
      <c r="J82" s="913"/>
      <c r="K82" s="913"/>
      <c r="L82" s="913"/>
      <c r="M82" s="914"/>
      <c r="N82" s="2373"/>
      <c r="O82" s="2373"/>
      <c r="P82" s="900"/>
      <c r="Q82" s="901"/>
    </row>
    <row r="83" spans="1:17">
      <c r="A83" s="869" t="s">
        <v>407</v>
      </c>
      <c r="B83" s="286" t="s">
        <v>159</v>
      </c>
      <c r="C83" s="915" t="s">
        <v>426</v>
      </c>
      <c r="D83" s="915" t="s">
        <v>427</v>
      </c>
      <c r="E83" s="915" t="s">
        <v>428</v>
      </c>
      <c r="F83" s="915" t="s">
        <v>429</v>
      </c>
      <c r="G83" s="915" t="s">
        <v>430</v>
      </c>
      <c r="H83" s="871"/>
      <c r="I83" s="871"/>
      <c r="J83" s="871"/>
      <c r="K83" s="916"/>
      <c r="L83" s="917"/>
      <c r="M83" s="918"/>
      <c r="N83" s="2371"/>
      <c r="O83" s="2371"/>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2"/>
      <c r="O84" s="2372"/>
      <c r="P84" s="334"/>
      <c r="Q84" s="846"/>
    </row>
    <row r="85" spans="1:17" ht="15.75" thickTop="1">
      <c r="A85" s="876"/>
      <c r="B85" s="1053" t="s">
        <v>92</v>
      </c>
      <c r="C85" s="920" t="s">
        <v>426</v>
      </c>
      <c r="D85" s="920" t="s">
        <v>427</v>
      </c>
      <c r="E85" s="920" t="s">
        <v>428</v>
      </c>
      <c r="F85" s="920" t="s">
        <v>429</v>
      </c>
      <c r="G85" s="920" t="s">
        <v>430</v>
      </c>
      <c r="H85" s="881"/>
      <c r="I85" s="881"/>
      <c r="J85" s="881"/>
      <c r="K85" s="882"/>
      <c r="L85" s="883"/>
      <c r="M85" s="884"/>
      <c r="N85" s="2371"/>
      <c r="O85" s="2371"/>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2"/>
      <c r="O86" s="2372"/>
      <c r="P86" s="334"/>
      <c r="Q86" s="846"/>
    </row>
    <row r="87" spans="1:17" s="407" customFormat="1" ht="27.75" thickTop="1">
      <c r="A87" s="921"/>
      <c r="B87" s="1053" t="s">
        <v>109</v>
      </c>
      <c r="C87" s="915" t="s">
        <v>426</v>
      </c>
      <c r="D87" s="915" t="s">
        <v>427</v>
      </c>
      <c r="E87" s="915" t="s">
        <v>428</v>
      </c>
      <c r="F87" s="915" t="s">
        <v>429</v>
      </c>
      <c r="G87" s="915" t="s">
        <v>430</v>
      </c>
      <c r="H87" s="920"/>
      <c r="I87" s="920"/>
      <c r="J87" s="920"/>
      <c r="K87" s="920"/>
      <c r="L87" s="1106"/>
      <c r="M87" s="964"/>
      <c r="N87" s="2370"/>
      <c r="O87" s="2370"/>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72"/>
      <c r="O88" s="2372"/>
      <c r="P88" s="334"/>
      <c r="Q88" s="846"/>
    </row>
    <row r="89" spans="1:17" s="407" customFormat="1" ht="27.75" thickTop="1">
      <c r="A89" s="921"/>
      <c r="B89" s="1053" t="s">
        <v>154</v>
      </c>
      <c r="C89" s="915" t="s">
        <v>426</v>
      </c>
      <c r="D89" s="915" t="s">
        <v>427</v>
      </c>
      <c r="E89" s="915" t="s">
        <v>428</v>
      </c>
      <c r="F89" s="915" t="s">
        <v>429</v>
      </c>
      <c r="G89" s="915" t="s">
        <v>430</v>
      </c>
      <c r="H89" s="920"/>
      <c r="I89" s="920"/>
      <c r="J89" s="920"/>
      <c r="K89" s="920"/>
      <c r="L89" s="920"/>
      <c r="M89" s="964"/>
      <c r="N89" s="2370"/>
      <c r="O89" s="2370"/>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72"/>
      <c r="O90" s="2372"/>
      <c r="P90" s="334"/>
      <c r="Q90" s="846"/>
    </row>
    <row r="91" spans="1:17" s="813" customFormat="1" ht="15.75" thickTop="1">
      <c r="A91" s="895"/>
      <c r="B91" s="1053" t="s">
        <v>2671</v>
      </c>
      <c r="C91" s="915" t="s">
        <v>426</v>
      </c>
      <c r="D91" s="915" t="s">
        <v>427</v>
      </c>
      <c r="E91" s="915" t="s">
        <v>428</v>
      </c>
      <c r="F91" s="915" t="s">
        <v>429</v>
      </c>
      <c r="G91" s="915" t="s">
        <v>430</v>
      </c>
      <c r="H91" s="942"/>
      <c r="I91" s="942"/>
      <c r="J91" s="942"/>
      <c r="K91" s="942"/>
      <c r="L91" s="943"/>
      <c r="M91" s="944"/>
      <c r="N91" s="2373"/>
      <c r="O91" s="2373"/>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3"/>
      <c r="O92" s="2373"/>
      <c r="P92" s="900"/>
      <c r="Q92" s="901"/>
    </row>
    <row r="93" spans="1:17" s="813" customFormat="1" ht="15.75" thickTop="1">
      <c r="A93" s="895"/>
      <c r="B93" s="1055" t="s">
        <v>2673</v>
      </c>
      <c r="C93" s="213" t="s">
        <v>2659</v>
      </c>
      <c r="D93" s="213" t="s">
        <v>2660</v>
      </c>
      <c r="E93" s="213" t="s">
        <v>2661</v>
      </c>
      <c r="F93" s="213" t="s">
        <v>2662</v>
      </c>
      <c r="G93" s="213" t="s">
        <v>2663</v>
      </c>
      <c r="H93" s="942"/>
      <c r="I93" s="942"/>
      <c r="J93" s="942"/>
      <c r="K93" s="942"/>
      <c r="L93" s="942"/>
      <c r="M93" s="944"/>
      <c r="N93" s="2373"/>
      <c r="O93" s="2373"/>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1"/>
      <c r="N94" s="2373"/>
      <c r="O94" s="2373"/>
      <c r="P94" s="900"/>
      <c r="Q94" s="901"/>
    </row>
    <row r="95" spans="1:17" ht="15.75" thickTop="1">
      <c r="A95" s="876"/>
      <c r="B95" s="1053" t="str">
        <f>B27</f>
        <v>临街状况</v>
      </c>
      <c r="C95" s="881" t="s">
        <v>509</v>
      </c>
      <c r="D95" s="881" t="s">
        <v>510</v>
      </c>
      <c r="E95" s="881" t="s">
        <v>511</v>
      </c>
      <c r="F95" s="881" t="s">
        <v>512</v>
      </c>
      <c r="G95" s="881"/>
      <c r="H95" s="881"/>
      <c r="I95" s="881"/>
      <c r="J95" s="881"/>
      <c r="K95" s="882"/>
      <c r="L95" s="883"/>
      <c r="M95" s="884"/>
      <c r="N95" s="2371"/>
      <c r="O95" s="2371"/>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2"/>
      <c r="O96" s="2372"/>
      <c r="P96" s="334"/>
      <c r="Q96" s="846"/>
    </row>
    <row r="97" spans="1:17" ht="27.75" thickTop="1">
      <c r="A97" s="876"/>
      <c r="B97" s="1053" t="s">
        <v>144</v>
      </c>
      <c r="C97" s="139"/>
      <c r="D97" s="139"/>
      <c r="E97" s="139"/>
      <c r="F97" s="139"/>
      <c r="G97" s="139"/>
      <c r="H97" s="131"/>
      <c r="I97" s="131"/>
      <c r="J97" s="131"/>
      <c r="K97" s="132"/>
      <c r="L97" s="133"/>
      <c r="M97" s="134"/>
      <c r="N97" s="2371"/>
      <c r="O97" s="2371"/>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2"/>
      <c r="O98" s="2372"/>
      <c r="P98" s="334"/>
      <c r="Q98" s="846"/>
    </row>
    <row r="99" spans="1:17" ht="15.75" thickTop="1">
      <c r="A99" s="876"/>
      <c r="B99" s="1053" t="s">
        <v>153</v>
      </c>
      <c r="C99" s="925"/>
      <c r="D99" s="925"/>
      <c r="E99" s="925"/>
      <c r="F99" s="925"/>
      <c r="G99" s="925"/>
      <c r="H99" s="925"/>
      <c r="I99" s="925"/>
      <c r="J99" s="925"/>
      <c r="K99" s="926"/>
      <c r="L99" s="927"/>
      <c r="M99" s="928"/>
      <c r="N99" s="2371"/>
      <c r="O99" s="2371"/>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2"/>
      <c r="O100" s="2372"/>
      <c r="P100" s="334"/>
      <c r="Q100" s="846"/>
    </row>
    <row r="101" spans="1:17" ht="15.75" thickTop="1">
      <c r="A101" s="876"/>
      <c r="B101" s="1055">
        <f>B31</f>
        <v>111</v>
      </c>
      <c r="C101" s="139"/>
      <c r="D101" s="139"/>
      <c r="E101" s="139"/>
      <c r="F101" s="139"/>
      <c r="G101" s="135"/>
      <c r="H101" s="135"/>
      <c r="I101" s="135"/>
      <c r="J101" s="135"/>
      <c r="K101" s="136"/>
      <c r="L101" s="137"/>
      <c r="M101" s="138"/>
      <c r="N101" s="2371"/>
      <c r="O101" s="2371"/>
      <c r="P101" s="334"/>
      <c r="Q101" s="846"/>
    </row>
    <row r="102" spans="1:17" ht="15.75" thickBot="1">
      <c r="A102" s="876"/>
      <c r="B102" s="1070"/>
      <c r="C102" s="902"/>
      <c r="D102" s="878"/>
      <c r="E102" s="878"/>
      <c r="F102" s="878"/>
      <c r="G102" s="933"/>
      <c r="H102" s="933"/>
      <c r="I102" s="933"/>
      <c r="J102" s="933"/>
      <c r="K102" s="933"/>
      <c r="L102" s="933"/>
      <c r="M102" s="934"/>
      <c r="N102" s="2372"/>
      <c r="O102" s="2372"/>
      <c r="P102" s="334"/>
      <c r="Q102" s="846"/>
    </row>
    <row r="103" spans="1:17" ht="15" thickTop="1">
      <c r="A103" s="1083"/>
      <c r="B103" s="1053">
        <f>B32</f>
        <v>111</v>
      </c>
      <c r="C103" s="139"/>
      <c r="D103" s="139"/>
      <c r="E103" s="139"/>
      <c r="F103" s="139"/>
      <c r="G103" s="131"/>
      <c r="H103" s="131"/>
      <c r="I103" s="131"/>
      <c r="J103" s="131"/>
      <c r="K103" s="132"/>
      <c r="L103" s="133"/>
      <c r="M103" s="134"/>
      <c r="N103" s="2371"/>
      <c r="O103" s="2371"/>
      <c r="P103" s="334"/>
      <c r="Q103" s="846"/>
    </row>
    <row r="104" spans="1:17" ht="15.75" thickBot="1">
      <c r="A104" s="876"/>
      <c r="B104" s="1054"/>
      <c r="C104" s="902"/>
      <c r="D104" s="902"/>
      <c r="E104" s="902"/>
      <c r="F104" s="902"/>
      <c r="G104" s="878"/>
      <c r="H104" s="878"/>
      <c r="I104" s="878"/>
      <c r="J104" s="878"/>
      <c r="K104" s="878"/>
      <c r="L104" s="878"/>
      <c r="M104" s="879"/>
      <c r="N104" s="2372"/>
      <c r="O104" s="2372"/>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3"/>
      <c r="O105" s="2373"/>
      <c r="P105" s="900"/>
      <c r="Q105" s="901"/>
    </row>
    <row r="106" spans="1:17" s="813" customFormat="1" ht="15.75" thickBot="1">
      <c r="A106" s="895"/>
      <c r="B106" s="1055"/>
      <c r="C106" s="912"/>
      <c r="D106" s="912"/>
      <c r="E106" s="912"/>
      <c r="F106" s="912"/>
      <c r="G106" s="1085"/>
      <c r="H106" s="1085"/>
      <c r="I106" s="1085"/>
      <c r="J106" s="1085"/>
      <c r="K106" s="1085"/>
      <c r="L106" s="1085"/>
      <c r="M106" s="1107"/>
      <c r="N106" s="2372"/>
      <c r="O106" s="2372"/>
      <c r="P106" s="900"/>
      <c r="Q106" s="901"/>
    </row>
    <row r="107" spans="1:17">
      <c r="A107" s="869" t="s">
        <v>409</v>
      </c>
      <c r="B107" s="286" t="s">
        <v>87</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303" t="str">
        <f t="shared" si="25"/>
        <v>(含)-</v>
      </c>
      <c r="L107" s="3303" t="str">
        <f t="shared" si="25"/>
        <v>(含)-</v>
      </c>
      <c r="M107" s="3304" t="str">
        <f>M108&amp;"(含)"&amp;"-"&amp;P108</f>
        <v>(含)-</v>
      </c>
      <c r="N107" s="2371"/>
      <c r="O107" s="2371"/>
      <c r="P107" s="334"/>
      <c r="Q107" s="846"/>
    </row>
    <row r="108" spans="1:17" ht="15">
      <c r="A108" s="876"/>
      <c r="B108" s="1055"/>
      <c r="C108" s="937"/>
      <c r="D108" s="937"/>
      <c r="E108" s="937"/>
      <c r="F108" s="937"/>
      <c r="G108" s="937"/>
      <c r="H108" s="937"/>
      <c r="I108" s="937"/>
      <c r="J108" s="938"/>
      <c r="K108" s="938"/>
      <c r="L108" s="939"/>
      <c r="M108" s="940"/>
      <c r="N108" s="2371"/>
      <c r="O108" s="2371"/>
      <c r="P108" s="334"/>
      <c r="Q108" s="846"/>
    </row>
    <row r="109" spans="1:17" ht="15.75" thickBot="1">
      <c r="A109" s="876"/>
      <c r="B109" s="1054"/>
      <c r="C109" s="912"/>
      <c r="D109" s="933"/>
      <c r="E109" s="933"/>
      <c r="F109" s="933"/>
      <c r="G109" s="933"/>
      <c r="H109" s="933"/>
      <c r="I109" s="933"/>
      <c r="J109" s="933"/>
      <c r="K109" s="933"/>
      <c r="L109" s="933"/>
      <c r="M109" s="934"/>
      <c r="N109" s="2372"/>
      <c r="O109" s="2372"/>
      <c r="P109" s="334"/>
      <c r="Q109" s="846"/>
    </row>
    <row r="110" spans="1:17" ht="15" thickTop="1">
      <c r="A110" s="941"/>
      <c r="B110" s="1053" t="s">
        <v>86</v>
      </c>
      <c r="C110" s="131"/>
      <c r="D110" s="131"/>
      <c r="E110" s="131"/>
      <c r="F110" s="131"/>
      <c r="G110" s="131"/>
      <c r="H110" s="131"/>
      <c r="I110" s="131"/>
      <c r="J110" s="131"/>
      <c r="K110" s="132"/>
      <c r="L110" s="133"/>
      <c r="M110" s="134"/>
      <c r="N110" s="2371"/>
      <c r="O110" s="2371"/>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2"/>
      <c r="O111" s="2372"/>
      <c r="P111" s="334"/>
      <c r="Q111" s="846"/>
    </row>
    <row r="112" spans="1:17" s="813" customFormat="1" ht="15" thickTop="1">
      <c r="A112" s="935"/>
      <c r="B112" s="1053" t="s">
        <v>2506</v>
      </c>
      <c r="C112" s="139"/>
      <c r="D112" s="139"/>
      <c r="E112" s="139"/>
      <c r="F112" s="139"/>
      <c r="G112" s="139"/>
      <c r="H112" s="131"/>
      <c r="I112" s="131"/>
      <c r="J112" s="131"/>
      <c r="K112" s="132"/>
      <c r="L112" s="133"/>
      <c r="M112" s="134"/>
      <c r="N112" s="2373"/>
      <c r="O112" s="2373"/>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3"/>
      <c r="O113" s="2373"/>
      <c r="P113" s="900"/>
      <c r="Q113" s="901"/>
    </row>
    <row r="114" spans="1:17" ht="15" thickTop="1">
      <c r="A114" s="941"/>
      <c r="B114" s="1053" t="s">
        <v>85</v>
      </c>
      <c r="C114" s="139"/>
      <c r="D114" s="139"/>
      <c r="E114" s="131"/>
      <c r="F114" s="131"/>
      <c r="G114" s="131"/>
      <c r="H114" s="131"/>
      <c r="I114" s="131"/>
      <c r="J114" s="131"/>
      <c r="K114" s="132"/>
      <c r="L114" s="133"/>
      <c r="M114" s="134"/>
      <c r="N114" s="2371"/>
      <c r="O114" s="2371"/>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2"/>
      <c r="O115" s="2372"/>
      <c r="P115" s="334"/>
      <c r="Q115" s="846"/>
    </row>
    <row r="116" spans="1:17" ht="15" thickTop="1">
      <c r="A116" s="941"/>
      <c r="B116" s="1053">
        <f>B38</f>
        <v>111</v>
      </c>
      <c r="C116" s="139"/>
      <c r="D116" s="139"/>
      <c r="E116" s="139"/>
      <c r="F116" s="139"/>
      <c r="G116" s="139"/>
      <c r="H116" s="131"/>
      <c r="I116" s="131"/>
      <c r="J116" s="131"/>
      <c r="K116" s="132"/>
      <c r="L116" s="133"/>
      <c r="M116" s="134"/>
      <c r="N116" s="2371"/>
      <c r="O116" s="2371"/>
      <c r="P116" s="334"/>
      <c r="Q116" s="846"/>
    </row>
    <row r="117" spans="1:17" ht="15.75" thickBot="1">
      <c r="A117" s="876"/>
      <c r="B117" s="1054"/>
      <c r="C117" s="902"/>
      <c r="D117" s="878"/>
      <c r="E117" s="878"/>
      <c r="F117" s="878"/>
      <c r="G117" s="878"/>
      <c r="H117" s="878"/>
      <c r="I117" s="878"/>
      <c r="J117" s="878"/>
      <c r="K117" s="878"/>
      <c r="L117" s="878"/>
      <c r="M117" s="879"/>
      <c r="N117" s="2372"/>
      <c r="O117" s="2372"/>
      <c r="P117" s="334"/>
      <c r="Q117" s="846"/>
    </row>
    <row r="118" spans="1:17" ht="15" thickTop="1">
      <c r="A118" s="941"/>
      <c r="B118" s="1053">
        <f>B39</f>
        <v>111</v>
      </c>
      <c r="C118" s="139"/>
      <c r="D118" s="139"/>
      <c r="E118" s="139"/>
      <c r="F118" s="139"/>
      <c r="G118" s="131"/>
      <c r="H118" s="131"/>
      <c r="I118" s="131"/>
      <c r="J118" s="131"/>
      <c r="K118" s="132"/>
      <c r="L118" s="133"/>
      <c r="M118" s="134"/>
      <c r="N118" s="2371"/>
      <c r="O118" s="2371"/>
      <c r="P118" s="334"/>
      <c r="Q118" s="846"/>
    </row>
    <row r="119" spans="1:17" ht="15.75" thickBot="1">
      <c r="A119" s="876"/>
      <c r="B119" s="1054"/>
      <c r="C119" s="902"/>
      <c r="D119" s="902"/>
      <c r="E119" s="902"/>
      <c r="F119" s="902"/>
      <c r="G119" s="878"/>
      <c r="H119" s="878"/>
      <c r="I119" s="878"/>
      <c r="J119" s="878"/>
      <c r="K119" s="878"/>
      <c r="L119" s="878"/>
      <c r="M119" s="879"/>
      <c r="N119" s="2372"/>
      <c r="O119" s="2372"/>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3"/>
      <c r="O120" s="2373"/>
      <c r="P120" s="900"/>
      <c r="Q120" s="901"/>
    </row>
    <row r="121" spans="1:17" s="813" customFormat="1" ht="15.75" thickBot="1">
      <c r="A121" s="910"/>
      <c r="B121" s="1078"/>
      <c r="C121" s="912"/>
      <c r="D121" s="912"/>
      <c r="E121" s="912"/>
      <c r="F121" s="912"/>
      <c r="G121" s="933"/>
      <c r="H121" s="933"/>
      <c r="I121" s="933"/>
      <c r="J121" s="933"/>
      <c r="K121" s="933"/>
      <c r="L121" s="933"/>
      <c r="M121" s="934"/>
      <c r="N121" s="2373"/>
      <c r="O121" s="2373"/>
      <c r="P121" s="900"/>
      <c r="Q121" s="901"/>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6" priority="14" stopIfTrue="1" operator="containsText" text="超过">
      <formula>NOT(ISERROR(SEARCH("超过",F46)))</formula>
    </cfRule>
  </conditionalFormatting>
  <conditionalFormatting sqref="J48">
    <cfRule type="containsText" dxfId="25" priority="13" stopIfTrue="1" operator="containsText" text="超过">
      <formula>NOT(ISERROR(SEARCH("超过",J48)))</formula>
    </cfRule>
  </conditionalFormatting>
  <conditionalFormatting sqref="H48">
    <cfRule type="containsText" dxfId="24" priority="12" stopIfTrue="1" operator="containsText" text="超过">
      <formula>NOT(ISERROR(SEARCH("超过",H48)))</formula>
    </cfRule>
  </conditionalFormatting>
  <conditionalFormatting sqref="F48">
    <cfRule type="containsText" dxfId="23" priority="11" stopIfTrue="1" operator="containsText" text="超过">
      <formula>NOT(ISERROR(SEARCH("超过",F48)))</formula>
    </cfRule>
  </conditionalFormatting>
  <conditionalFormatting sqref="F47 H47 J47">
    <cfRule type="containsText" dxfId="22" priority="10" stopIfTrue="1" operator="containsText" text="超过">
      <formula>NOT(ISERROR(SEARCH("超过",F47)))</formula>
    </cfRule>
  </conditionalFormatting>
  <conditionalFormatting sqref="E46">
    <cfRule type="expression" dxfId="21" priority="9" stopIfTrue="1">
      <formula>$F$46="超过30%"</formula>
    </cfRule>
  </conditionalFormatting>
  <conditionalFormatting sqref="G48">
    <cfRule type="expression" dxfId="20" priority="8" stopIfTrue="1">
      <formula>$H$48="超过30%"</formula>
    </cfRule>
  </conditionalFormatting>
  <conditionalFormatting sqref="E48">
    <cfRule type="expression" dxfId="19" priority="6" stopIfTrue="1">
      <formula>$F$48="超过30%"</formula>
    </cfRule>
  </conditionalFormatting>
  <conditionalFormatting sqref="G46">
    <cfRule type="expression" dxfId="18" priority="5" stopIfTrue="1">
      <formula>$H$46="超过30%"</formula>
    </cfRule>
  </conditionalFormatting>
  <conditionalFormatting sqref="G47">
    <cfRule type="expression" dxfId="17" priority="4" stopIfTrue="1">
      <formula>$H$47="超过20%"</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conditionalFormatting sqref="E47">
    <cfRule type="expression" dxfId="1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7" zoomScale="80" zoomScaleNormal="80" zoomScaleSheetLayoutView="96" workbookViewId="0">
      <selection activeCell="E53" sqref="E53"/>
    </sheetView>
  </sheetViews>
  <sheetFormatPr defaultColWidth="12" defaultRowHeight="12"/>
  <cols>
    <col min="1" max="1" width="9.75" style="1626" customWidth="1"/>
    <col min="2" max="2" width="19.25" style="1747"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1796</v>
      </c>
      <c r="B1" s="1473"/>
      <c r="C1" s="86" t="s">
        <v>2507</v>
      </c>
      <c r="D1" s="1739">
        <f>SUM(D29:D30,D33:D39)</f>
        <v>0</v>
      </c>
      <c r="E1" s="1623"/>
      <c r="F1" s="1623"/>
      <c r="G1" s="1623"/>
      <c r="H1" s="1623"/>
      <c r="I1" s="1623"/>
      <c r="J1" s="1623"/>
      <c r="K1" s="2383"/>
      <c r="L1" s="1885" t="s">
        <v>1228</v>
      </c>
      <c r="M1" s="2138">
        <f>SUMPRODUCT((区片价!B5:B9=I2)*(区片价!C3:F3=E2)*(区片价!C5:F9))</f>
        <v>0</v>
      </c>
      <c r="N1" s="2141">
        <f>SUMPRODUCT((因素修正幅度!B5:B9=I2)*(因素修正幅度!C3:F3=E2)*(因素修正幅度!C5:F9))</f>
        <v>0</v>
      </c>
      <c r="O1" s="2387"/>
      <c r="P1" s="2387"/>
      <c r="Q1" s="2383"/>
      <c r="R1" s="3077" t="s">
        <v>2895</v>
      </c>
      <c r="S1" s="3077" t="s">
        <v>2896</v>
      </c>
      <c r="T1" s="3077" t="s">
        <v>2897</v>
      </c>
      <c r="U1" s="3077" t="s">
        <v>2898</v>
      </c>
      <c r="V1" s="3077" t="s">
        <v>2899</v>
      </c>
      <c r="W1" s="3078"/>
      <c r="X1" s="3078"/>
      <c r="Y1" s="3078"/>
      <c r="Z1" s="3078"/>
      <c r="AA1" s="3078"/>
      <c r="AB1" s="3078"/>
      <c r="AC1" s="3079"/>
      <c r="AD1" s="3080"/>
      <c r="AE1" s="3080"/>
      <c r="AF1" s="3080"/>
      <c r="AG1" s="3080"/>
      <c r="AH1" s="3080"/>
      <c r="AI1" s="3080"/>
      <c r="AJ1" s="3081"/>
    </row>
    <row r="2" spans="1:36" ht="15.75">
      <c r="A2" s="86" t="s">
        <v>1797</v>
      </c>
      <c r="B2" s="580">
        <f ca="1">C26</f>
        <v>0</v>
      </c>
      <c r="C2" s="1471" t="s">
        <v>1138</v>
      </c>
      <c r="D2" s="1628" t="s">
        <v>1798</v>
      </c>
      <c r="E2" s="1783" t="s">
        <v>3056</v>
      </c>
      <c r="F2" s="1628" t="s">
        <v>1799</v>
      </c>
      <c r="G2" s="1605" t="str">
        <f>IF(E2="商业",项目基本情况!B37,IF(E2="办公",项目基本情况!C37,IF(E2="住宅",项目基本情况!D37,项目基本情况!E37)))</f>
        <v>四级</v>
      </c>
      <c r="H2" s="1628" t="s">
        <v>1800</v>
      </c>
      <c r="I2" s="1605" t="str">
        <f>IF(E2="商业",项目基本情况!B38,IF(E2="办公",项目基本情况!C38,IF(E2="住宅",项目基本情况!D38,项目基本情况!E38)))</f>
        <v>Ⅳ-07</v>
      </c>
      <c r="J2" s="1629"/>
      <c r="K2" s="2383"/>
      <c r="L2" s="1886" t="s">
        <v>1285</v>
      </c>
      <c r="M2" s="2139">
        <f>SUMPRODUCT((区片价!B10:B28=I2)*(区片价!C3:F3=E2)*(区片价!C10:F28))</f>
        <v>0</v>
      </c>
      <c r="N2" s="2141">
        <f>SUMPRODUCT((因素修正幅度!B10:B28=I2)*(因素修正幅度!C3:F3=E2)*(因素修正幅度!C10:F28))</f>
        <v>0</v>
      </c>
      <c r="O2" s="2383"/>
      <c r="P2" s="2383"/>
      <c r="Q2" s="2383"/>
      <c r="R2" s="3082">
        <v>1</v>
      </c>
      <c r="S2" s="3082">
        <f>ROUND(IF(G3&gt;1,IF(R2&lt;7,SUMPRODUCT((B93:B98=R2)*(C92:N92=G2)*(C93:N98)),SUMIF(C92:N92,G2,C100:N100)),IF(R2&lt;7,SUMPRODUCT((B102:B107=R2)*(C92:N92=G2)*(C102:N107)),SUMIF(C92:N92,G2,C109:N109))),4)</f>
        <v>1.8629</v>
      </c>
      <c r="T2" s="3082">
        <f ca="1">ROUND($C$5*$C$18*$C$19*$C$20*S2*$C$24,0)</f>
        <v>0</v>
      </c>
      <c r="U2" s="3083"/>
      <c r="V2" s="3082">
        <f ca="1">ROUND(T2*U2/10000,0)</f>
        <v>0</v>
      </c>
      <c r="W2" s="3078"/>
      <c r="X2" s="3078"/>
      <c r="Y2" s="3078"/>
      <c r="Z2" s="3078"/>
      <c r="AA2" s="3078"/>
      <c r="AB2" s="3078"/>
      <c r="AC2" s="3079"/>
      <c r="AD2" s="3080"/>
      <c r="AE2" s="3080"/>
      <c r="AF2" s="3080"/>
      <c r="AG2" s="3080"/>
      <c r="AH2" s="3080"/>
      <c r="AI2" s="3080"/>
      <c r="AJ2" s="3081"/>
    </row>
    <row r="3" spans="1:36" ht="15.75">
      <c r="A3" s="87" t="s">
        <v>1801</v>
      </c>
      <c r="B3" s="580" t="e">
        <f ca="1">ROUND(B2*10000/D1,0)</f>
        <v>#DIV/0!</v>
      </c>
      <c r="C3" s="1471" t="s">
        <v>1802</v>
      </c>
      <c r="D3" s="1628" t="s">
        <v>1141</v>
      </c>
      <c r="E3" s="1784" t="s">
        <v>3233</v>
      </c>
      <c r="F3" s="1785" t="s">
        <v>3030</v>
      </c>
      <c r="G3" s="1630">
        <f>IF(F3="宗地容积率",'数据-汇总表'!I4,IF(F3="估价对象容积率",'数据-汇总表'!I6,'数据-汇总表'!I7))</f>
        <v>3.71</v>
      </c>
      <c r="H3" s="1631" t="s">
        <v>1142</v>
      </c>
      <c r="I3" s="1786"/>
      <c r="J3" s="1629" t="s">
        <v>1143</v>
      </c>
      <c r="K3" s="2383"/>
      <c r="L3" s="1886" t="s">
        <v>1458</v>
      </c>
      <c r="M3" s="2139">
        <f>SUMPRODUCT((区片价!B29:B48=I2)*(区片价!C3:F3=E2)*(区片价!C29:F48))</f>
        <v>0</v>
      </c>
      <c r="N3" s="2141">
        <f>SUMPRODUCT((因素修正幅度!B29:B48=I2)*(因素修正幅度!C3:F3=E2)*(因素修正幅度!C29:F48))</f>
        <v>0</v>
      </c>
      <c r="O3" s="2383"/>
      <c r="P3" s="2383"/>
      <c r="Q3" s="2383"/>
      <c r="R3" s="3082">
        <v>2</v>
      </c>
      <c r="S3" s="3082">
        <f>ROUND(IF(G3&gt;1,IF(R3&lt;7,SUMPRODUCT((B93:B98=R3)*(C92:N92=G2)*(C93:N98)),SUMIF(C92:N92,G2,C100:N100)),IF(R3&lt;7,SUMPRODUCT((B102:B107=R3)*(C92:N92=G2)*(C102:N107)),SUMIF(C92:N92,G2,C109:N109))),4)</f>
        <v>1.3371999999999999</v>
      </c>
      <c r="T3" s="3082">
        <f t="shared" ref="T3:T16" ca="1" si="0">ROUND($C$5*$C$18*$C$19*$C$20*S3*$C$24,0)</f>
        <v>0</v>
      </c>
      <c r="U3" s="3083"/>
      <c r="V3" s="3082">
        <f t="shared" ref="V3:V16" ca="1" si="1">ROUND(T3*U3/10000,0)</f>
        <v>0</v>
      </c>
      <c r="W3" s="3078"/>
      <c r="X3" s="3078"/>
      <c r="Y3" s="3078"/>
      <c r="Z3" s="3078"/>
      <c r="AA3" s="3078"/>
      <c r="AB3" s="3078"/>
      <c r="AC3" s="3079"/>
      <c r="AD3" s="3080"/>
      <c r="AE3" s="3080"/>
      <c r="AF3" s="3080"/>
      <c r="AG3" s="3080"/>
      <c r="AH3" s="3080"/>
      <c r="AI3" s="3080"/>
      <c r="AJ3" s="3081"/>
    </row>
    <row r="4" spans="1:36" ht="15">
      <c r="A4" s="3681"/>
      <c r="B4" s="3682"/>
      <c r="C4" s="3682"/>
      <c r="D4" s="3683"/>
      <c r="E4" s="3683"/>
      <c r="F4" s="3683"/>
      <c r="G4" s="3683"/>
      <c r="H4" s="3683"/>
      <c r="I4" s="3683"/>
      <c r="J4" s="3684"/>
      <c r="K4" s="2383"/>
      <c r="L4" s="1886" t="s">
        <v>1139</v>
      </c>
      <c r="M4" s="2139">
        <f>SUMPRODUCT((区片价!B49:B75=I2)*(区片价!C3:F3=E2)*(区片价!C49:F75))</f>
        <v>16930</v>
      </c>
      <c r="N4" s="2141">
        <f>SUMPRODUCT((因素修正幅度!B49:B75=I2)*(因素修正幅度!C3:F3=E2)*(因素修正幅度!C49:F75))</f>
        <v>0.1</v>
      </c>
      <c r="O4" s="2383"/>
      <c r="P4" s="2383"/>
      <c r="Q4" s="2383"/>
      <c r="R4" s="3082">
        <v>3</v>
      </c>
      <c r="S4" s="3082">
        <f>ROUND(IF(G3&gt;1,IF(R4&lt;7,SUMPRODUCT((B93:B98=R4)*(C92:N92=G2)*(C93:N98)),SUMIF(C92:N92,G2,C100:N100)),IF(R4&lt;7,SUMPRODUCT((B102:B107=R4)*(C92:N92=G2)*(C102:N107)),SUMIF(C92:N92,G2,C109:N109))),4)</f>
        <v>1.0788</v>
      </c>
      <c r="T4" s="3082">
        <f t="shared" ca="1" si="0"/>
        <v>0</v>
      </c>
      <c r="U4" s="3083"/>
      <c r="V4" s="3082">
        <f t="shared" ca="1" si="1"/>
        <v>0</v>
      </c>
      <c r="W4" s="3078"/>
      <c r="X4" s="3078"/>
      <c r="Y4" s="3078"/>
      <c r="Z4" s="3078"/>
      <c r="AA4" s="3078"/>
      <c r="AB4" s="3078"/>
      <c r="AC4" s="3079"/>
      <c r="AD4" s="3080"/>
      <c r="AE4" s="3080"/>
      <c r="AF4" s="3080"/>
      <c r="AG4" s="3080"/>
      <c r="AH4" s="3080"/>
      <c r="AI4" s="3080"/>
      <c r="AJ4" s="3081"/>
    </row>
    <row r="5" spans="1:36" s="1639" customFormat="1" ht="15.75" thickBot="1">
      <c r="A5" s="1879" t="s">
        <v>1939</v>
      </c>
      <c r="B5" s="1632" t="s">
        <v>1803</v>
      </c>
      <c r="C5" s="1633">
        <f>ROUND(IF(E2="商业",IF(F16="增加",C6*C7+C16,C6*C7-C16),IF(E2="住宅",IF(F16="增加",C6*C12+C16,C6*C12-C16),IF(F16="增加",C6+C16,C6-C16))),0)</f>
        <v>16930</v>
      </c>
      <c r="D5" s="1634"/>
      <c r="E5" s="1635"/>
      <c r="F5" s="1635"/>
      <c r="G5" s="1636"/>
      <c r="H5" s="1636"/>
      <c r="I5" s="1636"/>
      <c r="J5" s="1637"/>
      <c r="K5" s="2388"/>
      <c r="L5" s="1886" t="s">
        <v>1539</v>
      </c>
      <c r="M5" s="2139">
        <f>SUMPRODUCT((区片价!B76:B109=I2)*(区片价!C3:F3=E2)*(区片价!C76:F109))</f>
        <v>0</v>
      </c>
      <c r="N5" s="2141">
        <f>SUMPRODUCT((因素修正幅度!B76:B109=I2)*(因素修正幅度!C3:F3=E2)*(因素修正幅度!C76:F109))</f>
        <v>0</v>
      </c>
      <c r="O5" s="2383"/>
      <c r="P5" s="2383"/>
      <c r="Q5" s="2383"/>
      <c r="R5" s="3082">
        <v>4</v>
      </c>
      <c r="S5" s="3082">
        <f>ROUND(IF(G3&gt;1,IF(R5&lt;7,SUMPRODUCT((B93:B98=R5)*(C92:N92=G2)*(C93:N98)),SUMIF(C92:N92,G2,C100:N100)),IF(R5&lt;7,SUMPRODUCT((B102:B107=R5)*(C92:N92=G2)*(C102:N107)),SUMIF(C92:N92,G2,C109:N109))),4)</f>
        <v>0.86560000000000004</v>
      </c>
      <c r="T5" s="3082">
        <f t="shared" ca="1" si="0"/>
        <v>0</v>
      </c>
      <c r="U5" s="3083"/>
      <c r="V5" s="3082">
        <f t="shared" ca="1" si="1"/>
        <v>0</v>
      </c>
      <c r="W5" s="3078"/>
      <c r="X5" s="3078"/>
      <c r="Y5" s="3078"/>
      <c r="Z5" s="3078"/>
      <c r="AA5" s="3078"/>
      <c r="AB5" s="3078"/>
      <c r="AC5" s="3084"/>
      <c r="AD5" s="3085"/>
      <c r="AE5" s="3085"/>
      <c r="AF5" s="3085"/>
      <c r="AG5" s="3085"/>
      <c r="AH5" s="3085"/>
      <c r="AI5" s="3085"/>
      <c r="AJ5" s="3086"/>
    </row>
    <row r="6" spans="1:36" ht="15.75" thickBot="1">
      <c r="A6" s="1883" t="s">
        <v>1946</v>
      </c>
      <c r="B6" s="1640" t="s">
        <v>1803</v>
      </c>
      <c r="C6" s="1641">
        <f>SUMIF(L1:L12,G2,M1:M12)</f>
        <v>16930</v>
      </c>
      <c r="D6" s="1642" t="s">
        <v>1804</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82">
        <v>5</v>
      </c>
      <c r="S6" s="3082">
        <f>ROUND(IF(G3&gt;1,IF(R6&lt;7,SUMPRODUCT((B93:B98=R6)*(C92:N92=G2)*(C93:N98)),SUMIF(C92:N92,G2,C100:N100)),IF(R6&lt;7,SUMPRODUCT((B102:B107=R6)*(C92:N92=G2)*(C102:N107)),SUMIF(C92:N92,G2,C109:N109))),4)</f>
        <v>0.73709999999999998</v>
      </c>
      <c r="T6" s="3082">
        <f t="shared" ca="1" si="0"/>
        <v>0</v>
      </c>
      <c r="U6" s="3083"/>
      <c r="V6" s="3082">
        <f t="shared" ca="1" si="1"/>
        <v>0</v>
      </c>
      <c r="W6" s="3078"/>
      <c r="X6" s="3078"/>
      <c r="Y6" s="3078"/>
      <c r="Z6" s="3078"/>
      <c r="AA6" s="3078"/>
      <c r="AB6" s="3078"/>
      <c r="AC6" s="3084"/>
      <c r="AD6" s="3085"/>
      <c r="AE6" s="3085"/>
      <c r="AF6" s="3085"/>
      <c r="AG6" s="3085"/>
      <c r="AH6" s="3085"/>
      <c r="AI6" s="3085"/>
      <c r="AJ6" s="3086"/>
    </row>
    <row r="7" spans="1:36" ht="24">
      <c r="A7" s="3668" t="str">
        <f>IF(E2="商业",IF(C8="不临58条商业街","",2),"")</f>
        <v/>
      </c>
      <c r="B7" s="1646" t="s">
        <v>1805</v>
      </c>
      <c r="C7" s="1647">
        <f>IF(C8="不临58条商业街",1,ROUND(1+(1.6*E8+1.2*E9+0.8*E10+0.4*E11)*C9,4))</f>
        <v>1</v>
      </c>
      <c r="D7" s="1648" t="s">
        <v>1806</v>
      </c>
      <c r="E7" s="1787"/>
      <c r="F7" s="1649"/>
      <c r="G7" s="1650"/>
      <c r="H7" s="1650"/>
      <c r="I7" s="1650"/>
      <c r="J7" s="1651"/>
      <c r="K7" s="2389"/>
      <c r="L7" s="1886" t="s">
        <v>1542</v>
      </c>
      <c r="M7" s="2139">
        <f>SUMPRODUCT((区片价!B158:B205=I2)*(区片价!C3:F3=E2)*(区片价!C158:F205))</f>
        <v>0</v>
      </c>
      <c r="N7" s="2141">
        <f>SUMPRODUCT((因素修正幅度!B158:B205=I2)*(因素修正幅度!C3:F3=E2)*(因素修正幅度!C158:F205))</f>
        <v>0</v>
      </c>
      <c r="O7" s="2383"/>
      <c r="P7" s="2383"/>
      <c r="Q7" s="2383"/>
      <c r="R7" s="3082">
        <v>6</v>
      </c>
      <c r="S7" s="3082">
        <f>ROUND(IF(G3&gt;1,IF(R7&lt;7,SUMPRODUCT((B93:B98=R7)*(C92:N92=G2)*(C93:N98)),SUMIF(C92:N92,G2,C100:N100)),IF(R7&lt;7,SUMPRODUCT((B102:B107=R7)*(C92:N92=G2)*(C102:N107)),SUMIF(C92:N92,G2,C109:N109))),4)</f>
        <v>0.6482</v>
      </c>
      <c r="T7" s="3082">
        <f t="shared" ca="1" si="0"/>
        <v>0</v>
      </c>
      <c r="U7" s="3083"/>
      <c r="V7" s="3082">
        <f t="shared" ca="1" si="1"/>
        <v>0</v>
      </c>
      <c r="W7" s="3087" t="s">
        <v>2900</v>
      </c>
      <c r="X7" s="3088" t="str">
        <f>G2</f>
        <v>四级</v>
      </c>
      <c r="Y7" s="3088" t="s">
        <v>2901</v>
      </c>
      <c r="Z7" s="3089">
        <f>G3</f>
        <v>3.71</v>
      </c>
      <c r="AA7" s="3090"/>
      <c r="AB7" s="3090"/>
      <c r="AC7" s="3091"/>
      <c r="AD7" s="3092"/>
      <c r="AE7" s="3092"/>
      <c r="AF7" s="3092"/>
      <c r="AG7" s="3092"/>
      <c r="AH7" s="3092"/>
      <c r="AI7" s="3092"/>
      <c r="AJ7" s="3093"/>
    </row>
    <row r="8" spans="1:36" ht="24">
      <c r="A8" s="3669"/>
      <c r="B8" s="1631" t="s">
        <v>1807</v>
      </c>
      <c r="C8" s="1788" t="s">
        <v>3234</v>
      </c>
      <c r="D8" s="1652" t="s">
        <v>1144</v>
      </c>
      <c r="E8" s="1653" t="e">
        <f>ROUND(C11/E7,4)</f>
        <v>#DIV/0!</v>
      </c>
      <c r="F8" s="1654" t="s">
        <v>1808</v>
      </c>
      <c r="G8" s="1655"/>
      <c r="H8" s="1655"/>
      <c r="I8" s="1655"/>
      <c r="J8" s="1656"/>
      <c r="K8" s="2383"/>
      <c r="L8" s="1886" t="s">
        <v>1544</v>
      </c>
      <c r="M8" s="2139">
        <f>SUMPRODUCT((区片价!B206:B244=I2)*(区片价!C3:F3=E2)*(区片价!C206:F244))</f>
        <v>0</v>
      </c>
      <c r="N8" s="2141">
        <f>SUMPRODUCT((因素修正幅度!B206:B244=I2)*(因素修正幅度!C3:F3=E2)*(因素修正幅度!C206:F244))</f>
        <v>0</v>
      </c>
      <c r="O8" s="2383"/>
      <c r="P8" s="2383"/>
      <c r="Q8" s="2383"/>
      <c r="R8" s="3082">
        <v>7</v>
      </c>
      <c r="S8" s="3083"/>
      <c r="T8" s="3082">
        <f t="shared" ca="1" si="0"/>
        <v>0</v>
      </c>
      <c r="U8" s="3083"/>
      <c r="V8" s="3082">
        <f t="shared" ca="1" si="1"/>
        <v>0</v>
      </c>
      <c r="W8" s="3678" t="s">
        <v>2902</v>
      </c>
      <c r="X8" s="3679"/>
      <c r="Y8" s="3094" t="s">
        <v>165</v>
      </c>
      <c r="Z8" s="3094" t="s">
        <v>166</v>
      </c>
      <c r="AA8" s="3094" t="s">
        <v>161</v>
      </c>
      <c r="AB8" s="3094" t="s">
        <v>162</v>
      </c>
      <c r="AC8" s="3094" t="s">
        <v>163</v>
      </c>
      <c r="AD8" s="3094" t="s">
        <v>164</v>
      </c>
      <c r="AE8" s="3094" t="s">
        <v>1179</v>
      </c>
      <c r="AF8" s="3094" t="s">
        <v>1180</v>
      </c>
      <c r="AG8" s="3094" t="s">
        <v>1181</v>
      </c>
      <c r="AH8" s="3094" t="s">
        <v>1182</v>
      </c>
      <c r="AI8" s="3094" t="s">
        <v>1183</v>
      </c>
      <c r="AJ8" s="3094" t="s">
        <v>1184</v>
      </c>
    </row>
    <row r="9" spans="1:36" ht="15">
      <c r="A9" s="3669"/>
      <c r="B9" s="1631" t="s">
        <v>1809</v>
      </c>
      <c r="C9" s="1657">
        <f>SUMIF(修正!C59:C119,C8,修正!E59:E119)</f>
        <v>0</v>
      </c>
      <c r="D9" s="532" t="s">
        <v>1145</v>
      </c>
      <c r="E9" s="532" t="e">
        <f>ROUND(C11/E7,4)</f>
        <v>#DIV/0!</v>
      </c>
      <c r="F9" s="1654" t="s">
        <v>1810</v>
      </c>
      <c r="G9" s="1655"/>
      <c r="H9" s="1655"/>
      <c r="I9" s="1655"/>
      <c r="J9" s="1656"/>
      <c r="K9" s="2383"/>
      <c r="L9" s="1886" t="s">
        <v>1546</v>
      </c>
      <c r="M9" s="2139">
        <f>SUMPRODUCT((区片价!B245:B289=I2)*(区片价!C3:F3=E2)*(区片价!C245:F289))</f>
        <v>0</v>
      </c>
      <c r="N9" s="2141">
        <f>SUMPRODUCT((因素修正幅度!B245:B289=I2)*(因素修正幅度!C3:F3=E2)*(因素修正幅度!C245:F289))</f>
        <v>0</v>
      </c>
      <c r="O9" s="2383"/>
      <c r="P9" s="2383"/>
      <c r="Q9" s="2383"/>
      <c r="R9" s="3082">
        <v>8</v>
      </c>
      <c r="S9" s="3083"/>
      <c r="T9" s="3082">
        <f t="shared" ca="1" si="0"/>
        <v>0</v>
      </c>
      <c r="U9" s="3083"/>
      <c r="V9" s="3082">
        <f t="shared" ca="1" si="1"/>
        <v>0</v>
      </c>
      <c r="W9" s="3680" t="s">
        <v>2903</v>
      </c>
      <c r="X9" s="3095" t="s">
        <v>1766</v>
      </c>
      <c r="Y9" s="3317"/>
      <c r="Z9" s="3096">
        <f>$Y$9</f>
        <v>0</v>
      </c>
      <c r="AA9" s="3096">
        <f t="shared" ref="AA9:AJ9" si="2">$Y$9</f>
        <v>0</v>
      </c>
      <c r="AB9" s="3096">
        <f t="shared" si="2"/>
        <v>0</v>
      </c>
      <c r="AC9" s="3096">
        <f t="shared" si="2"/>
        <v>0</v>
      </c>
      <c r="AD9" s="3096">
        <f t="shared" si="2"/>
        <v>0</v>
      </c>
      <c r="AE9" s="3096">
        <f t="shared" si="2"/>
        <v>0</v>
      </c>
      <c r="AF9" s="3096">
        <f t="shared" si="2"/>
        <v>0</v>
      </c>
      <c r="AG9" s="3096">
        <f t="shared" si="2"/>
        <v>0</v>
      </c>
      <c r="AH9" s="3096">
        <f t="shared" si="2"/>
        <v>0</v>
      </c>
      <c r="AI9" s="3096">
        <f t="shared" si="2"/>
        <v>0</v>
      </c>
      <c r="AJ9" s="3096">
        <f t="shared" si="2"/>
        <v>0</v>
      </c>
    </row>
    <row r="10" spans="1:36" ht="15">
      <c r="A10" s="3669"/>
      <c r="B10" s="1631" t="s">
        <v>1811</v>
      </c>
      <c r="C10" s="532">
        <f>SUMIF(修正!C59:C119,C8,修正!F59:F119)</f>
        <v>0</v>
      </c>
      <c r="D10" s="532" t="s">
        <v>1146</v>
      </c>
      <c r="E10" s="532" t="e">
        <f>ROUND(C11/E7,4)</f>
        <v>#DIV/0!</v>
      </c>
      <c r="F10" s="1654" t="s">
        <v>1812</v>
      </c>
      <c r="G10" s="1655"/>
      <c r="H10" s="1655"/>
      <c r="I10" s="1655"/>
      <c r="J10" s="1656"/>
      <c r="K10" s="2383"/>
      <c r="L10" s="1886" t="s">
        <v>1550</v>
      </c>
      <c r="M10" s="2139">
        <f>SUMPRODUCT((区片价!B290:B316=I2)*(区片价!C3:F3=E2)*(区片价!C290:F316))</f>
        <v>0</v>
      </c>
      <c r="N10" s="2141">
        <f>SUMPRODUCT((因素修正幅度!B290:B316=I2)*(因素修正幅度!C3:F3=E2)*(因素修正幅度!C290:F316))</f>
        <v>0</v>
      </c>
      <c r="O10" s="2383"/>
      <c r="P10" s="2383"/>
      <c r="Q10" s="2383"/>
      <c r="R10" s="3082">
        <v>9</v>
      </c>
      <c r="S10" s="3083"/>
      <c r="T10" s="3082">
        <f t="shared" ca="1" si="0"/>
        <v>0</v>
      </c>
      <c r="U10" s="3083"/>
      <c r="V10" s="3082">
        <f t="shared" ca="1" si="1"/>
        <v>0</v>
      </c>
      <c r="W10" s="3680"/>
      <c r="X10" s="3095">
        <v>7</v>
      </c>
      <c r="Y10" s="3097">
        <f>(-0.163*(Y9^2)-0.59*Y9+7617)*(10^(-4))</f>
        <v>0.76170000000000004</v>
      </c>
      <c r="Z10" s="3097">
        <f>(-0.163*(Z9^2)-0.59*Z9+7617)*(10^(-4))</f>
        <v>0.76170000000000004</v>
      </c>
      <c r="AA10" s="3097">
        <f>(-0.161*(AA9^2)-7.509*AA9+6533)*(10^(-4))</f>
        <v>0.65329999999999999</v>
      </c>
      <c r="AB10" s="3097">
        <f>(-0.161*(AB9^2)-7.509*AB9+6533)*(10^(-4))</f>
        <v>0.65329999999999999</v>
      </c>
      <c r="AC10" s="3097">
        <f>(-0.161*(AC9^2)-7.509*AC9+6533)*(10^(-4))</f>
        <v>0.65329999999999999</v>
      </c>
      <c r="AD10" s="3097">
        <f>(-0.161*(AD9^2)-7.509*AD9+6533)*(10^(-4))</f>
        <v>0.65329999999999999</v>
      </c>
      <c r="AE10" s="3097">
        <f>(-0.161*(AE9^2)-7.509*AE9+6533)*(10^(-4))</f>
        <v>0.65329999999999999</v>
      </c>
      <c r="AF10" s="3097">
        <f>(-0.214*(AF9^2)-21.991*AF9+4665)*(10^(-4))</f>
        <v>0.46650000000000003</v>
      </c>
      <c r="AG10" s="3097">
        <f>(-0.214*(AG9^2)-21.991*AG9+4665)*(10^(-4))</f>
        <v>0.46650000000000003</v>
      </c>
      <c r="AH10" s="3097">
        <f>(-0.214*(AH9^2)-21.991*AH9+4665)*(10^(-4))</f>
        <v>0.46650000000000003</v>
      </c>
      <c r="AI10" s="3097">
        <f>(-0.214*(AI9^2)-21.991*AI9+4665)*(10^(-4))</f>
        <v>0.46650000000000003</v>
      </c>
      <c r="AJ10" s="3097">
        <f>(-0.214*(AJ9^2)-21.991*AJ9+4665)*(10^(-4))</f>
        <v>0.46650000000000003</v>
      </c>
    </row>
    <row r="11" spans="1:36" ht="15.75" thickBot="1">
      <c r="A11" s="3669"/>
      <c r="B11" s="1658" t="s">
        <v>1813</v>
      </c>
      <c r="C11" s="1659">
        <f>C10/4</f>
        <v>0</v>
      </c>
      <c r="D11" s="1659" t="s">
        <v>1147</v>
      </c>
      <c r="E11" s="1659" t="e">
        <f>ROUND(C11/E7,4)</f>
        <v>#DIV/0!</v>
      </c>
      <c r="F11" s="1660" t="s">
        <v>1814</v>
      </c>
      <c r="G11" s="1661"/>
      <c r="H11" s="1661"/>
      <c r="I11" s="1661"/>
      <c r="J11" s="1662"/>
      <c r="K11" s="2383"/>
      <c r="L11" s="1886" t="s">
        <v>1949</v>
      </c>
      <c r="M11" s="2139">
        <f>SUMPRODUCT((区片价!B317:B337=I2)*(区片价!C3:F3=E2)*(区片价!C317:F337))</f>
        <v>0</v>
      </c>
      <c r="N11" s="2141">
        <f>SUMPRODUCT((因素修正幅度!B317:B337=I2)*(因素修正幅度!C3:F3=E2)*(因素修正幅度!C317:F337))</f>
        <v>0</v>
      </c>
      <c r="O11" s="2383"/>
      <c r="P11" s="2383"/>
      <c r="Q11" s="2383"/>
      <c r="R11" s="3082">
        <v>10</v>
      </c>
      <c r="S11" s="3083"/>
      <c r="T11" s="3082">
        <f t="shared" ca="1" si="0"/>
        <v>0</v>
      </c>
      <c r="U11" s="3083"/>
      <c r="V11" s="3082">
        <f t="shared" ca="1" si="1"/>
        <v>0</v>
      </c>
      <c r="W11" s="3680" t="s">
        <v>2904</v>
      </c>
      <c r="X11" s="3098" t="s">
        <v>2901</v>
      </c>
      <c r="Y11" s="3099">
        <f>$G$3</f>
        <v>3.71</v>
      </c>
      <c r="Z11" s="3099">
        <f t="shared" ref="Z11:AJ11" si="3">$G$3</f>
        <v>3.71</v>
      </c>
      <c r="AA11" s="3099">
        <f t="shared" si="3"/>
        <v>3.71</v>
      </c>
      <c r="AB11" s="3099">
        <f t="shared" si="3"/>
        <v>3.71</v>
      </c>
      <c r="AC11" s="3099">
        <f t="shared" si="3"/>
        <v>3.71</v>
      </c>
      <c r="AD11" s="3099">
        <f t="shared" si="3"/>
        <v>3.71</v>
      </c>
      <c r="AE11" s="3099">
        <f t="shared" si="3"/>
        <v>3.71</v>
      </c>
      <c r="AF11" s="3099">
        <f t="shared" si="3"/>
        <v>3.71</v>
      </c>
      <c r="AG11" s="3099">
        <f t="shared" si="3"/>
        <v>3.71</v>
      </c>
      <c r="AH11" s="3099">
        <f t="shared" si="3"/>
        <v>3.71</v>
      </c>
      <c r="AI11" s="3099">
        <f t="shared" si="3"/>
        <v>3.71</v>
      </c>
      <c r="AJ11" s="3099">
        <f t="shared" si="3"/>
        <v>3.71</v>
      </c>
    </row>
    <row r="12" spans="1:36" ht="26.25" thickBot="1">
      <c r="A12" s="3668" t="s">
        <v>1947</v>
      </c>
      <c r="B12" s="1663" t="s">
        <v>1815</v>
      </c>
      <c r="C12" s="1647">
        <f>ROUND(C15*D15*E15*F15*G15*H15*I15*J15,4)</f>
        <v>1.21</v>
      </c>
      <c r="D12" s="1664" t="s">
        <v>1816</v>
      </c>
      <c r="E12" s="1665"/>
      <c r="F12" s="1665"/>
      <c r="G12" s="1666"/>
      <c r="H12" s="1666"/>
      <c r="I12" s="1666"/>
      <c r="J12" s="1667"/>
      <c r="K12" s="2383"/>
      <c r="L12" s="1887" t="s">
        <v>1950</v>
      </c>
      <c r="M12" s="2140">
        <f>SUMPRODUCT((区片价!B338:B344=I2)*(区片价!C3:F3=E2)*(区片价!C338:F344))</f>
        <v>0</v>
      </c>
      <c r="N12" s="2141">
        <f>SUMPRODUCT((因素修正幅度!B338:B344=I2)*(因素修正幅度!C3:F3=E2)*(因素修正幅度!C338:F344))</f>
        <v>0</v>
      </c>
      <c r="O12" s="2383"/>
      <c r="P12" s="2383"/>
      <c r="Q12" s="2383"/>
      <c r="R12" s="3082">
        <v>11</v>
      </c>
      <c r="S12" s="3083"/>
      <c r="T12" s="3082">
        <f t="shared" ca="1" si="0"/>
        <v>0</v>
      </c>
      <c r="U12" s="3083"/>
      <c r="V12" s="3082">
        <f t="shared" ca="1" si="1"/>
        <v>0</v>
      </c>
      <c r="W12" s="3680"/>
      <c r="X12" s="3100" t="s">
        <v>1769</v>
      </c>
      <c r="Y12" s="3096">
        <f t="shared" ref="Y12:AJ12" si="4">Y9</f>
        <v>0</v>
      </c>
      <c r="Z12" s="3096">
        <f t="shared" si="4"/>
        <v>0</v>
      </c>
      <c r="AA12" s="3096">
        <f t="shared" si="4"/>
        <v>0</v>
      </c>
      <c r="AB12" s="3096">
        <f t="shared" si="4"/>
        <v>0</v>
      </c>
      <c r="AC12" s="3096">
        <f t="shared" si="4"/>
        <v>0</v>
      </c>
      <c r="AD12" s="3096">
        <f t="shared" si="4"/>
        <v>0</v>
      </c>
      <c r="AE12" s="3096">
        <f t="shared" si="4"/>
        <v>0</v>
      </c>
      <c r="AF12" s="3096">
        <f t="shared" si="4"/>
        <v>0</v>
      </c>
      <c r="AG12" s="3096">
        <f t="shared" si="4"/>
        <v>0</v>
      </c>
      <c r="AH12" s="3096">
        <f t="shared" si="4"/>
        <v>0</v>
      </c>
      <c r="AI12" s="3096">
        <f t="shared" si="4"/>
        <v>0</v>
      </c>
      <c r="AJ12" s="3096">
        <f t="shared" si="4"/>
        <v>0</v>
      </c>
    </row>
    <row r="13" spans="1:36" ht="24">
      <c r="A13" s="3685"/>
      <c r="B13" s="1668" t="s">
        <v>1817</v>
      </c>
      <c r="C13" s="1669" t="s">
        <v>1818</v>
      </c>
      <c r="D13" s="1670" t="s">
        <v>1819</v>
      </c>
      <c r="E13" s="1670" t="s">
        <v>1820</v>
      </c>
      <c r="F13" s="81" t="s">
        <v>1148</v>
      </c>
      <c r="G13" s="1789" t="s">
        <v>1871</v>
      </c>
      <c r="H13" s="1789" t="s">
        <v>1871</v>
      </c>
      <c r="I13" s="1789" t="s">
        <v>1871</v>
      </c>
      <c r="J13" s="1790" t="s">
        <v>1871</v>
      </c>
      <c r="K13" s="2383"/>
      <c r="L13" s="2383"/>
      <c r="M13" s="2383"/>
      <c r="N13" s="2383"/>
      <c r="O13" s="2383"/>
      <c r="P13" s="2383"/>
      <c r="Q13" s="2383"/>
      <c r="R13" s="3082">
        <v>12</v>
      </c>
      <c r="S13" s="3083"/>
      <c r="T13" s="3082">
        <f t="shared" ca="1" si="0"/>
        <v>0</v>
      </c>
      <c r="U13" s="3083"/>
      <c r="V13" s="3082">
        <f t="shared" ca="1" si="1"/>
        <v>0</v>
      </c>
      <c r="W13" s="3680"/>
      <c r="X13" s="3100"/>
      <c r="Y13" s="3097">
        <f>(-0.163*(Y12^2)-0.59*Y12+7617)*(10^(-4))/Y11</f>
        <v>0.2053099730458221</v>
      </c>
      <c r="Z13" s="3097">
        <f t="shared" ref="Z13:AJ13" si="5">(-0.163*(Z12^2)-0.59*Z12+7617)*(10^(-4))/Z11</f>
        <v>0.2053099730458221</v>
      </c>
      <c r="AA13" s="3097">
        <f t="shared" si="5"/>
        <v>0.2053099730458221</v>
      </c>
      <c r="AB13" s="3097">
        <f t="shared" si="5"/>
        <v>0.2053099730458221</v>
      </c>
      <c r="AC13" s="3097">
        <f t="shared" si="5"/>
        <v>0.2053099730458221</v>
      </c>
      <c r="AD13" s="3097">
        <f t="shared" si="5"/>
        <v>0.2053099730458221</v>
      </c>
      <c r="AE13" s="3097">
        <f t="shared" si="5"/>
        <v>0.2053099730458221</v>
      </c>
      <c r="AF13" s="3097">
        <f t="shared" si="5"/>
        <v>0.2053099730458221</v>
      </c>
      <c r="AG13" s="3097">
        <f t="shared" si="5"/>
        <v>0.2053099730458221</v>
      </c>
      <c r="AH13" s="3097">
        <f t="shared" si="5"/>
        <v>0.2053099730458221</v>
      </c>
      <c r="AI13" s="3097">
        <f t="shared" si="5"/>
        <v>0.2053099730458221</v>
      </c>
      <c r="AJ13" s="3097">
        <f t="shared" si="5"/>
        <v>0.2053099730458221</v>
      </c>
    </row>
    <row r="14" spans="1:36" ht="15">
      <c r="A14" s="3685"/>
      <c r="B14" s="1671"/>
      <c r="C14" s="1791" t="s">
        <v>3235</v>
      </c>
      <c r="D14" s="1487" t="s">
        <v>150</v>
      </c>
      <c r="E14" s="1487" t="s">
        <v>150</v>
      </c>
      <c r="F14" s="1792" t="s">
        <v>3236</v>
      </c>
      <c r="G14" s="1672" t="s">
        <v>1848</v>
      </c>
      <c r="H14" s="1673"/>
      <c r="I14" s="1674"/>
      <c r="J14" s="1675"/>
      <c r="K14" s="2383"/>
      <c r="L14" s="2383"/>
      <c r="M14" s="2383"/>
      <c r="N14" s="2383"/>
      <c r="O14" s="2383"/>
      <c r="P14" s="2383"/>
      <c r="Q14" s="2383"/>
      <c r="R14" s="3082">
        <v>13</v>
      </c>
      <c r="S14" s="3083"/>
      <c r="T14" s="3082">
        <f t="shared" ca="1" si="0"/>
        <v>0</v>
      </c>
      <c r="U14" s="3083"/>
      <c r="V14" s="3082">
        <f t="shared" ca="1" si="1"/>
        <v>0</v>
      </c>
      <c r="W14" s="3078"/>
      <c r="X14" s="3078"/>
      <c r="Y14" s="3078"/>
      <c r="Z14" s="3078"/>
      <c r="AA14" s="3078"/>
      <c r="AB14" s="3078"/>
      <c r="AC14" s="3079"/>
      <c r="AD14" s="3080"/>
      <c r="AE14" s="3080"/>
      <c r="AF14" s="3080"/>
      <c r="AG14" s="3080"/>
      <c r="AH14" s="3080"/>
      <c r="AI14" s="3080"/>
      <c r="AJ14" s="3081"/>
    </row>
    <row r="15" spans="1:36" ht="15.75" thickBot="1">
      <c r="A15" s="3686"/>
      <c r="B15" s="1676" t="s">
        <v>1821</v>
      </c>
      <c r="C15" s="561">
        <f>IF(C14="有",1.1,1)</f>
        <v>1.1000000000000001</v>
      </c>
      <c r="D15" s="561">
        <f>IF(D14="有",1.1,1)</f>
        <v>1</v>
      </c>
      <c r="E15" s="561">
        <f>IF(E14="有",1.1,1)</f>
        <v>1</v>
      </c>
      <c r="F15" s="561">
        <f>IF(F14="500米范围内",1.2,IF(F14="500-1000米",1.1,1))</f>
        <v>1.1000000000000001</v>
      </c>
      <c r="G15" s="1793">
        <v>1</v>
      </c>
      <c r="H15" s="1793">
        <v>1</v>
      </c>
      <c r="I15" s="1793">
        <v>1</v>
      </c>
      <c r="J15" s="1794">
        <v>1</v>
      </c>
      <c r="K15" s="2383"/>
      <c r="L15" s="1707" t="s">
        <v>1837</v>
      </c>
      <c r="M15" s="1708" t="s">
        <v>1838</v>
      </c>
      <c r="N15" s="1708" t="s">
        <v>1839</v>
      </c>
      <c r="O15" s="1708" t="s">
        <v>979</v>
      </c>
      <c r="P15" s="1709" t="s">
        <v>1840</v>
      </c>
      <c r="Q15" s="2383"/>
      <c r="R15" s="3082">
        <v>14</v>
      </c>
      <c r="S15" s="3083"/>
      <c r="T15" s="3082">
        <f t="shared" ca="1" si="0"/>
        <v>0</v>
      </c>
      <c r="U15" s="3083"/>
      <c r="V15" s="3082">
        <f t="shared" ca="1" si="1"/>
        <v>0</v>
      </c>
      <c r="W15" s="3078"/>
      <c r="X15" s="3078"/>
      <c r="Y15" s="3078"/>
      <c r="Z15" s="3078"/>
      <c r="AA15" s="3078"/>
      <c r="AB15" s="3078"/>
      <c r="AC15" s="3079"/>
      <c r="AD15" s="3080"/>
      <c r="AE15" s="3080"/>
      <c r="AF15" s="3080"/>
      <c r="AG15" s="3080"/>
      <c r="AH15" s="3080"/>
      <c r="AI15" s="3080"/>
      <c r="AJ15" s="3081"/>
    </row>
    <row r="16" spans="1:36" ht="24">
      <c r="A16" s="3668" t="s">
        <v>1948</v>
      </c>
      <c r="B16" s="1646" t="s">
        <v>1822</v>
      </c>
      <c r="C16" s="1779">
        <f>ROUND(SUM(G17:J17)/C17,0)</f>
        <v>0</v>
      </c>
      <c r="D16" s="1677" t="s">
        <v>1823</v>
      </c>
      <c r="E16" s="1795"/>
      <c r="F16" s="1796"/>
      <c r="G16" s="1797"/>
      <c r="H16" s="1797"/>
      <c r="I16" s="1797"/>
      <c r="J16" s="1798"/>
      <c r="K16" s="2383"/>
      <c r="L16" s="1713" t="s">
        <v>1842</v>
      </c>
      <c r="M16" s="1657">
        <v>0.25</v>
      </c>
      <c r="N16" s="1657">
        <v>0.2</v>
      </c>
      <c r="O16" s="1657">
        <v>0.15</v>
      </c>
      <c r="P16" s="2733">
        <v>0.1</v>
      </c>
      <c r="Q16" s="2734"/>
      <c r="R16" s="3082">
        <v>15</v>
      </c>
      <c r="S16" s="3083"/>
      <c r="T16" s="3082">
        <f t="shared" ca="1" si="0"/>
        <v>0</v>
      </c>
      <c r="U16" s="3083"/>
      <c r="V16" s="3082">
        <f t="shared" ca="1" si="1"/>
        <v>0</v>
      </c>
      <c r="W16" s="3090"/>
      <c r="X16" s="3090"/>
      <c r="Y16" s="3090"/>
      <c r="Z16" s="3090"/>
      <c r="AA16" s="3090"/>
      <c r="AB16" s="3090"/>
      <c r="AC16" s="3091"/>
      <c r="AD16" s="3080"/>
      <c r="AE16" s="3080"/>
      <c r="AF16" s="3080"/>
      <c r="AG16" s="3080"/>
      <c r="AH16" s="3080"/>
      <c r="AI16" s="3080"/>
      <c r="AJ16" s="3081"/>
    </row>
    <row r="17" spans="1:37" ht="13.5" thickBot="1">
      <c r="A17" s="3669"/>
      <c r="B17" s="1678" t="s">
        <v>1824</v>
      </c>
      <c r="C17" s="1679">
        <f>SUMPRODUCT((修正!A2:A5=E2)*(修正!B1:M1=G2)*(修正!B2:M5))</f>
        <v>2.5</v>
      </c>
      <c r="D17" s="1680" t="s">
        <v>1825</v>
      </c>
      <c r="E17" s="1750" t="str">
        <f>IF(OR(G2="八级",G2="九级",G2="十级",G2="十一级",G2="十二级"),"五通一平","七通一平")</f>
        <v>七通一平</v>
      </c>
      <c r="F17" s="1681" t="s">
        <v>1826</v>
      </c>
      <c r="G17" s="1679">
        <f>SUMPRODUCT((七通一平=G16)*(修正!B1:M1=G2)*(修正!B6:M14))</f>
        <v>0</v>
      </c>
      <c r="H17" s="1679">
        <f>SUMPRODUCT((七通一平=H16)*(修正!B1:M1=G2)*(修正!B6:M14))</f>
        <v>0</v>
      </c>
      <c r="I17" s="1679">
        <f>SUMPRODUCT((七通一平=I16)*(修正!B1:M1=G2)*(修正!B6:M14))</f>
        <v>0</v>
      </c>
      <c r="J17" s="1682">
        <f>SUMPRODUCT((七通一平=J16)*(修正!B1:M1=G2)*(修正!B6:M14))</f>
        <v>0</v>
      </c>
      <c r="K17" s="2383"/>
      <c r="L17" s="1720" t="s">
        <v>1831</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4"/>
      <c r="AF17" s="1624"/>
      <c r="AG17" s="1627"/>
      <c r="AH17" s="1627"/>
      <c r="AI17" s="1627"/>
      <c r="AJ17" s="1627"/>
    </row>
    <row r="18" spans="1:37" s="1639" customFormat="1" ht="15.75" thickBot="1">
      <c r="A18" s="1880" t="s">
        <v>1940</v>
      </c>
      <c r="B18" s="1683" t="s">
        <v>1827</v>
      </c>
      <c r="C18" s="1684">
        <f>SUMIF(修正!C18:C39,E3,修正!E18:E39)</f>
        <v>0.9</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5"/>
      <c r="AF18" s="1625"/>
      <c r="AG18" s="1626"/>
      <c r="AH18" s="1626"/>
      <c r="AI18" s="1626"/>
    </row>
    <row r="19" spans="1:37" s="1639" customFormat="1" ht="27.75" thickBot="1">
      <c r="A19" s="1880" t="s">
        <v>1941</v>
      </c>
      <c r="B19" s="1683" t="s">
        <v>1828</v>
      </c>
      <c r="C19" s="1692">
        <f>ROUND(IF(H19="按公示增长率计算",SUMPRODUCT((地价!A3:A19=YEAR(G19)&amp;"-"&amp;ROUNDUP(MONTH(G19)/3,0))*(地价!X2:AB2=E2)*(地价!X3:AB19)),IF(H19="地价指数",M20/M19,(1+I19)^O19)),4)</f>
        <v>0</v>
      </c>
      <c r="D19" s="1693" t="s">
        <v>1149</v>
      </c>
      <c r="E19" s="1694">
        <v>41640</v>
      </c>
      <c r="F19" s="1693" t="s">
        <v>1150</v>
      </c>
      <c r="G19" s="1695">
        <f>'数据-取费表'!B2</f>
        <v>42928</v>
      </c>
      <c r="H19" s="3024" t="s">
        <v>2963</v>
      </c>
      <c r="I19" s="1696" t="str">
        <f>IF(H19="季度增幅（自定义）",SUMIF(N21:N24,E2,O21:O24),"")</f>
        <v/>
      </c>
      <c r="J19" s="1689"/>
      <c r="K19" s="2390"/>
      <c r="L19" s="3251" t="s">
        <v>2961</v>
      </c>
      <c r="M19" s="3253">
        <f>ROUND(SUMIF(地价!B2:F2,E2,地价!B19:F19),0)</f>
        <v>258</v>
      </c>
      <c r="N19" s="3249" t="s">
        <v>1873</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6"/>
      <c r="AI19" s="1638"/>
      <c r="AJ19" s="1638"/>
      <c r="AK19" s="1638"/>
    </row>
    <row r="20" spans="1:37" s="1639" customFormat="1" ht="27.75" thickBot="1">
      <c r="A20" s="1881" t="s">
        <v>1942</v>
      </c>
      <c r="B20" s="1752" t="s">
        <v>1829</v>
      </c>
      <c r="C20" s="1699">
        <f ca="1">ROUND(POWER(1+G20,J20-I20)*(POWER(1+G20,I20)-1)/(POWER(1+G20,J20)-1),4)</f>
        <v>0.90490000000000004</v>
      </c>
      <c r="D20" s="1753" t="s">
        <v>1830</v>
      </c>
      <c r="E20" s="3305">
        <f ca="1">存贷款利率!D4/100</f>
        <v>4.3499999999999997E-2</v>
      </c>
      <c r="F20" s="1753" t="s">
        <v>1831</v>
      </c>
      <c r="G20" s="1754">
        <f ca="1">SUMIF(M15:P15,E2,M17:P17)</f>
        <v>5.3999999999999999E-2</v>
      </c>
      <c r="H20" s="1753" t="s">
        <v>1832</v>
      </c>
      <c r="I20" s="1755">
        <f>SUMIF('数据-取费表'!C6:C15,E2,'数据-取费表'!F6:F15)/COUNTIF('数据-取费表'!C6:C15,E2)</f>
        <v>30.09</v>
      </c>
      <c r="J20" s="1756">
        <f>IF(E2="住宅",70,IF(E2="商业",40,50))</f>
        <v>40</v>
      </c>
      <c r="K20" s="2390"/>
      <c r="L20" s="3252" t="s">
        <v>2962</v>
      </c>
      <c r="M20" s="3254">
        <f>ROUND(SUMPRODUCT((地价!A4:A19=YEAR(G19)&amp;"-"&amp;ROUNDUP(MONTH(G19)/3,0))*(地价!B2:F2=E2)*(地价!B4:F19)),0)</f>
        <v>0</v>
      </c>
      <c r="N20" s="3250" t="s">
        <v>2789</v>
      </c>
      <c r="O20" s="3025" t="s">
        <v>2790</v>
      </c>
      <c r="P20" s="3026" t="s">
        <v>2799</v>
      </c>
      <c r="R20" s="2740"/>
      <c r="S20" s="2740"/>
      <c r="T20" s="2735"/>
      <c r="U20" s="2735"/>
      <c r="V20" s="2735"/>
      <c r="W20" s="2734"/>
      <c r="X20" s="2734"/>
      <c r="Y20" s="2734"/>
      <c r="Z20" s="2741"/>
      <c r="AA20" s="2742"/>
      <c r="AB20" s="2742"/>
      <c r="AC20" s="2742"/>
      <c r="AD20" s="2742"/>
      <c r="AE20" s="1690"/>
      <c r="AF20" s="1690"/>
    </row>
    <row r="21" spans="1:37" s="1639" customFormat="1" ht="14.25">
      <c r="A21" s="1882" t="s">
        <v>1943</v>
      </c>
      <c r="B21" s="1799" t="s">
        <v>3237</v>
      </c>
      <c r="C21" s="1757">
        <f>IF(B21="容积率修正",IF(G3&lt;=10,D22,J22),C23)</f>
        <v>0.88390000000000002</v>
      </c>
      <c r="D21" s="1758"/>
      <c r="E21" s="1758"/>
      <c r="F21" s="1758"/>
      <c r="G21" s="1758"/>
      <c r="H21" s="1758"/>
      <c r="I21" s="1758"/>
      <c r="J21" s="1759"/>
      <c r="K21" s="2390"/>
      <c r="N21" s="3027" t="s">
        <v>2791</v>
      </c>
      <c r="O21" s="3028"/>
      <c r="P21" s="3029">
        <f>SUMPRODUCT((地价!A3:A19=YEAR(G19)&amp;"-"&amp;ROUNDUP(MONTH(G19)/3,0))*(地价!AD2:AH2=N21)*(地价!AD3:AH19))</f>
        <v>1.5699999999999999E-2</v>
      </c>
      <c r="R21" s="2740"/>
      <c r="S21" s="2740"/>
      <c r="T21" s="2735"/>
      <c r="U21" s="2735"/>
      <c r="V21" s="2735"/>
      <c r="W21" s="2734"/>
      <c r="X21" s="2734"/>
      <c r="Y21" s="2734"/>
      <c r="Z21" s="2741"/>
      <c r="AA21" s="2742"/>
      <c r="AB21" s="2742"/>
      <c r="AC21" s="2742"/>
      <c r="AD21" s="2742"/>
      <c r="AE21" s="1690"/>
      <c r="AF21" s="1690"/>
    </row>
    <row r="22" spans="1:37" s="1639" customFormat="1" ht="14.25">
      <c r="A22" s="190" t="s">
        <v>1946</v>
      </c>
      <c r="B22" s="1701" t="s">
        <v>1833</v>
      </c>
      <c r="C22" s="1780" t="s">
        <v>1846</v>
      </c>
      <c r="D22" s="1780">
        <f>IF(E22=G22,F22,IF(G3&lt;=10,ROUND(F22+(H22-F22)*(G3-E22)/(G22-E22),4),"——"))</f>
        <v>0.88390000000000002</v>
      </c>
      <c r="E22" s="1630">
        <f>ROUNDDOWN(G3,1)</f>
        <v>3.7</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0.88449999999999995</v>
      </c>
      <c r="G22" s="1630">
        <f>ROUNDUP(G3,1)</f>
        <v>3.8000000000000003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780" t="s">
        <v>1163</v>
      </c>
      <c r="J22" s="1760" t="str">
        <f>IF(G3&gt;10,D113,"——")</f>
        <v>——</v>
      </c>
      <c r="K22" s="2390"/>
      <c r="N22" s="3027" t="s">
        <v>2792</v>
      </c>
      <c r="O22" s="3028"/>
      <c r="P22" s="3029">
        <f>SUMPRODUCT((地价!A3:A19=YEAR(G19)&amp;"-"&amp;ROUNDUP(MONTH(G19)/3,0))*(地价!AD2:AH2=N22)*(地价!AD3:AH19))</f>
        <v>1.5699999999999999E-2</v>
      </c>
      <c r="R22" s="2740"/>
      <c r="S22" s="2740"/>
      <c r="T22" s="2735"/>
      <c r="U22" s="2735"/>
      <c r="V22" s="2735"/>
      <c r="W22" s="2734"/>
      <c r="X22" s="2734"/>
      <c r="Y22" s="2734"/>
      <c r="Z22" s="2741"/>
      <c r="AA22" s="2742"/>
      <c r="AB22" s="2742"/>
      <c r="AC22" s="2742"/>
      <c r="AD22" s="2742"/>
      <c r="AE22" s="1690"/>
      <c r="AF22" s="1690"/>
    </row>
    <row r="23" spans="1:37" ht="27.75" thickBot="1">
      <c r="A23" s="190" t="s">
        <v>1947</v>
      </c>
      <c r="B23" s="1872" t="s">
        <v>1834</v>
      </c>
      <c r="C23" s="1873">
        <f>ROUND(IF(G3&gt;1,IF(I3&lt;7,SUMPRODUCT((B93:B98=I3)*(C92:N92=G2)*(C93:N98)),SUMIF(C92:N92,G2,C100:N100)),IF(I3&lt;7,SUMPRODUCT((B102:B107=I3)*(C92:N92=G2)*(C102:N107)),SUMIF(C92:N92,G2,C109:N109))),4)</f>
        <v>0</v>
      </c>
      <c r="D23" s="1673"/>
      <c r="E23" s="1673"/>
      <c r="F23" s="1702"/>
      <c r="G23" s="1703"/>
      <c r="H23" s="1874"/>
      <c r="I23" s="1875"/>
      <c r="J23" s="1876"/>
      <c r="K23" s="2383"/>
      <c r="N23" s="3027" t="s">
        <v>40</v>
      </c>
      <c r="O23" s="3028"/>
      <c r="P23" s="3029">
        <f>SUMPRODUCT((地价!A3:A19=YEAR(G19)&amp;"-"&amp;ROUNDUP(MONTH(G19)/3,0))*(地价!AD2:AH2=N23)*(地价!AD3:AH19))</f>
        <v>2.6599999999999999E-2</v>
      </c>
      <c r="R23" s="2740"/>
      <c r="S23" s="2740"/>
      <c r="T23" s="2735"/>
      <c r="U23" s="2735"/>
      <c r="V23" s="2735"/>
      <c r="W23" s="2734"/>
      <c r="X23" s="2734"/>
      <c r="Y23" s="2734"/>
      <c r="Z23" s="2741"/>
      <c r="AA23" s="2742"/>
      <c r="AB23" s="2742"/>
      <c r="AC23" s="2742"/>
      <c r="AD23" s="2742"/>
      <c r="AK23" s="1626"/>
    </row>
    <row r="24" spans="1:37" s="1639" customFormat="1" ht="15.75" thickBot="1">
      <c r="A24" s="1881" t="s">
        <v>1944</v>
      </c>
      <c r="B24" s="1683" t="s">
        <v>1835</v>
      </c>
      <c r="C24" s="1692">
        <f>SUMIF(A45:A88,E2,B45:B88)</f>
        <v>1.0215000000000001</v>
      </c>
      <c r="D24" s="1687"/>
      <c r="E24" s="1877"/>
      <c r="F24" s="1877"/>
      <c r="G24" s="1877"/>
      <c r="H24" s="1877"/>
      <c r="I24" s="1877"/>
      <c r="J24" s="1878"/>
      <c r="K24" s="2390"/>
      <c r="N24" s="3030" t="s">
        <v>39</v>
      </c>
      <c r="O24" s="3031"/>
      <c r="P24" s="3032">
        <f>SUMPRODUCT((地价!A3:A19=YEAR(G19)&amp;"-"&amp;ROUNDUP(MONTH(G19)/3,0))*(地价!AD2:AH2=N24)*(地价!AD3:AH19))</f>
        <v>1.34E-2</v>
      </c>
      <c r="R24" s="2740"/>
      <c r="S24" s="2740"/>
      <c r="T24" s="2735"/>
      <c r="U24" s="2735"/>
      <c r="V24" s="2735"/>
      <c r="W24" s="2734"/>
      <c r="X24" s="2734"/>
      <c r="Y24" s="2734"/>
      <c r="Z24" s="2741"/>
      <c r="AA24" s="2742"/>
      <c r="AB24" s="2742"/>
      <c r="AC24" s="2742"/>
      <c r="AD24" s="2742"/>
      <c r="AE24" s="1690"/>
      <c r="AF24" s="1690"/>
    </row>
    <row r="25" spans="1:37" ht="15" thickBot="1">
      <c r="A25" s="1881" t="s">
        <v>1945</v>
      </c>
      <c r="B25" s="1704" t="s">
        <v>1836</v>
      </c>
      <c r="C25" s="1705"/>
      <c r="D25" s="1650"/>
      <c r="E25" s="1650"/>
      <c r="F25" s="1706"/>
      <c r="G25" s="1650"/>
      <c r="H25" s="1650"/>
      <c r="I25" s="1650"/>
      <c r="J25" s="1651"/>
      <c r="K25" s="2383"/>
      <c r="N25" s="3034" t="s">
        <v>2793</v>
      </c>
      <c r="O25" s="3033"/>
      <c r="P25" s="3032">
        <f>SUMPRODUCT((地价!A3:A19=YEAR(G19)&amp;"-"&amp;ROUNDUP(MONTH(G19)/3,0))*(地价!AD2:AH2=N25)*(地价!AD3:AH19))</f>
        <v>2.3900000000000001E-2</v>
      </c>
      <c r="R25" s="2740"/>
      <c r="S25" s="2740"/>
      <c r="T25" s="2735"/>
      <c r="U25" s="2735"/>
      <c r="V25" s="2735"/>
      <c r="W25" s="2734"/>
      <c r="X25" s="2734"/>
      <c r="Y25" s="2734"/>
      <c r="Z25" s="2741"/>
      <c r="AA25" s="2742"/>
      <c r="AB25" s="2742"/>
      <c r="AC25" s="2742"/>
      <c r="AD25" s="2742"/>
    </row>
    <row r="26" spans="1:37" ht="14.25">
      <c r="A26" s="1884"/>
      <c r="B26" s="1701" t="s">
        <v>1867</v>
      </c>
      <c r="C26" s="538">
        <f ca="1">E29+SUM(E33:E39)</f>
        <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1868</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1866</v>
      </c>
      <c r="C28" s="1722" t="s">
        <v>1841</v>
      </c>
      <c r="D28" s="1722" t="s">
        <v>1857</v>
      </c>
      <c r="E28" s="1723" t="s">
        <v>1858</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1861</v>
      </c>
      <c r="C29" s="538">
        <f ca="1">ROUND(C5*C18*C19*C20*C21*C24,0)</f>
        <v>0</v>
      </c>
      <c r="D29" s="1748"/>
      <c r="E29" s="1782">
        <f ca="1">ROUND(C29*D29/10000,0)</f>
        <v>0</v>
      </c>
      <c r="F29" s="1726" t="s">
        <v>1843</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4"/>
      <c r="AF29" s="1624"/>
      <c r="AG29" s="1627"/>
      <c r="AH29" s="1627"/>
      <c r="AI29" s="1627"/>
      <c r="AJ29" s="1627"/>
    </row>
    <row r="30" spans="1:37" ht="24.75" thickBot="1">
      <c r="A30" s="1729"/>
      <c r="B30" s="1730" t="s">
        <v>1862</v>
      </c>
      <c r="C30" s="561">
        <f ca="1">ROUND(IF(E2="工业",C29*M39,C29*M38),0)</f>
        <v>0</v>
      </c>
      <c r="D30" s="1749"/>
      <c r="E30" s="1782">
        <f ca="1">ROUND(C30*D30/10000,0)</f>
        <v>0</v>
      </c>
      <c r="F30" s="1731" t="s">
        <v>1859</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4"/>
      <c r="AF30" s="1624"/>
      <c r="AG30" s="1627"/>
      <c r="AH30" s="1627"/>
      <c r="AI30" s="1627"/>
      <c r="AJ30" s="1627"/>
    </row>
    <row r="31" spans="1:37" ht="14.25">
      <c r="A31" s="1734"/>
      <c r="B31" s="1735" t="s">
        <v>1863</v>
      </c>
      <c r="C31" s="1736" t="s">
        <v>1864</v>
      </c>
      <c r="D31" s="1666"/>
      <c r="E31" s="1736"/>
      <c r="F31" s="1736"/>
      <c r="G31" s="1664" t="s">
        <v>1865</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4"/>
      <c r="AF31" s="1624"/>
      <c r="AG31" s="1627"/>
      <c r="AH31" s="1627"/>
      <c r="AI31" s="1627"/>
      <c r="AJ31" s="1627"/>
    </row>
    <row r="32" spans="1:37" ht="24">
      <c r="A32" s="1781"/>
      <c r="B32" s="1738"/>
      <c r="C32" s="171" t="s">
        <v>1841</v>
      </c>
      <c r="D32" s="168" t="s">
        <v>1857</v>
      </c>
      <c r="E32" s="168" t="s">
        <v>1858</v>
      </c>
      <c r="F32" s="1739" t="s">
        <v>1845</v>
      </c>
      <c r="G32" s="1700" t="s">
        <v>1841</v>
      </c>
      <c r="H32" s="1700" t="s">
        <v>1857</v>
      </c>
      <c r="I32" s="1700" t="s">
        <v>1858</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4"/>
      <c r="AF32" s="1624"/>
      <c r="AG32" s="1627"/>
      <c r="AH32" s="1627"/>
      <c r="AI32" s="1627"/>
      <c r="AJ32" s="1627"/>
    </row>
    <row r="33" spans="1:37" ht="14.25">
      <c r="A33" s="1741"/>
      <c r="B33" s="1742" t="s">
        <v>1165</v>
      </c>
      <c r="C33" s="538">
        <f ca="1">ROUND(C5*C19*C20*C24*F33,0)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1741"/>
      <c r="B34" s="1669" t="s">
        <v>1166</v>
      </c>
      <c r="C34" s="538">
        <f ca="1">ROUND(C5*C19*C20*C24*F34,0)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1741"/>
      <c r="B35" s="1669" t="s">
        <v>1167</v>
      </c>
      <c r="C35" s="538">
        <f ca="1">ROUND(C5*C19*C20*C24*F35,0)</f>
        <v>0</v>
      </c>
      <c r="D35" s="1748"/>
      <c r="E35" s="532">
        <f t="shared" ca="1" si="7"/>
        <v>0</v>
      </c>
      <c r="F35" s="532">
        <f>SUMIF(修正!A45:A56,G2,修正!D45:D56)</f>
        <v>0.28000000000000003</v>
      </c>
      <c r="G35" s="532">
        <f t="shared" ca="1" si="6"/>
        <v>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1741"/>
      <c r="B36" s="1669" t="s">
        <v>1168</v>
      </c>
      <c r="C36" s="538">
        <f ca="1">ROUND(C5*C19*C20*C24*F36,0)</f>
        <v>0</v>
      </c>
      <c r="D36" s="1748"/>
      <c r="E36" s="532">
        <f t="shared" ca="1" si="7"/>
        <v>0</v>
      </c>
      <c r="F36" s="532">
        <f>SUMIF(修正!A45:A56,G2,修正!E45:E56)</f>
        <v>0.25</v>
      </c>
      <c r="G36" s="532">
        <f t="shared" ca="1" si="6"/>
        <v>0</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1169</v>
      </c>
      <c r="C37" s="532">
        <f ca="1">ROUND(C5*C19*C20*C24*F37,0)</f>
        <v>0</v>
      </c>
      <c r="D37" s="1748"/>
      <c r="E37" s="532">
        <f t="shared" ca="1" si="7"/>
        <v>0</v>
      </c>
      <c r="F37" s="538">
        <f>SUMIF(修正!A45:A56,G2,修正!F45:F56)</f>
        <v>0.25</v>
      </c>
      <c r="G37" s="532">
        <f t="shared" ca="1" si="6"/>
        <v>0</v>
      </c>
      <c r="H37" s="532">
        <f t="shared" si="8"/>
        <v>0</v>
      </c>
      <c r="I37" s="532">
        <f t="shared" ca="1" si="9"/>
        <v>0</v>
      </c>
      <c r="J37" s="1743"/>
      <c r="K37" s="2383"/>
      <c r="L37" s="2391" t="s">
        <v>1860</v>
      </c>
      <c r="M37" s="2392"/>
      <c r="N37" s="2383"/>
      <c r="O37" s="2383"/>
      <c r="P37" s="2383"/>
      <c r="Q37" s="2383"/>
      <c r="R37" s="2383"/>
      <c r="S37" s="2383"/>
      <c r="T37" s="2383"/>
      <c r="U37" s="2383"/>
      <c r="V37" s="2383"/>
      <c r="W37" s="2383"/>
      <c r="X37" s="2383"/>
      <c r="Y37" s="2383"/>
      <c r="Z37" s="2384"/>
    </row>
    <row r="38" spans="1:37" ht="12.75">
      <c r="A38" s="1741"/>
      <c r="B38" s="1669" t="s">
        <v>1170</v>
      </c>
      <c r="C38" s="532">
        <f ca="1">ROUND(C5*C19*C20*C24*F38,0)</f>
        <v>0</v>
      </c>
      <c r="D38" s="1748"/>
      <c r="E38" s="532">
        <f t="shared" ca="1" si="7"/>
        <v>0</v>
      </c>
      <c r="F38" s="538">
        <f>SUMIF(修正!A45:A56,G2,修正!G45:G56)</f>
        <v>0.25</v>
      </c>
      <c r="G38" s="532">
        <f t="shared" ca="1" si="6"/>
        <v>0</v>
      </c>
      <c r="H38" s="532">
        <f t="shared" si="8"/>
        <v>0</v>
      </c>
      <c r="I38" s="532">
        <f t="shared" ca="1" si="9"/>
        <v>0</v>
      </c>
      <c r="J38" s="1743"/>
      <c r="K38" s="2383"/>
      <c r="L38" s="1763" t="s">
        <v>1844</v>
      </c>
      <c r="M38" s="1764">
        <v>0.25</v>
      </c>
      <c r="N38" s="2383"/>
      <c r="O38" s="2383"/>
      <c r="P38" s="2383"/>
      <c r="Q38" s="2383"/>
      <c r="R38" s="2383"/>
      <c r="S38" s="2383"/>
      <c r="T38" s="2383"/>
      <c r="U38" s="2383"/>
      <c r="V38" s="2383"/>
      <c r="W38" s="2383"/>
      <c r="X38" s="2383"/>
      <c r="Y38" s="2383"/>
      <c r="Z38" s="2384"/>
    </row>
    <row r="39" spans="1:37" ht="13.5" thickBot="1">
      <c r="A39" s="1729"/>
      <c r="B39" s="1744" t="s">
        <v>1171</v>
      </c>
      <c r="C39" s="561">
        <f ca="1">ROUND(C5*C19*C20*C24*F39,0)</f>
        <v>0</v>
      </c>
      <c r="D39" s="1749"/>
      <c r="E39" s="561">
        <f t="shared" ca="1" si="7"/>
        <v>0</v>
      </c>
      <c r="F39" s="1745">
        <f>SUMIF(修正!A45:A56,G2,修正!H45:H56)</f>
        <v>0.2</v>
      </c>
      <c r="G39" s="561" t="e">
        <f t="shared" si="6"/>
        <v>#DIV/0!</v>
      </c>
      <c r="H39" s="561">
        <f t="shared" si="8"/>
        <v>0</v>
      </c>
      <c r="I39" s="561" t="e">
        <f t="shared" si="9"/>
        <v>#DIV/0!</v>
      </c>
      <c r="J39" s="1746"/>
      <c r="K39" s="2383"/>
      <c r="L39" s="1765" t="s">
        <v>1840</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8" t="s">
        <v>1780</v>
      </c>
      <c r="B45" s="1489"/>
      <c r="C45" s="1161"/>
      <c r="D45" s="294"/>
      <c r="E45" s="294"/>
      <c r="F45" s="292"/>
      <c r="G45" s="1545"/>
      <c r="H45" s="292"/>
      <c r="I45" s="1490"/>
      <c r="J45" s="1490"/>
      <c r="K45" s="1490"/>
      <c r="L45" s="1490"/>
      <c r="M45" s="1490"/>
      <c r="N45" s="1624"/>
      <c r="Z45" s="2384"/>
      <c r="AA45" s="2384"/>
      <c r="AB45" s="2384"/>
      <c r="AC45" s="2384"/>
      <c r="AD45" s="2384"/>
      <c r="AE45" s="2384"/>
      <c r="AF45" s="2384"/>
      <c r="AG45" s="2384"/>
      <c r="AH45" s="2384"/>
      <c r="AI45" s="2384"/>
      <c r="AJ45" s="2384"/>
    </row>
    <row r="46" spans="1:37" s="2383" customFormat="1" ht="15">
      <c r="A46" s="1491" t="s">
        <v>1</v>
      </c>
      <c r="B46" s="1492">
        <f>1+E48</f>
        <v>1.0215000000000001</v>
      </c>
      <c r="C46" s="1493"/>
      <c r="D46" s="1494"/>
      <c r="E46" s="1495"/>
      <c r="F46" s="2137"/>
      <c r="G46" s="292"/>
      <c r="H46" s="1490"/>
      <c r="I46" s="1490"/>
      <c r="J46" s="1490"/>
      <c r="K46" s="1490"/>
      <c r="L46" s="1490"/>
      <c r="M46" s="1490"/>
      <c r="N46" s="1624"/>
      <c r="Z46" s="2384"/>
      <c r="AA46" s="2384"/>
      <c r="AB46" s="2384"/>
      <c r="AC46" s="2384"/>
      <c r="AD46" s="2384"/>
      <c r="AE46" s="2384"/>
      <c r="AF46" s="2384"/>
      <c r="AG46" s="2384"/>
      <c r="AH46" s="2384"/>
      <c r="AI46" s="2384"/>
      <c r="AJ46" s="2384"/>
    </row>
    <row r="47" spans="1:37" s="2383" customFormat="1" ht="24">
      <c r="A47" s="1497" t="s">
        <v>1781</v>
      </c>
      <c r="B47" s="1498" t="s">
        <v>1782</v>
      </c>
      <c r="C47" s="1499" t="s">
        <v>1783</v>
      </c>
      <c r="D47" s="1500" t="s">
        <v>1854</v>
      </c>
      <c r="E47" s="1501" t="s">
        <v>1856</v>
      </c>
      <c r="F47" s="2605" t="s">
        <v>2500</v>
      </c>
      <c r="G47" s="1500" t="s">
        <v>1852</v>
      </c>
      <c r="H47" s="2606" t="s">
        <v>2501</v>
      </c>
      <c r="I47" s="1500" t="s">
        <v>1855</v>
      </c>
      <c r="J47" s="945" t="s">
        <v>426</v>
      </c>
      <c r="K47" s="945" t="s">
        <v>427</v>
      </c>
      <c r="L47" s="945" t="s">
        <v>428</v>
      </c>
      <c r="M47" s="945" t="s">
        <v>429</v>
      </c>
      <c r="N47" s="945" t="s">
        <v>430</v>
      </c>
      <c r="AA47" s="2384"/>
      <c r="AB47" s="2384"/>
      <c r="AC47" s="2384"/>
      <c r="AD47" s="2384"/>
      <c r="AE47" s="2384"/>
      <c r="AF47" s="2384"/>
      <c r="AG47" s="2384"/>
      <c r="AH47" s="2384"/>
      <c r="AI47" s="2384"/>
      <c r="AJ47" s="2384"/>
      <c r="AK47" s="2384"/>
    </row>
    <row r="48" spans="1:37" s="2383" customFormat="1" ht="60">
      <c r="A48" s="1497" t="s">
        <v>1784</v>
      </c>
      <c r="B48" s="1502" t="str">
        <f>估价对象房地状况!C4</f>
        <v>估价对象周边商业用地一般，周边有上品折扣、世纪联华超市等，商业规模一般，综合评价商业繁华度一般</v>
      </c>
      <c r="C48" s="1487" t="s">
        <v>3064</v>
      </c>
      <c r="D48" s="2604">
        <f t="shared" ref="D48:D56" si="10">SUMIF($J$47:$N$47,C48,J48:N48)</f>
        <v>0</v>
      </c>
      <c r="E48" s="1504">
        <f>ROUND(SUM(D48:D56),4)</f>
        <v>2.1499999999999998E-2</v>
      </c>
      <c r="F48" s="1505">
        <f>IF(E2="商业",SUMIF(L1:L12,G2,N1:N12),"——")</f>
        <v>0.1</v>
      </c>
      <c r="G48" s="2602">
        <v>1.6500000000000001E-2</v>
      </c>
      <c r="H48" s="2620">
        <f t="shared" ref="H48:H56" si="11">IFERROR(ROUNDDOWN($F$48*I48/2,4),"——")</f>
        <v>1.6500000000000001E-2</v>
      </c>
      <c r="I48" s="1503">
        <v>0.33</v>
      </c>
      <c r="J48" s="2603">
        <f t="shared" ref="J48:J56" si="12">K48+$G48</f>
        <v>3.3000000000000002E-2</v>
      </c>
      <c r="K48" s="2603">
        <f t="shared" ref="K48:K56" si="13">$L48+$G48</f>
        <v>1.6500000000000001E-2</v>
      </c>
      <c r="L48" s="2603">
        <v>0</v>
      </c>
      <c r="M48" s="2603">
        <f t="shared" ref="M48:N56" si="14">L48-$G48</f>
        <v>-1.6500000000000001E-2</v>
      </c>
      <c r="N48" s="2603">
        <f t="shared" si="14"/>
        <v>-3.3000000000000002E-2</v>
      </c>
      <c r="AA48" s="2384"/>
      <c r="AB48" s="2384"/>
      <c r="AC48" s="2384"/>
      <c r="AD48" s="2384"/>
      <c r="AE48" s="2384"/>
      <c r="AF48" s="2384"/>
      <c r="AG48" s="2384"/>
      <c r="AH48" s="2384"/>
      <c r="AI48" s="2384"/>
      <c r="AJ48" s="2384"/>
      <c r="AK48" s="2384"/>
    </row>
    <row r="49" spans="1:37" s="2383" customFormat="1" ht="72">
      <c r="A49" s="1497" t="s">
        <v>92</v>
      </c>
      <c r="B49" s="1506" t="str">
        <f>估价对象房地状况!C18</f>
        <v>估价对象周边有308、335等公交线路及地铁1号线，公共交通通达情况较好；项目自身有停车位、停车便捷程度较好，综合评价交通便捷度较好</v>
      </c>
      <c r="C49" s="1487" t="s">
        <v>3065</v>
      </c>
      <c r="D49" s="2604">
        <f t="shared" si="10"/>
        <v>1.2500000000000001E-2</v>
      </c>
      <c r="E49" s="1507"/>
      <c r="F49" s="1505"/>
      <c r="G49" s="2602">
        <v>1.2500000000000001E-2</v>
      </c>
      <c r="H49" s="2620">
        <f t="shared" si="11"/>
        <v>1.2500000000000001E-2</v>
      </c>
      <c r="I49" s="1503">
        <v>0.25</v>
      </c>
      <c r="J49" s="2603">
        <f t="shared" si="12"/>
        <v>2.5000000000000001E-2</v>
      </c>
      <c r="K49" s="2603">
        <f t="shared" si="13"/>
        <v>1.2500000000000001E-2</v>
      </c>
      <c r="L49" s="2603">
        <v>0</v>
      </c>
      <c r="M49" s="2603">
        <f t="shared" si="14"/>
        <v>-1.2500000000000001E-2</v>
      </c>
      <c r="N49" s="2603">
        <f t="shared" si="14"/>
        <v>-2.5000000000000001E-2</v>
      </c>
      <c r="AA49" s="2384"/>
      <c r="AB49" s="2384"/>
      <c r="AC49" s="2384"/>
      <c r="AD49" s="2384"/>
      <c r="AE49" s="2384"/>
      <c r="AF49" s="2384"/>
      <c r="AG49" s="2384"/>
      <c r="AH49" s="2384"/>
      <c r="AI49" s="2384"/>
      <c r="AJ49" s="2384"/>
      <c r="AK49" s="2384"/>
    </row>
    <row r="50" spans="1:37" s="2383" customFormat="1" ht="24">
      <c r="A50" s="1497" t="s">
        <v>109</v>
      </c>
      <c r="B50" s="1506">
        <f>估价对象房地状况!C19</f>
        <v>0</v>
      </c>
      <c r="C50" s="1487" t="s">
        <v>3064</v>
      </c>
      <c r="D50" s="2604">
        <f t="shared" si="10"/>
        <v>0</v>
      </c>
      <c r="E50" s="1507"/>
      <c r="F50" s="1505"/>
      <c r="G50" s="2602">
        <v>2.5000000000000001E-3</v>
      </c>
      <c r="H50" s="2620">
        <f t="shared" si="11"/>
        <v>2.5000000000000001E-3</v>
      </c>
      <c r="I50" s="1503">
        <v>0.05</v>
      </c>
      <c r="J50" s="2603">
        <f t="shared" si="12"/>
        <v>5.0000000000000001E-3</v>
      </c>
      <c r="K50" s="2603">
        <f t="shared" si="13"/>
        <v>2.5000000000000001E-3</v>
      </c>
      <c r="L50" s="2603">
        <v>0</v>
      </c>
      <c r="M50" s="2603">
        <f t="shared" si="14"/>
        <v>-2.5000000000000001E-3</v>
      </c>
      <c r="N50" s="2603">
        <f t="shared" si="14"/>
        <v>-5.0000000000000001E-3</v>
      </c>
      <c r="AA50" s="2384"/>
      <c r="AB50" s="2384"/>
      <c r="AC50" s="2384"/>
      <c r="AD50" s="2384"/>
      <c r="AE50" s="2384"/>
      <c r="AF50" s="2384"/>
      <c r="AG50" s="2384"/>
      <c r="AH50" s="2384"/>
      <c r="AI50" s="2384"/>
      <c r="AJ50" s="2384"/>
      <c r="AK50" s="2384"/>
    </row>
    <row r="51" spans="1:37" s="2383" customFormat="1" ht="36">
      <c r="A51" s="1497" t="s">
        <v>1785</v>
      </c>
      <c r="B51" s="3308" t="s">
        <v>3032</v>
      </c>
      <c r="C51" s="1487" t="s">
        <v>3065</v>
      </c>
      <c r="D51" s="2604">
        <f t="shared" si="10"/>
        <v>2.5000000000000001E-3</v>
      </c>
      <c r="E51" s="1507"/>
      <c r="F51" s="1505"/>
      <c r="G51" s="2602">
        <v>2.5000000000000001E-3</v>
      </c>
      <c r="H51" s="2620">
        <f t="shared" si="11"/>
        <v>2.5000000000000001E-3</v>
      </c>
      <c r="I51" s="1503">
        <v>0.05</v>
      </c>
      <c r="J51" s="2603">
        <f t="shared" si="12"/>
        <v>5.0000000000000001E-3</v>
      </c>
      <c r="K51" s="2603">
        <f t="shared" si="13"/>
        <v>2.5000000000000001E-3</v>
      </c>
      <c r="L51" s="2603">
        <v>0</v>
      </c>
      <c r="M51" s="2603">
        <f t="shared" si="14"/>
        <v>-2.5000000000000001E-3</v>
      </c>
      <c r="N51" s="2603">
        <f t="shared" si="14"/>
        <v>-5.0000000000000001E-3</v>
      </c>
      <c r="AA51" s="2384"/>
      <c r="AB51" s="2384"/>
      <c r="AC51" s="2384"/>
      <c r="AD51" s="2384"/>
      <c r="AE51" s="2384"/>
      <c r="AF51" s="2384"/>
      <c r="AG51" s="2384"/>
      <c r="AH51" s="2384"/>
      <c r="AI51" s="2384"/>
      <c r="AJ51" s="2384"/>
      <c r="AK51" s="2384"/>
    </row>
    <row r="52" spans="1:37" s="2383" customFormat="1" ht="24">
      <c r="A52" s="1497" t="s">
        <v>1786</v>
      </c>
      <c r="B52" s="1506" t="str">
        <f>估价对象房地状况!C24</f>
        <v>城市支路——沙窝中路</v>
      </c>
      <c r="C52" s="1487" t="s">
        <v>3191</v>
      </c>
      <c r="D52" s="2604">
        <f t="shared" si="10"/>
        <v>-4.0000000000000001E-3</v>
      </c>
      <c r="E52" s="1507"/>
      <c r="F52" s="1505"/>
      <c r="G52" s="2602">
        <v>4.0000000000000001E-3</v>
      </c>
      <c r="H52" s="2620">
        <f t="shared" si="11"/>
        <v>4.0000000000000001E-3</v>
      </c>
      <c r="I52" s="1503">
        <v>0.08</v>
      </c>
      <c r="J52" s="2603">
        <f t="shared" si="12"/>
        <v>8.0000000000000002E-3</v>
      </c>
      <c r="K52" s="2603">
        <f t="shared" si="13"/>
        <v>4.0000000000000001E-3</v>
      </c>
      <c r="L52" s="2603">
        <v>0</v>
      </c>
      <c r="M52" s="2603">
        <f t="shared" si="14"/>
        <v>-4.0000000000000001E-3</v>
      </c>
      <c r="N52" s="2603">
        <f t="shared" si="14"/>
        <v>-8.0000000000000002E-3</v>
      </c>
      <c r="AA52" s="2384"/>
      <c r="AB52" s="2384"/>
      <c r="AC52" s="2384"/>
      <c r="AD52" s="2384"/>
      <c r="AE52" s="2384"/>
      <c r="AF52" s="2384"/>
      <c r="AG52" s="2384"/>
      <c r="AH52" s="2384"/>
      <c r="AI52" s="2384"/>
      <c r="AJ52" s="2384"/>
      <c r="AK52" s="2384"/>
    </row>
    <row r="53" spans="1:37" s="2383" customFormat="1" ht="24">
      <c r="A53" s="1497" t="s">
        <v>1787</v>
      </c>
      <c r="B53" s="3307" t="s">
        <v>3031</v>
      </c>
      <c r="C53" s="1487"/>
      <c r="D53" s="2604">
        <f t="shared" si="10"/>
        <v>0</v>
      </c>
      <c r="E53" s="1507"/>
      <c r="F53" s="1505"/>
      <c r="G53" s="2602">
        <v>1.5E-3</v>
      </c>
      <c r="H53" s="2620">
        <f t="shared" si="11"/>
        <v>1.5E-3</v>
      </c>
      <c r="I53" s="1503">
        <v>0.03</v>
      </c>
      <c r="J53" s="2603">
        <f t="shared" si="12"/>
        <v>3.0000000000000001E-3</v>
      </c>
      <c r="K53" s="2603">
        <f t="shared" si="13"/>
        <v>1.5E-3</v>
      </c>
      <c r="L53" s="2603">
        <v>0</v>
      </c>
      <c r="M53" s="2603">
        <f t="shared" si="14"/>
        <v>-1.5E-3</v>
      </c>
      <c r="N53" s="2603">
        <f t="shared" si="14"/>
        <v>-3.0000000000000001E-3</v>
      </c>
      <c r="AA53" s="2384"/>
      <c r="AB53" s="2384"/>
      <c r="AC53" s="2384"/>
      <c r="AD53" s="2384"/>
      <c r="AE53" s="2384"/>
      <c r="AF53" s="2384"/>
      <c r="AG53" s="2384"/>
      <c r="AH53" s="2384"/>
      <c r="AI53" s="2384"/>
      <c r="AJ53" s="2384"/>
      <c r="AK53" s="2384"/>
    </row>
    <row r="54" spans="1:37" s="2383" customFormat="1" ht="24">
      <c r="A54" s="1508" t="s">
        <v>1788</v>
      </c>
      <c r="B54" s="2600" t="str">
        <f>估价对象房地状况!C21</f>
        <v>估价对象所在区域公共配套设施齐备度较好</v>
      </c>
      <c r="C54" s="1487" t="s">
        <v>3065</v>
      </c>
      <c r="D54" s="2604">
        <f t="shared" si="10"/>
        <v>2.5000000000000001E-3</v>
      </c>
      <c r="E54" s="1507"/>
      <c r="F54" s="1505"/>
      <c r="G54" s="2602">
        <v>2.5000000000000001E-3</v>
      </c>
      <c r="H54" s="2620">
        <f t="shared" si="11"/>
        <v>2.5000000000000001E-3</v>
      </c>
      <c r="I54" s="1503">
        <v>0.05</v>
      </c>
      <c r="J54" s="2603">
        <f t="shared" si="12"/>
        <v>5.0000000000000001E-3</v>
      </c>
      <c r="K54" s="2603">
        <f t="shared" si="13"/>
        <v>2.5000000000000001E-3</v>
      </c>
      <c r="L54" s="2603">
        <v>0</v>
      </c>
      <c r="M54" s="2603">
        <f t="shared" si="14"/>
        <v>-2.5000000000000001E-3</v>
      </c>
      <c r="N54" s="2603">
        <f t="shared" si="14"/>
        <v>-5.0000000000000001E-3</v>
      </c>
      <c r="AA54" s="2384"/>
      <c r="AB54" s="2384"/>
      <c r="AC54" s="2384"/>
      <c r="AD54" s="2384"/>
      <c r="AE54" s="2384"/>
      <c r="AF54" s="2384"/>
      <c r="AG54" s="2384"/>
      <c r="AH54" s="2384"/>
      <c r="AI54" s="2384"/>
      <c r="AJ54" s="2384"/>
      <c r="AK54" s="2384"/>
    </row>
    <row r="55" spans="1:37" s="2383" customFormat="1" ht="24">
      <c r="A55" s="1508" t="s">
        <v>1789</v>
      </c>
      <c r="B55" s="1506" t="str">
        <f>估价对象房地状况!C22</f>
        <v>估价对象所在区域基础设施水平七通一平</v>
      </c>
      <c r="C55" s="1487" t="s">
        <v>3238</v>
      </c>
      <c r="D55" s="2604">
        <f t="shared" si="10"/>
        <v>5.0000000000000001E-3</v>
      </c>
      <c r="E55" s="1507"/>
      <c r="F55" s="1505"/>
      <c r="G55" s="2602">
        <v>2.5000000000000001E-3</v>
      </c>
      <c r="H55" s="2620">
        <f t="shared" si="11"/>
        <v>5.0000000000000001E-3</v>
      </c>
      <c r="I55" s="1503">
        <v>0.1</v>
      </c>
      <c r="J55" s="2603">
        <f t="shared" si="12"/>
        <v>5.0000000000000001E-3</v>
      </c>
      <c r="K55" s="2603">
        <f t="shared" si="13"/>
        <v>2.5000000000000001E-3</v>
      </c>
      <c r="L55" s="2603">
        <v>0</v>
      </c>
      <c r="M55" s="2603">
        <f t="shared" si="14"/>
        <v>-2.5000000000000001E-3</v>
      </c>
      <c r="N55" s="2603">
        <f t="shared" si="14"/>
        <v>-5.0000000000000001E-3</v>
      </c>
      <c r="AA55" s="2384"/>
      <c r="AB55" s="2384"/>
      <c r="AC55" s="2384"/>
      <c r="AD55" s="2384"/>
      <c r="AE55" s="2384"/>
      <c r="AF55" s="2384"/>
      <c r="AG55" s="2384"/>
      <c r="AH55" s="2384"/>
      <c r="AI55" s="2384"/>
      <c r="AJ55" s="2384"/>
      <c r="AK55" s="2384"/>
    </row>
    <row r="56" spans="1:37" s="2383" customFormat="1" ht="48.75" thickBot="1">
      <c r="A56" s="1510" t="s">
        <v>1790</v>
      </c>
      <c r="B56" s="1511" t="str">
        <f>估价对象房地状况!C20</f>
        <v>区域自然环境：五棵松公园等；人文环境：国家开发大学五棵松校区；综合评价环境状况较好</v>
      </c>
      <c r="C56" s="1487" t="s">
        <v>3065</v>
      </c>
      <c r="D56" s="2604">
        <f t="shared" si="10"/>
        <v>3.0000000000000001E-3</v>
      </c>
      <c r="E56" s="1513"/>
      <c r="F56" s="1505"/>
      <c r="G56" s="2602">
        <v>3.0000000000000001E-3</v>
      </c>
      <c r="H56" s="2620">
        <f t="shared" si="11"/>
        <v>3.0000000000000001E-3</v>
      </c>
      <c r="I56" s="1512">
        <v>0.06</v>
      </c>
      <c r="J56" s="2603">
        <f t="shared" si="12"/>
        <v>6.0000000000000001E-3</v>
      </c>
      <c r="K56" s="2603">
        <f t="shared" si="13"/>
        <v>3.0000000000000001E-3</v>
      </c>
      <c r="L56" s="2603">
        <v>0</v>
      </c>
      <c r="M56" s="2603">
        <f t="shared" si="14"/>
        <v>-3.0000000000000001E-3</v>
      </c>
      <c r="N56" s="2603">
        <f t="shared" si="14"/>
        <v>-6.0000000000000001E-3</v>
      </c>
      <c r="AA56" s="2384"/>
      <c r="AB56" s="2384"/>
      <c r="AC56" s="2384"/>
      <c r="AD56" s="2384"/>
      <c r="AE56" s="2384"/>
      <c r="AF56" s="2384"/>
      <c r="AG56" s="2384"/>
      <c r="AH56" s="2384"/>
      <c r="AI56" s="2384"/>
      <c r="AJ56" s="2384"/>
      <c r="AK56" s="2384"/>
    </row>
    <row r="57" spans="1:37" s="2383" customFormat="1" ht="15">
      <c r="A57" s="1491" t="s">
        <v>1164</v>
      </c>
      <c r="B57" s="1492">
        <f>1+E59</f>
        <v>1</v>
      </c>
      <c r="C57" s="1514"/>
      <c r="D57" s="1494"/>
      <c r="E57" s="1495"/>
      <c r="F57" s="2137"/>
      <c r="G57" s="292"/>
      <c r="H57" s="292"/>
      <c r="I57" s="292"/>
      <c r="J57" s="1490"/>
      <c r="K57" s="1490"/>
      <c r="L57" s="1490"/>
      <c r="M57" s="1490"/>
      <c r="N57" s="1490"/>
      <c r="AA57" s="2384"/>
      <c r="AB57" s="2384"/>
      <c r="AC57" s="2384"/>
      <c r="AD57" s="2384"/>
      <c r="AE57" s="2384"/>
      <c r="AF57" s="2384"/>
      <c r="AG57" s="2384"/>
      <c r="AH57" s="2384"/>
      <c r="AI57" s="2384"/>
      <c r="AJ57" s="2384"/>
      <c r="AK57" s="2384"/>
    </row>
    <row r="58" spans="1:37" s="2383" customFormat="1" ht="24">
      <c r="A58" s="1497" t="s">
        <v>1781</v>
      </c>
      <c r="B58" s="1498"/>
      <c r="C58" s="1499" t="s">
        <v>1783</v>
      </c>
      <c r="D58" s="1500" t="s">
        <v>1854</v>
      </c>
      <c r="E58" s="1501" t="s">
        <v>1856</v>
      </c>
      <c r="F58" s="2605" t="s">
        <v>2296</v>
      </c>
      <c r="G58" s="1500" t="s">
        <v>1852</v>
      </c>
      <c r="H58" s="2606" t="s">
        <v>2501</v>
      </c>
      <c r="I58" s="1500" t="s">
        <v>1855</v>
      </c>
      <c r="J58" s="945" t="s">
        <v>426</v>
      </c>
      <c r="K58" s="945" t="s">
        <v>427</v>
      </c>
      <c r="L58" s="945" t="s">
        <v>428</v>
      </c>
      <c r="M58" s="945" t="s">
        <v>429</v>
      </c>
      <c r="N58" s="945" t="s">
        <v>430</v>
      </c>
      <c r="AA58" s="2384"/>
      <c r="AB58" s="2384"/>
      <c r="AC58" s="2384"/>
      <c r="AD58" s="2384"/>
      <c r="AE58" s="2384"/>
      <c r="AF58" s="2384"/>
      <c r="AG58" s="2384"/>
      <c r="AH58" s="2384"/>
      <c r="AI58" s="2384"/>
      <c r="AJ58" s="2384"/>
      <c r="AK58" s="2384"/>
    </row>
    <row r="59" spans="1:37" s="2383" customFormat="1" ht="24">
      <c r="A59" s="1497" t="s">
        <v>1095</v>
      </c>
      <c r="B59" s="1502">
        <f>估价对象房地状况!C17</f>
        <v>0</v>
      </c>
      <c r="C59" s="1487"/>
      <c r="D59" s="2604">
        <f t="shared" ref="D59:D67" si="15">SUMIF($J$58:$N$58,C59,J59:N59)</f>
        <v>0</v>
      </c>
      <c r="E59" s="1504">
        <f>ROUND(SUM(D59:D67),4)</f>
        <v>0</v>
      </c>
      <c r="F59" s="1505" t="str">
        <f>IF(E2="办公",SUMIF(L1:L12,G2,N1:N12),"——")</f>
        <v>——</v>
      </c>
      <c r="G59" s="2602"/>
      <c r="H59" s="2620" t="str">
        <f t="shared" ref="H59:H67" si="16">IFERROR(ROUNDDOWN($F$59*I59/2,4),"——")</f>
        <v>——</v>
      </c>
      <c r="I59" s="1503">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72">
      <c r="A60" s="1497" t="s">
        <v>92</v>
      </c>
      <c r="B60" s="1506" t="str">
        <f>估价对象房地状况!C18</f>
        <v>估价对象周边有308、335等公交线路及地铁1号线，公共交通通达情况较好；项目自身有停车位、停车便捷程度较好，综合评价交通便捷度较好</v>
      </c>
      <c r="C60" s="1487"/>
      <c r="D60" s="2604">
        <f t="shared" si="15"/>
        <v>0</v>
      </c>
      <c r="E60" s="1507"/>
      <c r="F60" s="1505"/>
      <c r="G60" s="2602"/>
      <c r="H60" s="2620" t="str">
        <f t="shared" si="16"/>
        <v>——</v>
      </c>
      <c r="I60" s="1503">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7" t="s">
        <v>109</v>
      </c>
      <c r="B61" s="1506">
        <f>估价对象房地状况!C19</f>
        <v>0</v>
      </c>
      <c r="C61" s="1487"/>
      <c r="D61" s="2604">
        <f t="shared" si="15"/>
        <v>0</v>
      </c>
      <c r="E61" s="1507"/>
      <c r="F61" s="1505"/>
      <c r="G61" s="2602"/>
      <c r="H61" s="2620" t="str">
        <f t="shared" si="16"/>
        <v>——</v>
      </c>
      <c r="I61" s="1503">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7" t="s">
        <v>1785</v>
      </c>
      <c r="B62" s="3308" t="s">
        <v>3032</v>
      </c>
      <c r="C62" s="1487"/>
      <c r="D62" s="2604">
        <f t="shared" si="15"/>
        <v>0</v>
      </c>
      <c r="E62" s="1507"/>
      <c r="F62" s="1505"/>
      <c r="G62" s="2602"/>
      <c r="H62" s="2620" t="str">
        <f t="shared" si="16"/>
        <v>——</v>
      </c>
      <c r="I62" s="1503">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7" t="s">
        <v>1786</v>
      </c>
      <c r="B63" s="1506" t="str">
        <f>估价对象房地状况!C24</f>
        <v>城市支路——沙窝中路</v>
      </c>
      <c r="C63" s="1487"/>
      <c r="D63" s="2604">
        <f t="shared" si="15"/>
        <v>0</v>
      </c>
      <c r="E63" s="1507"/>
      <c r="F63" s="1505"/>
      <c r="G63" s="2602"/>
      <c r="H63" s="2620" t="str">
        <f t="shared" si="16"/>
        <v>——</v>
      </c>
      <c r="I63" s="1503">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7" t="s">
        <v>1787</v>
      </c>
      <c r="B64" s="3307" t="s">
        <v>3031</v>
      </c>
      <c r="C64" s="1487"/>
      <c r="D64" s="2604">
        <f t="shared" si="15"/>
        <v>0</v>
      </c>
      <c r="E64" s="1507"/>
      <c r="F64" s="1505"/>
      <c r="G64" s="2602"/>
      <c r="H64" s="2620" t="str">
        <f t="shared" si="16"/>
        <v>——</v>
      </c>
      <c r="I64" s="1503">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7" t="s">
        <v>1788</v>
      </c>
      <c r="B65" s="2600" t="str">
        <f>估价对象房地状况!C21</f>
        <v>估价对象所在区域公共配套设施齐备度较好</v>
      </c>
      <c r="C65" s="1487"/>
      <c r="D65" s="2604">
        <f t="shared" si="15"/>
        <v>0</v>
      </c>
      <c r="E65" s="1507"/>
      <c r="F65" s="1505"/>
      <c r="G65" s="2602"/>
      <c r="H65" s="2620" t="str">
        <f t="shared" si="16"/>
        <v>——</v>
      </c>
      <c r="I65" s="1503">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7" t="s">
        <v>1789</v>
      </c>
      <c r="B66" s="2600" t="str">
        <f>估价对象房地状况!C22</f>
        <v>估价对象所在区域基础设施水平七通一平</v>
      </c>
      <c r="C66" s="1487"/>
      <c r="D66" s="2604">
        <f t="shared" si="15"/>
        <v>0</v>
      </c>
      <c r="E66" s="1507"/>
      <c r="F66" s="1505"/>
      <c r="G66" s="2602"/>
      <c r="H66" s="2620" t="str">
        <f t="shared" si="16"/>
        <v>——</v>
      </c>
      <c r="I66" s="1503">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48.75" thickBot="1">
      <c r="A67" s="1510" t="s">
        <v>1790</v>
      </c>
      <c r="B67" s="1515" t="str">
        <f>估价对象房地状况!C20</f>
        <v>区域自然环境：五棵松公园等；人文环境：国家开发大学五棵松校区；综合评价环境状况较好</v>
      </c>
      <c r="C67" s="1487"/>
      <c r="D67" s="2604">
        <f t="shared" si="15"/>
        <v>0</v>
      </c>
      <c r="E67" s="1513"/>
      <c r="F67" s="1505"/>
      <c r="G67" s="2602"/>
      <c r="H67" s="2620" t="str">
        <f t="shared" si="16"/>
        <v>——</v>
      </c>
      <c r="I67" s="1512">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1" t="s">
        <v>979</v>
      </c>
      <c r="B68" s="1492">
        <f>1+E70</f>
        <v>1</v>
      </c>
      <c r="C68" s="1514"/>
      <c r="D68" s="1494"/>
      <c r="E68" s="1495"/>
      <c r="F68" s="2137"/>
      <c r="G68" s="292"/>
      <c r="H68" s="292"/>
      <c r="I68" s="292"/>
      <c r="J68" s="1490"/>
      <c r="K68" s="1490"/>
      <c r="L68" s="1490"/>
      <c r="M68" s="1490"/>
      <c r="N68" s="1490"/>
      <c r="AA68" s="2384"/>
      <c r="AB68" s="2384"/>
      <c r="AC68" s="2384"/>
      <c r="AD68" s="2384"/>
      <c r="AE68" s="2384"/>
      <c r="AF68" s="2384"/>
      <c r="AG68" s="2384"/>
      <c r="AH68" s="2384"/>
      <c r="AI68" s="2384"/>
      <c r="AJ68" s="2384"/>
      <c r="AK68" s="2384"/>
    </row>
    <row r="69" spans="1:37" s="2383" customFormat="1" ht="24">
      <c r="A69" s="1497" t="s">
        <v>1781</v>
      </c>
      <c r="B69" s="1498"/>
      <c r="C69" s="1499" t="s">
        <v>1783</v>
      </c>
      <c r="D69" s="1500" t="s">
        <v>1854</v>
      </c>
      <c r="E69" s="1501" t="s">
        <v>1856</v>
      </c>
      <c r="F69" s="2605" t="s">
        <v>2296</v>
      </c>
      <c r="G69" s="1500" t="s">
        <v>1852</v>
      </c>
      <c r="H69" s="2606" t="s">
        <v>2501</v>
      </c>
      <c r="I69" s="1500" t="s">
        <v>1855</v>
      </c>
      <c r="J69" s="945" t="s">
        <v>426</v>
      </c>
      <c r="K69" s="945" t="s">
        <v>427</v>
      </c>
      <c r="L69" s="945" t="s">
        <v>428</v>
      </c>
      <c r="M69" s="945" t="s">
        <v>429</v>
      </c>
      <c r="N69" s="945" t="s">
        <v>430</v>
      </c>
      <c r="AA69" s="2384"/>
      <c r="AB69" s="2384"/>
      <c r="AC69" s="2384"/>
      <c r="AD69" s="2384"/>
      <c r="AE69" s="2384"/>
      <c r="AF69" s="2384"/>
      <c r="AG69" s="2384"/>
      <c r="AH69" s="2384"/>
      <c r="AI69" s="2384"/>
      <c r="AJ69" s="2384"/>
      <c r="AK69" s="2384"/>
    </row>
    <row r="70" spans="1:37" s="2383" customFormat="1" ht="24">
      <c r="A70" s="1497" t="s">
        <v>110</v>
      </c>
      <c r="B70" s="1502">
        <f>估价对象房地状况!C15</f>
        <v>0</v>
      </c>
      <c r="C70" s="1487"/>
      <c r="D70" s="2604">
        <f t="shared" ref="D70:D78" si="20">SUMIF($J$69:$N$69,C70,J70:N70)</f>
        <v>0</v>
      </c>
      <c r="E70" s="1504">
        <f>ROUND(SUM(D70:D78),4)</f>
        <v>0</v>
      </c>
      <c r="F70" s="1505" t="str">
        <f>IF(E2="住宅",SUMIF(L1:L12,G2,N1:N12),"——")</f>
        <v>——</v>
      </c>
      <c r="G70" s="2602"/>
      <c r="H70" s="2620" t="str">
        <f t="shared" ref="H70:H78" si="21">IFERROR(ROUNDDOWN($F$70*I70/2,4),"——")</f>
        <v>——</v>
      </c>
      <c r="I70" s="1503">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72">
      <c r="A71" s="1497" t="s">
        <v>92</v>
      </c>
      <c r="B71" s="1506" t="str">
        <f>估价对象房地状况!C18</f>
        <v>估价对象周边有308、335等公交线路及地铁1号线，公共交通通达情况较好；项目自身有停车位、停车便捷程度较好，综合评价交通便捷度较好</v>
      </c>
      <c r="C71" s="1487"/>
      <c r="D71" s="2604">
        <f t="shared" si="20"/>
        <v>0</v>
      </c>
      <c r="E71" s="1516"/>
      <c r="F71" s="1505"/>
      <c r="G71" s="2602"/>
      <c r="H71" s="2620" t="str">
        <f t="shared" si="21"/>
        <v>——</v>
      </c>
      <c r="I71" s="1503">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7" t="s">
        <v>109</v>
      </c>
      <c r="B72" s="1506">
        <f>估价对象房地状况!C19</f>
        <v>0</v>
      </c>
      <c r="C72" s="1487"/>
      <c r="D72" s="2604">
        <f t="shared" si="20"/>
        <v>0</v>
      </c>
      <c r="E72" s="1516"/>
      <c r="F72" s="1505"/>
      <c r="G72" s="2602"/>
      <c r="H72" s="2620" t="str">
        <f t="shared" si="21"/>
        <v>——</v>
      </c>
      <c r="I72" s="1503">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7" t="s">
        <v>1791</v>
      </c>
      <c r="B73" s="1506" t="str">
        <f>估价对象房地状况!C24</f>
        <v>城市支路——沙窝中路</v>
      </c>
      <c r="C73" s="1487"/>
      <c r="D73" s="2604">
        <f t="shared" si="20"/>
        <v>0</v>
      </c>
      <c r="E73" s="1516"/>
      <c r="F73" s="1505"/>
      <c r="G73" s="2602"/>
      <c r="H73" s="2620" t="str">
        <f t="shared" si="21"/>
        <v>——</v>
      </c>
      <c r="I73" s="1503">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7" t="s">
        <v>1788</v>
      </c>
      <c r="B74" s="2600" t="str">
        <f>估价对象房地状况!C21</f>
        <v>估价对象所在区域公共配套设施齐备度较好</v>
      </c>
      <c r="C74" s="1487"/>
      <c r="D74" s="2604">
        <f t="shared" si="20"/>
        <v>0</v>
      </c>
      <c r="E74" s="1516"/>
      <c r="F74" s="1505"/>
      <c r="G74" s="2602"/>
      <c r="H74" s="2620" t="str">
        <f t="shared" si="21"/>
        <v>——</v>
      </c>
      <c r="I74" s="1503">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7" t="s">
        <v>1789</v>
      </c>
      <c r="B75" s="2600" t="str">
        <f>估价对象房地状况!C22</f>
        <v>估价对象所在区域基础设施水平七通一平</v>
      </c>
      <c r="C75" s="1487"/>
      <c r="D75" s="2604">
        <f t="shared" si="20"/>
        <v>0</v>
      </c>
      <c r="E75" s="1516"/>
      <c r="F75" s="1505"/>
      <c r="G75" s="2602"/>
      <c r="H75" s="2620" t="str">
        <f t="shared" si="21"/>
        <v>——</v>
      </c>
      <c r="I75" s="1503">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7" t="s">
        <v>1787</v>
      </c>
      <c r="B76" s="3307" t="s">
        <v>3031</v>
      </c>
      <c r="C76" s="1487"/>
      <c r="D76" s="2604">
        <f t="shared" si="20"/>
        <v>0</v>
      </c>
      <c r="E76" s="1516"/>
      <c r="F76" s="1505"/>
      <c r="G76" s="2602"/>
      <c r="H76" s="2620" t="str">
        <f t="shared" si="21"/>
        <v>——</v>
      </c>
      <c r="I76" s="1503">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48">
      <c r="A77" s="1497" t="s">
        <v>1790</v>
      </c>
      <c r="B77" s="1502" t="str">
        <f>估价对象房地状况!C20</f>
        <v>区域自然环境：五棵松公园等；人文环境：国家开发大学五棵松校区；综合评价环境状况较好</v>
      </c>
      <c r="C77" s="1487"/>
      <c r="D77" s="2604">
        <f t="shared" si="20"/>
        <v>0</v>
      </c>
      <c r="E77" s="1516"/>
      <c r="F77" s="1505"/>
      <c r="G77" s="2602"/>
      <c r="H77" s="2620" t="str">
        <f t="shared" si="21"/>
        <v>——</v>
      </c>
      <c r="I77" s="1503">
        <v>0.15</v>
      </c>
      <c r="J77" s="2603">
        <f t="shared" si="22"/>
        <v>0</v>
      </c>
      <c r="K77" s="2603">
        <f t="shared" si="23"/>
        <v>0</v>
      </c>
      <c r="L77" s="2603">
        <v>0</v>
      </c>
      <c r="M77" s="2603">
        <f t="shared" si="24"/>
        <v>0</v>
      </c>
      <c r="N77" s="2603">
        <f t="shared" si="24"/>
        <v>0</v>
      </c>
      <c r="Z77" s="1627"/>
      <c r="AA77" s="1626"/>
      <c r="AG77" s="1625"/>
      <c r="AK77" s="1626"/>
    </row>
    <row r="78" spans="1:37" ht="24.75" thickBot="1">
      <c r="A78" s="1510" t="s">
        <v>1792</v>
      </c>
      <c r="B78" s="3306"/>
      <c r="C78" s="1487"/>
      <c r="D78" s="2604">
        <f t="shared" si="20"/>
        <v>0</v>
      </c>
      <c r="E78" s="1517"/>
      <c r="F78" s="1505"/>
      <c r="G78" s="2602"/>
      <c r="H78" s="2620" t="str">
        <f t="shared" si="21"/>
        <v>——</v>
      </c>
      <c r="I78" s="1512">
        <v>0.04</v>
      </c>
      <c r="J78" s="2603">
        <f t="shared" si="22"/>
        <v>0</v>
      </c>
      <c r="K78" s="2603">
        <f t="shared" si="23"/>
        <v>0</v>
      </c>
      <c r="L78" s="2603">
        <v>0</v>
      </c>
      <c r="M78" s="2603">
        <f t="shared" si="24"/>
        <v>0</v>
      </c>
      <c r="N78" s="2603">
        <f t="shared" si="24"/>
        <v>0</v>
      </c>
      <c r="Z78" s="1627"/>
      <c r="AA78" s="1626"/>
      <c r="AG78" s="1625"/>
      <c r="AK78" s="1626"/>
    </row>
    <row r="79" spans="1:37" ht="15">
      <c r="A79" s="1491" t="s">
        <v>1106</v>
      </c>
      <c r="B79" s="1492">
        <f>1+E81</f>
        <v>1</v>
      </c>
      <c r="C79" s="1514"/>
      <c r="D79" s="1494"/>
      <c r="E79" s="1495"/>
      <c r="F79" s="2137"/>
      <c r="G79" s="292"/>
      <c r="H79" s="292"/>
      <c r="I79" s="292"/>
      <c r="J79" s="1490"/>
      <c r="K79" s="1490"/>
      <c r="L79" s="1490"/>
      <c r="M79" s="1490"/>
      <c r="N79" s="1490"/>
      <c r="Z79" s="1627"/>
      <c r="AA79" s="1626"/>
      <c r="AG79" s="1625"/>
      <c r="AK79" s="1626"/>
    </row>
    <row r="80" spans="1:37" ht="24">
      <c r="A80" s="1497" t="s">
        <v>1781</v>
      </c>
      <c r="B80" s="1498"/>
      <c r="C80" s="1499" t="s">
        <v>1783</v>
      </c>
      <c r="D80" s="1500" t="s">
        <v>1854</v>
      </c>
      <c r="E80" s="1501" t="s">
        <v>1856</v>
      </c>
      <c r="F80" s="2605" t="s">
        <v>2296</v>
      </c>
      <c r="G80" s="1500" t="s">
        <v>1852</v>
      </c>
      <c r="H80" s="2606" t="s">
        <v>2501</v>
      </c>
      <c r="I80" s="1500" t="s">
        <v>1855</v>
      </c>
      <c r="J80" s="945" t="s">
        <v>426</v>
      </c>
      <c r="K80" s="945" t="s">
        <v>427</v>
      </c>
      <c r="L80" s="945" t="s">
        <v>428</v>
      </c>
      <c r="M80" s="945" t="s">
        <v>429</v>
      </c>
      <c r="N80" s="945" t="s">
        <v>430</v>
      </c>
      <c r="Z80" s="1627"/>
      <c r="AA80" s="1626"/>
      <c r="AG80" s="1625"/>
      <c r="AK80" s="1626"/>
    </row>
    <row r="81" spans="1:37" ht="36">
      <c r="A81" s="1497" t="s">
        <v>159</v>
      </c>
      <c r="B81" s="1506" t="str">
        <f>估价对象房地状况!G15</f>
        <v>估价对象位于XX开发区，园区建设成熟度XX，产业集聚程度XX</v>
      </c>
      <c r="C81" s="1487"/>
      <c r="D81" s="2604">
        <f t="shared" ref="D81:D88" si="25">SUMIF($J$80:$N$80,C81,J81:N81)</f>
        <v>0</v>
      </c>
      <c r="E81" s="1504">
        <f>ROUND(SUM(D81:D88),4)</f>
        <v>0</v>
      </c>
      <c r="F81" s="1505" t="str">
        <f>IF(E2="工业",SUMIF(L1:L12,G2,N1:N12),"——")</f>
        <v>——</v>
      </c>
      <c r="G81" s="2602"/>
      <c r="H81" s="2620" t="str">
        <f t="shared" ref="H81:H88" si="26">IFERROR(ROUNDDOWN($F$81*I81/2,4),"——")</f>
        <v>——</v>
      </c>
      <c r="I81" s="1503">
        <v>0.26</v>
      </c>
      <c r="J81" s="2603">
        <f t="shared" ref="J81:J88" si="27">K81+$G81</f>
        <v>0</v>
      </c>
      <c r="K81" s="2603">
        <f t="shared" ref="K81:K88" si="28">$L81+$G81</f>
        <v>0</v>
      </c>
      <c r="L81" s="2603">
        <v>0</v>
      </c>
      <c r="M81" s="2603">
        <f t="shared" ref="M81:N88" si="29">L81-$G81</f>
        <v>0</v>
      </c>
      <c r="N81" s="2603">
        <f t="shared" si="29"/>
        <v>0</v>
      </c>
      <c r="Z81" s="1627"/>
      <c r="AA81" s="1626"/>
      <c r="AG81" s="1625"/>
      <c r="AK81" s="1626"/>
    </row>
    <row r="82" spans="1:37" ht="48">
      <c r="A82" s="1497" t="s">
        <v>92</v>
      </c>
      <c r="B82" s="1506" t="str">
        <f>估价对象房地状况!G16</f>
        <v>估价对象周边道路状况、公共交通通达情况、停车便捷程度，综合评价交通便捷度较好</v>
      </c>
      <c r="C82" s="1487"/>
      <c r="D82" s="2604">
        <f t="shared" si="25"/>
        <v>0</v>
      </c>
      <c r="E82" s="1516"/>
      <c r="F82" s="1505"/>
      <c r="G82" s="2602"/>
      <c r="H82" s="2620" t="str">
        <f t="shared" si="26"/>
        <v>——</v>
      </c>
      <c r="I82" s="1503">
        <v>0.33</v>
      </c>
      <c r="J82" s="2603">
        <f t="shared" si="27"/>
        <v>0</v>
      </c>
      <c r="K82" s="2603">
        <f t="shared" si="28"/>
        <v>0</v>
      </c>
      <c r="L82" s="2603">
        <v>0</v>
      </c>
      <c r="M82" s="2603">
        <f t="shared" si="29"/>
        <v>0</v>
      </c>
      <c r="N82" s="2603">
        <f t="shared" si="29"/>
        <v>0</v>
      </c>
      <c r="Z82" s="1627"/>
      <c r="AA82" s="1626"/>
      <c r="AG82" s="1625"/>
      <c r="AK82" s="1626"/>
    </row>
    <row r="83" spans="1:37" ht="24">
      <c r="A83" s="1497" t="s">
        <v>109</v>
      </c>
      <c r="B83" s="1506">
        <f>估价对象房地状况!G17</f>
        <v>0</v>
      </c>
      <c r="C83" s="1487"/>
      <c r="D83" s="2604">
        <f t="shared" si="25"/>
        <v>0</v>
      </c>
      <c r="E83" s="1516"/>
      <c r="F83" s="1505"/>
      <c r="G83" s="2602"/>
      <c r="H83" s="2620" t="str">
        <f t="shared" si="26"/>
        <v>——</v>
      </c>
      <c r="I83" s="1503">
        <v>0.05</v>
      </c>
      <c r="J83" s="2603">
        <f t="shared" si="27"/>
        <v>0</v>
      </c>
      <c r="K83" s="2603">
        <f t="shared" si="28"/>
        <v>0</v>
      </c>
      <c r="L83" s="2603">
        <v>0</v>
      </c>
      <c r="M83" s="2603">
        <f t="shared" si="29"/>
        <v>0</v>
      </c>
      <c r="N83" s="2603">
        <f t="shared" si="29"/>
        <v>0</v>
      </c>
      <c r="Z83" s="1627"/>
      <c r="AA83" s="1626"/>
      <c r="AG83" s="1625"/>
      <c r="AK83" s="1626"/>
    </row>
    <row r="84" spans="1:37" ht="14.25">
      <c r="A84" s="1497" t="s">
        <v>1791</v>
      </c>
      <c r="B84" s="1506">
        <f>估价对象房地状况!G22</f>
        <v>0</v>
      </c>
      <c r="C84" s="1487"/>
      <c r="D84" s="2604">
        <f t="shared" si="25"/>
        <v>0</v>
      </c>
      <c r="E84" s="1516"/>
      <c r="F84" s="1505"/>
      <c r="G84" s="2602"/>
      <c r="H84" s="2620" t="str">
        <f t="shared" si="26"/>
        <v>——</v>
      </c>
      <c r="I84" s="1503">
        <v>0.04</v>
      </c>
      <c r="J84" s="2603">
        <f t="shared" si="27"/>
        <v>0</v>
      </c>
      <c r="K84" s="2603">
        <f t="shared" si="28"/>
        <v>0</v>
      </c>
      <c r="L84" s="2603">
        <v>0</v>
      </c>
      <c r="M84" s="2603">
        <f t="shared" si="29"/>
        <v>0</v>
      </c>
      <c r="N84" s="2603">
        <f t="shared" si="29"/>
        <v>0</v>
      </c>
      <c r="Z84" s="1627"/>
      <c r="AA84" s="1626"/>
      <c r="AG84" s="1625"/>
      <c r="AK84" s="1626"/>
    </row>
    <row r="85" spans="1:37" ht="24">
      <c r="A85" s="1497" t="s">
        <v>1788</v>
      </c>
      <c r="B85" s="2600" t="str">
        <f>估价对象房地状况!G19</f>
        <v>估价对象所在区域公共配套设施齐备情况</v>
      </c>
      <c r="C85" s="1487"/>
      <c r="D85" s="2604">
        <f t="shared" si="25"/>
        <v>0</v>
      </c>
      <c r="E85" s="1516"/>
      <c r="F85" s="1505"/>
      <c r="G85" s="2602"/>
      <c r="H85" s="2620" t="str">
        <f t="shared" si="26"/>
        <v>——</v>
      </c>
      <c r="I85" s="1503">
        <v>0.06</v>
      </c>
      <c r="J85" s="2603">
        <f t="shared" si="27"/>
        <v>0</v>
      </c>
      <c r="K85" s="2603">
        <f t="shared" si="28"/>
        <v>0</v>
      </c>
      <c r="L85" s="2603">
        <v>0</v>
      </c>
      <c r="M85" s="2603">
        <f t="shared" si="29"/>
        <v>0</v>
      </c>
      <c r="N85" s="2603">
        <f t="shared" si="29"/>
        <v>0</v>
      </c>
      <c r="Z85" s="1627"/>
      <c r="AA85" s="1626"/>
      <c r="AG85" s="1625"/>
      <c r="AK85" s="1626"/>
    </row>
    <row r="86" spans="1:37" ht="24">
      <c r="A86" s="1497" t="s">
        <v>1789</v>
      </c>
      <c r="B86" s="2600" t="str">
        <f>估价对象房地状况!G20</f>
        <v>估价对象所在区域基础设施水平</v>
      </c>
      <c r="C86" s="1487"/>
      <c r="D86" s="2604">
        <f t="shared" si="25"/>
        <v>0</v>
      </c>
      <c r="E86" s="1516"/>
      <c r="F86" s="1505"/>
      <c r="G86" s="2602"/>
      <c r="H86" s="2620" t="str">
        <f t="shared" si="26"/>
        <v>——</v>
      </c>
      <c r="I86" s="1503">
        <v>0.15</v>
      </c>
      <c r="J86" s="2603">
        <f t="shared" si="27"/>
        <v>0</v>
      </c>
      <c r="K86" s="2603">
        <f t="shared" si="28"/>
        <v>0</v>
      </c>
      <c r="L86" s="2603">
        <v>0</v>
      </c>
      <c r="M86" s="2603">
        <f t="shared" si="29"/>
        <v>0</v>
      </c>
      <c r="N86" s="2603">
        <f t="shared" si="29"/>
        <v>0</v>
      </c>
      <c r="Z86" s="1627"/>
      <c r="AA86" s="1626"/>
      <c r="AG86" s="1625"/>
      <c r="AK86" s="1626"/>
    </row>
    <row r="87" spans="1:37" ht="24">
      <c r="A87" s="1497" t="s">
        <v>1787</v>
      </c>
      <c r="B87" s="3307" t="s">
        <v>2499</v>
      </c>
      <c r="C87" s="1487"/>
      <c r="D87" s="2604">
        <f t="shared" si="25"/>
        <v>0</v>
      </c>
      <c r="E87" s="1516"/>
      <c r="F87" s="1505"/>
      <c r="G87" s="2602"/>
      <c r="H87" s="2620" t="str">
        <f t="shared" si="26"/>
        <v>——</v>
      </c>
      <c r="I87" s="1503">
        <v>0.05</v>
      </c>
      <c r="J87" s="2603">
        <f t="shared" si="27"/>
        <v>0</v>
      </c>
      <c r="K87" s="2603">
        <f t="shared" si="28"/>
        <v>0</v>
      </c>
      <c r="L87" s="2603">
        <v>0</v>
      </c>
      <c r="M87" s="2603">
        <f t="shared" si="29"/>
        <v>0</v>
      </c>
      <c r="N87" s="2603">
        <f t="shared" si="29"/>
        <v>0</v>
      </c>
      <c r="Z87" s="1627"/>
      <c r="AA87" s="1626"/>
      <c r="AG87" s="1625"/>
      <c r="AK87" s="1626"/>
    </row>
    <row r="88" spans="1:37" ht="36.75" thickBot="1">
      <c r="A88" s="1510" t="s">
        <v>1793</v>
      </c>
      <c r="B88" s="2601" t="str">
        <f>估价对象房地状况!G18</f>
        <v>该园区内是否有污染型企业，绿化情况，卫生条件，整体环境状况判断</v>
      </c>
      <c r="C88" s="1487"/>
      <c r="D88" s="2604">
        <f t="shared" si="25"/>
        <v>0</v>
      </c>
      <c r="E88" s="1517"/>
      <c r="F88" s="1505"/>
      <c r="G88" s="2602"/>
      <c r="H88" s="2620" t="str">
        <f t="shared" si="26"/>
        <v>——</v>
      </c>
      <c r="I88" s="1512">
        <v>0.06</v>
      </c>
      <c r="J88" s="2603">
        <f t="shared" si="27"/>
        <v>0</v>
      </c>
      <c r="K88" s="2603">
        <f t="shared" si="28"/>
        <v>0</v>
      </c>
      <c r="L88" s="2603">
        <v>0</v>
      </c>
      <c r="M88" s="2603">
        <f t="shared" si="29"/>
        <v>0</v>
      </c>
      <c r="N88" s="2603">
        <f t="shared" si="29"/>
        <v>0</v>
      </c>
      <c r="Z88" s="1627"/>
      <c r="AA88" s="1626"/>
      <c r="AG88" s="1625"/>
      <c r="AK88" s="1626"/>
    </row>
    <row r="90" spans="1:37">
      <c r="A90" s="3670" t="s">
        <v>1762</v>
      </c>
      <c r="B90" s="3670"/>
      <c r="C90" s="3670"/>
      <c r="D90" s="3670"/>
      <c r="E90" s="3670"/>
      <c r="F90" s="3670"/>
      <c r="G90" s="3670"/>
      <c r="H90" s="3670"/>
      <c r="I90" s="3670"/>
      <c r="J90" s="3670"/>
      <c r="K90" s="2609"/>
      <c r="L90" s="2609"/>
      <c r="M90" s="2609"/>
      <c r="N90" s="2609"/>
    </row>
    <row r="91" spans="1:37">
      <c r="A91" s="3672" t="s">
        <v>68</v>
      </c>
      <c r="B91" s="3672" t="s">
        <v>1763</v>
      </c>
      <c r="C91" s="1586" t="s">
        <v>1764</v>
      </c>
      <c r="D91" s="1587"/>
      <c r="E91" s="1587"/>
      <c r="F91" s="1587"/>
      <c r="G91" s="1587"/>
      <c r="H91" s="1587"/>
      <c r="I91" s="1587"/>
      <c r="J91" s="1588"/>
      <c r="K91" s="1576"/>
      <c r="L91" s="1576"/>
      <c r="M91" s="1576"/>
      <c r="N91" s="1576"/>
    </row>
    <row r="92" spans="1:37">
      <c r="A92" s="3672"/>
      <c r="B92" s="3672"/>
      <c r="C92" s="2608" t="s">
        <v>165</v>
      </c>
      <c r="D92" s="2608" t="s">
        <v>166</v>
      </c>
      <c r="E92" s="2608" t="s">
        <v>161</v>
      </c>
      <c r="F92" s="2608" t="s">
        <v>162</v>
      </c>
      <c r="G92" s="2608" t="s">
        <v>163</v>
      </c>
      <c r="H92" s="2608" t="s">
        <v>164</v>
      </c>
      <c r="I92" s="2608" t="s">
        <v>1179</v>
      </c>
      <c r="J92" s="2608" t="s">
        <v>1180</v>
      </c>
      <c r="K92" s="2608" t="s">
        <v>1181</v>
      </c>
      <c r="L92" s="2608" t="s">
        <v>1182</v>
      </c>
      <c r="M92" s="2608" t="s">
        <v>1183</v>
      </c>
      <c r="N92" s="2608" t="s">
        <v>1184</v>
      </c>
    </row>
    <row r="93" spans="1:37">
      <c r="A93" s="3673" t="s">
        <v>1765</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674"/>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674"/>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674"/>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674"/>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674"/>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674"/>
      <c r="B99" s="1589" t="s">
        <v>1766</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675"/>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673" t="s">
        <v>1767</v>
      </c>
      <c r="B101" s="1593" t="s">
        <v>93</v>
      </c>
      <c r="C101" s="1594">
        <f>$G$3</f>
        <v>3.71</v>
      </c>
      <c r="D101" s="1594">
        <f t="shared" ref="D101:N101" si="31">$G$3</f>
        <v>3.71</v>
      </c>
      <c r="E101" s="1594">
        <f t="shared" si="31"/>
        <v>3.71</v>
      </c>
      <c r="F101" s="1594">
        <f t="shared" si="31"/>
        <v>3.71</v>
      </c>
      <c r="G101" s="1594">
        <f t="shared" si="31"/>
        <v>3.71</v>
      </c>
      <c r="H101" s="1594">
        <f t="shared" si="31"/>
        <v>3.71</v>
      </c>
      <c r="I101" s="1594">
        <f t="shared" si="31"/>
        <v>3.71</v>
      </c>
      <c r="J101" s="1594">
        <f t="shared" si="31"/>
        <v>3.71</v>
      </c>
      <c r="K101" s="1594">
        <f t="shared" si="31"/>
        <v>3.71</v>
      </c>
      <c r="L101" s="1594">
        <f t="shared" si="31"/>
        <v>3.71</v>
      </c>
      <c r="M101" s="1594">
        <f t="shared" si="31"/>
        <v>3.71</v>
      </c>
      <c r="N101" s="1594">
        <f t="shared" si="31"/>
        <v>3.71</v>
      </c>
    </row>
    <row r="102" spans="1:14">
      <c r="A102" s="3674"/>
      <c r="B102" s="1589">
        <v>1</v>
      </c>
      <c r="C102" s="1590">
        <f>1.9362/C101</f>
        <v>0.52188679245283021</v>
      </c>
      <c r="D102" s="1590">
        <f>1.9362/D101</f>
        <v>0.52188679245283021</v>
      </c>
      <c r="E102" s="1590">
        <f>1.8629/E101</f>
        <v>0.50212938005390839</v>
      </c>
      <c r="F102" s="1590">
        <f>1.8629/F101</f>
        <v>0.50212938005390839</v>
      </c>
      <c r="G102" s="1590">
        <f>1.8629/G101</f>
        <v>0.50212938005390839</v>
      </c>
      <c r="H102" s="1590">
        <f>1.8629/H101</f>
        <v>0.50212938005390839</v>
      </c>
      <c r="I102" s="1590">
        <f>1.8629/I101</f>
        <v>0.50212938005390839</v>
      </c>
      <c r="J102" s="1590">
        <f>1.942/J101</f>
        <v>0.52345013477088953</v>
      </c>
      <c r="K102" s="1590">
        <f>1.942/K101</f>
        <v>0.52345013477088953</v>
      </c>
      <c r="L102" s="1590">
        <f>1.942/L101</f>
        <v>0.52345013477088953</v>
      </c>
      <c r="M102" s="1590">
        <f>1.942/M101</f>
        <v>0.52345013477088953</v>
      </c>
      <c r="N102" s="1590">
        <f>1.942/N101</f>
        <v>0.52345013477088953</v>
      </c>
    </row>
    <row r="103" spans="1:14">
      <c r="A103" s="3674"/>
      <c r="B103" s="1589">
        <v>2</v>
      </c>
      <c r="C103" s="1590">
        <f>1.4198/C101</f>
        <v>0.38269541778975741</v>
      </c>
      <c r="D103" s="1590">
        <f>1.4198/D101</f>
        <v>0.38269541778975741</v>
      </c>
      <c r="E103" s="1590">
        <f>1.3372/E101</f>
        <v>0.36043126684636118</v>
      </c>
      <c r="F103" s="1590">
        <f>1.3372/F101</f>
        <v>0.36043126684636118</v>
      </c>
      <c r="G103" s="1590">
        <f>1.3372/G101</f>
        <v>0.36043126684636118</v>
      </c>
      <c r="H103" s="1590">
        <f>1.3372/H101</f>
        <v>0.36043126684636118</v>
      </c>
      <c r="I103" s="1590">
        <f>1.3372/I101</f>
        <v>0.36043126684636118</v>
      </c>
      <c r="J103" s="1590">
        <f>1.2799/J101</f>
        <v>0.34498652291105125</v>
      </c>
      <c r="K103" s="1590">
        <f>1.2799/K101</f>
        <v>0.34498652291105125</v>
      </c>
      <c r="L103" s="1590">
        <f>1.2799/L101</f>
        <v>0.34498652291105125</v>
      </c>
      <c r="M103" s="1590">
        <f>1.2799/M101</f>
        <v>0.34498652291105125</v>
      </c>
      <c r="N103" s="1590">
        <f>1.2799/N101</f>
        <v>0.34498652291105125</v>
      </c>
    </row>
    <row r="104" spans="1:14">
      <c r="A104" s="3674"/>
      <c r="B104" s="1589">
        <v>3</v>
      </c>
      <c r="C104" s="1590">
        <f>1.1594/C101</f>
        <v>0.31250673854447442</v>
      </c>
      <c r="D104" s="1590">
        <f>1.1594/D101</f>
        <v>0.31250673854447442</v>
      </c>
      <c r="E104" s="1590">
        <f>1.0788/E101</f>
        <v>0.29078167115902964</v>
      </c>
      <c r="F104" s="1590">
        <f>1.0788/F101</f>
        <v>0.29078167115902964</v>
      </c>
      <c r="G104" s="1590">
        <f>1.0788/G101</f>
        <v>0.29078167115902964</v>
      </c>
      <c r="H104" s="1590">
        <f>1.0788/H101</f>
        <v>0.29078167115902964</v>
      </c>
      <c r="I104" s="1590">
        <f>1.0788/I101</f>
        <v>0.29078167115902964</v>
      </c>
      <c r="J104" s="1590">
        <f>1.0072/J101</f>
        <v>0.27148247978436663</v>
      </c>
      <c r="K104" s="1590">
        <f>1.0072/K101</f>
        <v>0.27148247978436663</v>
      </c>
      <c r="L104" s="1590">
        <f>1.0072/L101</f>
        <v>0.27148247978436663</v>
      </c>
      <c r="M104" s="1590">
        <f>1.0072/M101</f>
        <v>0.27148247978436663</v>
      </c>
      <c r="N104" s="1590">
        <f>1.0072/N101</f>
        <v>0.27148247978436663</v>
      </c>
    </row>
    <row r="105" spans="1:14">
      <c r="A105" s="3674"/>
      <c r="B105" s="1589">
        <v>4</v>
      </c>
      <c r="C105" s="1590">
        <f>0.9622/C101</f>
        <v>0.25935309973045823</v>
      </c>
      <c r="D105" s="1590">
        <f>0.9622/D101</f>
        <v>0.25935309973045823</v>
      </c>
      <c r="E105" s="1590">
        <f>0.8656/E101</f>
        <v>0.23331536388140162</v>
      </c>
      <c r="F105" s="1590">
        <f>0.8656/F101</f>
        <v>0.23331536388140162</v>
      </c>
      <c r="G105" s="1590">
        <f>0.8656/G101</f>
        <v>0.23331536388140162</v>
      </c>
      <c r="H105" s="1590">
        <f>0.8656/H101</f>
        <v>0.23331536388140162</v>
      </c>
      <c r="I105" s="1590">
        <f>0.8656/I101</f>
        <v>0.23331536388140162</v>
      </c>
      <c r="J105" s="1590">
        <f>0.7525/J101</f>
        <v>0.20283018867924527</v>
      </c>
      <c r="K105" s="1590">
        <f>0.7525/K101</f>
        <v>0.20283018867924527</v>
      </c>
      <c r="L105" s="1590">
        <f>0.7525/L101</f>
        <v>0.20283018867924527</v>
      </c>
      <c r="M105" s="1590">
        <f>0.7525/M101</f>
        <v>0.20283018867924527</v>
      </c>
      <c r="N105" s="1590">
        <f>0.7525/N101</f>
        <v>0.20283018867924527</v>
      </c>
    </row>
    <row r="106" spans="1:14">
      <c r="A106" s="3674"/>
      <c r="B106" s="1589">
        <v>5</v>
      </c>
      <c r="C106" s="1590">
        <f>0.8417/C101</f>
        <v>0.22687331536388142</v>
      </c>
      <c r="D106" s="1590">
        <f>0.8417/D101</f>
        <v>0.22687331536388142</v>
      </c>
      <c r="E106" s="1590">
        <f>0.7371/E101</f>
        <v>0.19867924528301886</v>
      </c>
      <c r="F106" s="1590">
        <f>0.7371/F101</f>
        <v>0.19867924528301886</v>
      </c>
      <c r="G106" s="1590">
        <f>0.7371/G101</f>
        <v>0.19867924528301886</v>
      </c>
      <c r="H106" s="1590">
        <f>0.7371/H101</f>
        <v>0.19867924528301886</v>
      </c>
      <c r="I106" s="1590">
        <f>0.7371/I101</f>
        <v>0.19867924528301886</v>
      </c>
      <c r="J106" s="1590">
        <f>0.5659/J101</f>
        <v>0.15253369272237197</v>
      </c>
      <c r="K106" s="1590">
        <f>0.5659/K101</f>
        <v>0.15253369272237197</v>
      </c>
      <c r="L106" s="1590">
        <f>0.5659/L101</f>
        <v>0.15253369272237197</v>
      </c>
      <c r="M106" s="1590">
        <f>0.5659/M101</f>
        <v>0.15253369272237197</v>
      </c>
      <c r="N106" s="1590">
        <f>0.5659/N101</f>
        <v>0.15253369272237197</v>
      </c>
    </row>
    <row r="107" spans="1:14">
      <c r="A107" s="3674"/>
      <c r="B107" s="1589">
        <v>6</v>
      </c>
      <c r="C107" s="1590">
        <f>0.7608/C101</f>
        <v>0.20506738544474395</v>
      </c>
      <c r="D107" s="1590">
        <f>0.7608/D101</f>
        <v>0.20506738544474395</v>
      </c>
      <c r="E107" s="1590">
        <f>0.6482/E101</f>
        <v>0.17471698113207548</v>
      </c>
      <c r="F107" s="1590">
        <f>0.6482/F101</f>
        <v>0.17471698113207548</v>
      </c>
      <c r="G107" s="1590">
        <f>0.6482/G101</f>
        <v>0.17471698113207548</v>
      </c>
      <c r="H107" s="1590">
        <f>0.6482/H101</f>
        <v>0.17471698113207548</v>
      </c>
      <c r="I107" s="1590">
        <f>0.6482/I101</f>
        <v>0.17471698113207548</v>
      </c>
      <c r="J107" s="1590">
        <f>0.4525/J101</f>
        <v>0.12196765498652291</v>
      </c>
      <c r="K107" s="1590">
        <f>0.4525/K101</f>
        <v>0.12196765498652291</v>
      </c>
      <c r="L107" s="1590">
        <f>0.4525/L101</f>
        <v>0.12196765498652291</v>
      </c>
      <c r="M107" s="1590">
        <f>0.4525/M101</f>
        <v>0.12196765498652291</v>
      </c>
      <c r="N107" s="1590">
        <f>0.4525/N101</f>
        <v>0.12196765498652291</v>
      </c>
    </row>
    <row r="108" spans="1:14">
      <c r="A108" s="3674"/>
      <c r="B108" s="3676" t="s">
        <v>1769</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675"/>
      <c r="B109" s="3677"/>
      <c r="C109" s="1592">
        <f>(-0.163*(C108^2)-0.59*C108+7617)*(10^(-4))/C101</f>
        <v>0.2053099730458221</v>
      </c>
      <c r="D109" s="1592">
        <f>(-0.163*(D108^2)-0.59*D108+7617)*(10^(-4))/D101</f>
        <v>0.2053099730458221</v>
      </c>
      <c r="E109" s="1592">
        <f>(-0.161*(E108^2)-7.509*E108+6533)*(10^(-4))/E101</f>
        <v>0.17609164420485174</v>
      </c>
      <c r="F109" s="1592">
        <f>(-0.161*(F108^2)-7.509*F108+6533)*(10^(-4))/F101</f>
        <v>0.17609164420485174</v>
      </c>
      <c r="G109" s="1592">
        <f>(-0.161*(G108^2)-7.509*G108+6533)*(10^(-4))/G101</f>
        <v>0.17609164420485174</v>
      </c>
      <c r="H109" s="1592">
        <f>(-0.161*(H108^2)-7.509*H108+6533)*(10^(-4))/H101</f>
        <v>0.17609164420485174</v>
      </c>
      <c r="I109" s="1592">
        <f>(-0.161*(I108^2)-7.509*I108+6533)*(10^(-4))/I101</f>
        <v>0.17609164420485174</v>
      </c>
      <c r="J109" s="1592">
        <f>(-0.214*(J108^2)-21.991*J108+4665)*(10^(-4))/J101</f>
        <v>0.1257412398921833</v>
      </c>
      <c r="K109" s="1592">
        <f>(-0.214*(K108^2)-21.991*K108+4665)*(10^(-4))/K101</f>
        <v>0.1257412398921833</v>
      </c>
      <c r="L109" s="1592">
        <f>(-0.214*(L108^2)-21.991*L108+4665)*(10^(-4))/L101</f>
        <v>0.1257412398921833</v>
      </c>
      <c r="M109" s="1592">
        <f>(-0.214*(M108^2)-21.991*M108+4665)*(10^(-4))/M101</f>
        <v>0.1257412398921833</v>
      </c>
      <c r="N109" s="1592">
        <f>(-0.214*(N108^2)-21.991*N108+4665)*(10^(-4))/N101</f>
        <v>0.1257412398921833</v>
      </c>
    </row>
    <row r="110" spans="1:14">
      <c r="A110" s="3671" t="s">
        <v>1770</v>
      </c>
      <c r="B110" s="3671"/>
      <c r="C110" s="3671"/>
      <c r="D110" s="3671"/>
      <c r="E110" s="3671"/>
      <c r="F110" s="3671"/>
      <c r="G110" s="3671"/>
      <c r="H110" s="3671"/>
      <c r="I110" s="3671"/>
      <c r="J110" s="3671"/>
      <c r="K110" s="2607"/>
      <c r="L110" s="2607"/>
      <c r="M110" s="2607"/>
      <c r="N110" s="2607"/>
    </row>
    <row r="112" spans="1:14" ht="12.75" thickBot="1"/>
    <row r="113" spans="1:13" ht="25.5" thickBot="1">
      <c r="A113" s="1602" t="s">
        <v>1772</v>
      </c>
      <c r="B113" s="2610">
        <f>G3</f>
        <v>3.71</v>
      </c>
      <c r="C113" s="1603" t="s">
        <v>1773</v>
      </c>
      <c r="D113" s="1604">
        <f>SUMPRODUCT((A115:A118=F113)*(B114:M114=H113)*B115:M118)</f>
        <v>0.79269999999999996</v>
      </c>
      <c r="E113" s="1605" t="s">
        <v>68</v>
      </c>
      <c r="F113" s="1606" t="str">
        <f>E2</f>
        <v>商业</v>
      </c>
      <c r="G113" s="1605" t="s">
        <v>1562</v>
      </c>
      <c r="H113" s="1606" t="str">
        <f>G2</f>
        <v>四级</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1179</v>
      </c>
      <c r="I114" s="1612" t="s">
        <v>1180</v>
      </c>
      <c r="J114" s="1613" t="s">
        <v>1181</v>
      </c>
      <c r="K114" s="1613" t="s">
        <v>1182</v>
      </c>
      <c r="L114" s="1613" t="s">
        <v>1183</v>
      </c>
      <c r="M114" s="1614" t="s">
        <v>1184</v>
      </c>
    </row>
    <row r="115" spans="1:13" ht="12.75">
      <c r="A115" s="1615" t="s">
        <v>1774</v>
      </c>
      <c r="B115" s="1616">
        <f>ROUND(0.9335-0.0094*B113,4)</f>
        <v>0.89859999999999995</v>
      </c>
      <c r="C115" s="1616">
        <f>B115</f>
        <v>0.89859999999999995</v>
      </c>
      <c r="D115" s="1616">
        <f>ROUND(0.8331-0.0109*B113,4)</f>
        <v>0.79269999999999996</v>
      </c>
      <c r="E115" s="1616">
        <f>D115</f>
        <v>0.79269999999999996</v>
      </c>
      <c r="F115" s="1616">
        <f>E115</f>
        <v>0.79269999999999996</v>
      </c>
      <c r="G115" s="1616">
        <f>F115</f>
        <v>0.79269999999999996</v>
      </c>
      <c r="H115" s="1616">
        <f>G115</f>
        <v>0.79269999999999996</v>
      </c>
      <c r="I115" s="1616">
        <f>ROUND(0.689-0.0155*B113,4)</f>
        <v>0.63149999999999995</v>
      </c>
      <c r="J115" s="1616">
        <f t="shared" ref="J115:M118" si="33">I115</f>
        <v>0.63149999999999995</v>
      </c>
      <c r="K115" s="1616">
        <f t="shared" si="33"/>
        <v>0.63149999999999995</v>
      </c>
      <c r="L115" s="1616">
        <f t="shared" si="33"/>
        <v>0.63149999999999995</v>
      </c>
      <c r="M115" s="1617">
        <f t="shared" si="33"/>
        <v>0.63149999999999995</v>
      </c>
    </row>
    <row r="116" spans="1:13" ht="12.75">
      <c r="A116" s="1615" t="s">
        <v>1775</v>
      </c>
      <c r="B116" s="1616">
        <f>ROUND(0.949-0.012*B113,4)</f>
        <v>0.90449999999999997</v>
      </c>
      <c r="C116" s="1616">
        <f>B116</f>
        <v>0.90449999999999997</v>
      </c>
      <c r="D116" s="1616">
        <f>ROUND(0.8567-0.013*B113,4)</f>
        <v>0.8085</v>
      </c>
      <c r="E116" s="1616">
        <f t="shared" ref="E116:H117" si="34">D116</f>
        <v>0.8085</v>
      </c>
      <c r="F116" s="1616">
        <f t="shared" si="34"/>
        <v>0.8085</v>
      </c>
      <c r="G116" s="1616">
        <f t="shared" si="34"/>
        <v>0.8085</v>
      </c>
      <c r="H116" s="1616">
        <f t="shared" si="34"/>
        <v>0.8085</v>
      </c>
      <c r="I116" s="1616">
        <f>ROUND(0.7694-0.014*B113,4)</f>
        <v>0.71750000000000003</v>
      </c>
      <c r="J116" s="1616">
        <f t="shared" si="33"/>
        <v>0.71750000000000003</v>
      </c>
      <c r="K116" s="1616">
        <f t="shared" si="33"/>
        <v>0.71750000000000003</v>
      </c>
      <c r="L116" s="1616">
        <f t="shared" si="33"/>
        <v>0.71750000000000003</v>
      </c>
      <c r="M116" s="1617">
        <f t="shared" si="33"/>
        <v>0.71750000000000003</v>
      </c>
    </row>
    <row r="117" spans="1:13" ht="12.75">
      <c r="A117" s="1618" t="s">
        <v>979</v>
      </c>
      <c r="B117" s="1616">
        <f>ROUND(0.8808-0.006*B113,4)</f>
        <v>0.85850000000000004</v>
      </c>
      <c r="C117" s="1616">
        <f>B117</f>
        <v>0.85850000000000004</v>
      </c>
      <c r="D117" s="1616">
        <f>ROUND(0.8748-0.008*B113,4)</f>
        <v>0.84509999999999996</v>
      </c>
      <c r="E117" s="1616">
        <f t="shared" si="34"/>
        <v>0.84509999999999996</v>
      </c>
      <c r="F117" s="1616">
        <f t="shared" si="34"/>
        <v>0.84509999999999996</v>
      </c>
      <c r="G117" s="1616">
        <f t="shared" si="34"/>
        <v>0.84509999999999996</v>
      </c>
      <c r="H117" s="1616">
        <f t="shared" si="34"/>
        <v>0.84509999999999996</v>
      </c>
      <c r="I117" s="1616">
        <f>ROUND(0.7412-0.0095*B113,4)</f>
        <v>0.70599999999999996</v>
      </c>
      <c r="J117" s="1616">
        <f t="shared" si="33"/>
        <v>0.70599999999999996</v>
      </c>
      <c r="K117" s="1616">
        <f t="shared" si="33"/>
        <v>0.70599999999999996</v>
      </c>
      <c r="L117" s="1616">
        <f t="shared" si="33"/>
        <v>0.70599999999999996</v>
      </c>
      <c r="M117" s="1617">
        <f t="shared" si="33"/>
        <v>0.70599999999999996</v>
      </c>
    </row>
    <row r="118" spans="1:13" ht="13.5" thickBot="1">
      <c r="A118" s="1122" t="s">
        <v>1776</v>
      </c>
      <c r="B118" s="1619">
        <f>ROUND(0.7275-0.01*B113,4)</f>
        <v>0.69040000000000001</v>
      </c>
      <c r="C118" s="1619">
        <f>B118</f>
        <v>0.69040000000000001</v>
      </c>
      <c r="D118" s="1619">
        <f>ROUND(0.7043-0.012*B113,4)</f>
        <v>0.65980000000000005</v>
      </c>
      <c r="E118" s="1619">
        <f>D118</f>
        <v>0.65980000000000005</v>
      </c>
      <c r="F118" s="1619">
        <f>E118</f>
        <v>0.65980000000000005</v>
      </c>
      <c r="G118" s="1619">
        <f>ROUND(0.6299-0.0122*B113,4)</f>
        <v>0.58460000000000001</v>
      </c>
      <c r="H118" s="1619">
        <f>G118</f>
        <v>0.58460000000000001</v>
      </c>
      <c r="I118" s="1619">
        <f>ROUND(0.5667-0.0136*B113,4)</f>
        <v>0.51619999999999999</v>
      </c>
      <c r="J118" s="1619">
        <f t="shared" si="33"/>
        <v>0.51619999999999999</v>
      </c>
      <c r="K118" s="1619">
        <f t="shared" si="33"/>
        <v>0.51619999999999999</v>
      </c>
      <c r="L118" s="1619">
        <f t="shared" si="33"/>
        <v>0.51619999999999999</v>
      </c>
      <c r="M118" s="1620">
        <f t="shared" si="33"/>
        <v>0.51619999999999999</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2" priority="5" stopIfTrue="1" operator="notEqual">
      <formula>"——"</formula>
    </cfRule>
  </conditionalFormatting>
  <conditionalFormatting sqref="F59">
    <cfRule type="cellIs" dxfId="11" priority="4" stopIfTrue="1" operator="notEqual">
      <formula>"——"</formula>
    </cfRule>
  </conditionalFormatting>
  <conditionalFormatting sqref="F70">
    <cfRule type="cellIs" dxfId="10" priority="3" stopIfTrue="1" operator="notEqual">
      <formula>"——"</formula>
    </cfRule>
  </conditionalFormatting>
  <conditionalFormatting sqref="F81">
    <cfRule type="cellIs" dxfId="9" priority="2" stopIfTrue="1" operator="notEqual">
      <formula>"——"</formula>
    </cfRule>
  </conditionalFormatting>
  <conditionalFormatting sqref="H48:H56 H59:H67 H70:H78 H81:H88">
    <cfRule type="cellIs" dxfId="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1562</v>
      </c>
      <c r="B1" s="1521" t="s">
        <v>1173</v>
      </c>
      <c r="C1" s="1521" t="s">
        <v>1174</v>
      </c>
      <c r="D1" s="1521" t="s">
        <v>1175</v>
      </c>
      <c r="E1" s="1521" t="s">
        <v>1176</v>
      </c>
      <c r="F1" s="1521" t="s">
        <v>1177</v>
      </c>
      <c r="G1" s="1521" t="s">
        <v>1178</v>
      </c>
      <c r="H1" s="1521" t="s">
        <v>1179</v>
      </c>
      <c r="I1" s="1521" t="s">
        <v>1180</v>
      </c>
      <c r="J1" s="1521" t="s">
        <v>1181</v>
      </c>
      <c r="K1" s="1521" t="s">
        <v>1182</v>
      </c>
      <c r="L1" s="1521" t="s">
        <v>1183</v>
      </c>
      <c r="M1" s="1522" t="s">
        <v>1184</v>
      </c>
    </row>
    <row r="2" spans="1:13" ht="19.5" customHeight="1">
      <c r="A2" s="1547" t="s">
        <v>1199</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1200</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1849</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1202</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1563</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1564</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1565</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1566</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1567</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1568</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1569</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1570</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1571</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1572</v>
      </c>
      <c r="B16" s="1566"/>
      <c r="C16" s="1567"/>
      <c r="D16" s="1567"/>
      <c r="E16" s="1566"/>
      <c r="F16" s="1567"/>
      <c r="G16" s="1567"/>
    </row>
    <row r="17" spans="1:9" ht="19.5" customHeight="1">
      <c r="A17" s="1498" t="s">
        <v>1573</v>
      </c>
      <c r="B17" s="1569" t="s">
        <v>1574</v>
      </c>
      <c r="C17" s="1751" t="s">
        <v>1872</v>
      </c>
      <c r="D17" s="1570"/>
      <c r="E17" s="1498" t="s">
        <v>1575</v>
      </c>
      <c r="F17" s="1571"/>
      <c r="G17" s="1571"/>
    </row>
    <row r="18" spans="1:9" s="1577" customFormat="1" ht="19.5" customHeight="1">
      <c r="A18" s="3672" t="s">
        <v>1199</v>
      </c>
      <c r="B18" s="1572" t="s">
        <v>1576</v>
      </c>
      <c r="C18" s="1573" t="s">
        <v>1577</v>
      </c>
      <c r="D18" s="1574"/>
      <c r="E18" s="1572">
        <v>1</v>
      </c>
      <c r="F18" s="1575" t="s">
        <v>1578</v>
      </c>
      <c r="G18" s="1576"/>
      <c r="H18" s="1568"/>
      <c r="I18" s="1568"/>
    </row>
    <row r="19" spans="1:9" s="1577" customFormat="1" ht="19.5" customHeight="1">
      <c r="A19" s="3672"/>
      <c r="B19" s="3672" t="s">
        <v>1579</v>
      </c>
      <c r="C19" s="1573" t="s">
        <v>1580</v>
      </c>
      <c r="D19" s="1574"/>
      <c r="E19" s="1572">
        <v>0.9</v>
      </c>
      <c r="F19" s="1575" t="s">
        <v>1581</v>
      </c>
      <c r="G19" s="1576"/>
      <c r="H19" s="1568"/>
      <c r="I19" s="1568"/>
    </row>
    <row r="20" spans="1:9" s="1577" customFormat="1" ht="19.5" customHeight="1">
      <c r="A20" s="3672"/>
      <c r="B20" s="3672"/>
      <c r="C20" s="1573" t="s">
        <v>1582</v>
      </c>
      <c r="D20" s="1574"/>
      <c r="E20" s="1572">
        <v>1.1000000000000001</v>
      </c>
      <c r="F20" s="1575" t="s">
        <v>1583</v>
      </c>
      <c r="G20" s="1576"/>
      <c r="H20" s="1568"/>
      <c r="I20" s="1568"/>
    </row>
    <row r="21" spans="1:9" s="1577" customFormat="1" ht="19.5" customHeight="1">
      <c r="A21" s="3672"/>
      <c r="B21" s="3672"/>
      <c r="C21" s="1573" t="s">
        <v>1584</v>
      </c>
      <c r="D21" s="1574"/>
      <c r="E21" s="1572">
        <v>0.8</v>
      </c>
      <c r="F21" s="1575" t="s">
        <v>1585</v>
      </c>
      <c r="G21" s="1576"/>
      <c r="H21" s="1568"/>
      <c r="I21" s="1568"/>
    </row>
    <row r="22" spans="1:9" s="1577" customFormat="1" ht="19.5" customHeight="1">
      <c r="A22" s="3672"/>
      <c r="B22" s="3672"/>
      <c r="C22" s="1573" t="s">
        <v>1586</v>
      </c>
      <c r="D22" s="1574"/>
      <c r="E22" s="1572">
        <v>0.5</v>
      </c>
      <c r="F22" s="1575"/>
      <c r="G22" s="1576"/>
      <c r="H22" s="1568"/>
      <c r="I22" s="1568"/>
    </row>
    <row r="23" spans="1:9" s="1577" customFormat="1" ht="19.5" customHeight="1">
      <c r="A23" s="3672" t="s">
        <v>1200</v>
      </c>
      <c r="B23" s="1572" t="s">
        <v>1576</v>
      </c>
      <c r="C23" s="1573" t="s">
        <v>1587</v>
      </c>
      <c r="D23" s="1574"/>
      <c r="E23" s="1572">
        <v>1</v>
      </c>
      <c r="F23" s="1575" t="s">
        <v>1588</v>
      </c>
      <c r="G23" s="1576"/>
      <c r="H23" s="1568"/>
      <c r="I23" s="1568"/>
    </row>
    <row r="24" spans="1:9" s="1577" customFormat="1" ht="19.5" customHeight="1">
      <c r="A24" s="3672"/>
      <c r="B24" s="3672" t="s">
        <v>1579</v>
      </c>
      <c r="C24" s="1573" t="s">
        <v>1589</v>
      </c>
      <c r="D24" s="1574"/>
      <c r="E24" s="1572">
        <v>0.5</v>
      </c>
      <c r="F24" s="1575"/>
      <c r="G24" s="1576"/>
      <c r="H24" s="1568"/>
      <c r="I24" s="1568"/>
    </row>
    <row r="25" spans="1:9" s="1577" customFormat="1" ht="19.5" customHeight="1">
      <c r="A25" s="3672"/>
      <c r="B25" s="3672"/>
      <c r="C25" s="1573" t="s">
        <v>1590</v>
      </c>
      <c r="D25" s="1574"/>
      <c r="E25" s="1572">
        <v>1.1000000000000001</v>
      </c>
      <c r="F25" s="1575"/>
      <c r="G25" s="1576"/>
      <c r="H25" s="1568"/>
      <c r="I25" s="1568"/>
    </row>
    <row r="26" spans="1:9" s="1577" customFormat="1" ht="19.5" customHeight="1">
      <c r="A26" s="3672"/>
      <c r="B26" s="3672"/>
      <c r="C26" s="1573" t="s">
        <v>1591</v>
      </c>
      <c r="D26" s="1574"/>
      <c r="E26" s="1572">
        <v>1.1000000000000001</v>
      </c>
      <c r="F26" s="1575"/>
      <c r="G26" s="1576"/>
      <c r="H26" s="1568"/>
      <c r="I26" s="1568"/>
    </row>
    <row r="27" spans="1:9" s="1577" customFormat="1" ht="19.5" customHeight="1">
      <c r="A27" s="3672"/>
      <c r="B27" s="3672"/>
      <c r="C27" s="1573" t="s">
        <v>1592</v>
      </c>
      <c r="D27" s="1574"/>
      <c r="E27" s="1572">
        <v>0.9</v>
      </c>
      <c r="F27" s="1575" t="s">
        <v>1593</v>
      </c>
      <c r="G27" s="1576"/>
      <c r="H27" s="1568"/>
      <c r="I27" s="1568"/>
    </row>
    <row r="28" spans="1:9" s="1577" customFormat="1" ht="19.5" customHeight="1">
      <c r="A28" s="3672"/>
      <c r="B28" s="3672"/>
      <c r="C28" s="1573" t="s">
        <v>1594</v>
      </c>
      <c r="D28" s="1574"/>
      <c r="E28" s="1572">
        <v>0.9</v>
      </c>
      <c r="F28" s="1575" t="s">
        <v>1595</v>
      </c>
      <c r="G28" s="1576"/>
      <c r="H28" s="1568"/>
      <c r="I28" s="1568"/>
    </row>
    <row r="29" spans="1:9" s="1577" customFormat="1" ht="19.5" customHeight="1">
      <c r="A29" s="3672"/>
      <c r="B29" s="3672"/>
      <c r="C29" s="1573" t="s">
        <v>1596</v>
      </c>
      <c r="D29" s="1574"/>
      <c r="E29" s="1572">
        <v>0.9</v>
      </c>
      <c r="F29" s="1575" t="s">
        <v>1597</v>
      </c>
      <c r="G29" s="1576"/>
      <c r="H29" s="1568"/>
      <c r="I29" s="1568"/>
    </row>
    <row r="30" spans="1:9" s="1577" customFormat="1" ht="19.5" customHeight="1">
      <c r="A30" s="3672"/>
      <c r="B30" s="3672"/>
      <c r="C30" s="1573" t="s">
        <v>1598</v>
      </c>
      <c r="D30" s="1574"/>
      <c r="E30" s="1572">
        <v>0.9</v>
      </c>
      <c r="F30" s="1575" t="s">
        <v>1599</v>
      </c>
      <c r="G30" s="1576"/>
      <c r="H30" s="1568"/>
      <c r="I30" s="1568"/>
    </row>
    <row r="31" spans="1:9" s="1577" customFormat="1" ht="19.5" customHeight="1">
      <c r="A31" s="3672"/>
      <c r="B31" s="3672"/>
      <c r="C31" s="1573" t="s">
        <v>1600</v>
      </c>
      <c r="D31" s="1574"/>
      <c r="E31" s="1572">
        <v>0.8</v>
      </c>
      <c r="F31" s="1575" t="s">
        <v>1601</v>
      </c>
      <c r="G31" s="1576"/>
      <c r="H31" s="1568"/>
      <c r="I31" s="1568"/>
    </row>
    <row r="32" spans="1:9" s="1577" customFormat="1" ht="19.5" customHeight="1">
      <c r="A32" s="3672"/>
      <c r="B32" s="3672"/>
      <c r="C32" s="1573" t="s">
        <v>1602</v>
      </c>
      <c r="D32" s="1574"/>
      <c r="E32" s="1572">
        <v>0.8</v>
      </c>
      <c r="F32" s="1575" t="s">
        <v>1603</v>
      </c>
      <c r="G32" s="1576"/>
      <c r="H32" s="1568"/>
      <c r="I32" s="1568"/>
    </row>
    <row r="33" spans="1:9" s="1577" customFormat="1" ht="19.5" customHeight="1">
      <c r="A33" s="3672" t="s">
        <v>1201</v>
      </c>
      <c r="B33" s="1572" t="s">
        <v>1576</v>
      </c>
      <c r="C33" s="1573" t="s">
        <v>1604</v>
      </c>
      <c r="D33" s="1574"/>
      <c r="E33" s="1572">
        <v>1</v>
      </c>
      <c r="F33" s="1575" t="s">
        <v>1605</v>
      </c>
      <c r="G33" s="1576"/>
      <c r="H33" s="1568"/>
      <c r="I33" s="1568"/>
    </row>
    <row r="34" spans="1:9" s="1577" customFormat="1" ht="19.5" customHeight="1">
      <c r="A34" s="3672"/>
      <c r="B34" s="1572" t="s">
        <v>1579</v>
      </c>
      <c r="C34" s="1573" t="s">
        <v>1606</v>
      </c>
      <c r="D34" s="1574"/>
      <c r="E34" s="1572">
        <v>1.5</v>
      </c>
      <c r="F34" s="1575" t="s">
        <v>1607</v>
      </c>
      <c r="G34" s="1576"/>
      <c r="H34" s="1568"/>
      <c r="I34" s="1568"/>
    </row>
    <row r="35" spans="1:9" s="1577" customFormat="1" ht="19.5" customHeight="1">
      <c r="A35" s="3672" t="s">
        <v>1202</v>
      </c>
      <c r="B35" s="1572" t="s">
        <v>1576</v>
      </c>
      <c r="C35" s="1573" t="s">
        <v>1608</v>
      </c>
      <c r="D35" s="1574"/>
      <c r="E35" s="1572">
        <v>1</v>
      </c>
      <c r="F35" s="1575" t="s">
        <v>1609</v>
      </c>
      <c r="G35" s="1576"/>
      <c r="H35" s="1568"/>
      <c r="I35" s="1568"/>
    </row>
    <row r="36" spans="1:9" s="1577" customFormat="1" ht="19.5" customHeight="1">
      <c r="A36" s="3672"/>
      <c r="B36" s="3672" t="s">
        <v>1579</v>
      </c>
      <c r="C36" s="1573" t="s">
        <v>1610</v>
      </c>
      <c r="D36" s="1574"/>
      <c r="E36" s="1572">
        <v>1</v>
      </c>
      <c r="F36" s="1575" t="s">
        <v>1611</v>
      </c>
      <c r="G36" s="1576"/>
      <c r="H36" s="1568"/>
      <c r="I36" s="1568"/>
    </row>
    <row r="37" spans="1:9" s="1577" customFormat="1" ht="19.5" customHeight="1">
      <c r="A37" s="3672"/>
      <c r="B37" s="3672"/>
      <c r="C37" s="1573" t="s">
        <v>1612</v>
      </c>
      <c r="D37" s="1574"/>
      <c r="E37" s="1572">
        <v>1.5</v>
      </c>
      <c r="F37" s="1575" t="s">
        <v>1613</v>
      </c>
      <c r="G37" s="1576"/>
      <c r="H37" s="1568"/>
      <c r="I37" s="1568"/>
    </row>
    <row r="38" spans="1:9" s="1577" customFormat="1" ht="19.5" customHeight="1">
      <c r="A38" s="3672"/>
      <c r="B38" s="3672"/>
      <c r="C38" s="1573" t="s">
        <v>1614</v>
      </c>
      <c r="D38" s="1574"/>
      <c r="E38" s="1572">
        <v>1</v>
      </c>
      <c r="F38" s="1575" t="s">
        <v>1615</v>
      </c>
      <c r="G38" s="1576"/>
      <c r="H38" s="1568"/>
      <c r="I38" s="1568"/>
    </row>
    <row r="39" spans="1:9" s="1577" customFormat="1" ht="19.5" customHeight="1">
      <c r="A39" s="3672"/>
      <c r="B39" s="3672"/>
      <c r="C39" s="1573" t="s">
        <v>1616</v>
      </c>
      <c r="D39" s="1574"/>
      <c r="E39" s="1572">
        <v>1</v>
      </c>
      <c r="F39" s="1575" t="s">
        <v>1617</v>
      </c>
      <c r="G39" s="1576"/>
      <c r="H39" s="1568"/>
      <c r="I39" s="1568"/>
    </row>
    <row r="40" spans="1:9" s="1577" customFormat="1" ht="19.5" customHeight="1">
      <c r="A40" s="1578" t="s">
        <v>1618</v>
      </c>
      <c r="B40" s="1578"/>
      <c r="C40" s="1578"/>
      <c r="D40" s="1578"/>
      <c r="E40" s="1578"/>
      <c r="F40" s="1579"/>
      <c r="G40" s="1579"/>
      <c r="H40" s="1568"/>
      <c r="I40" s="1568"/>
    </row>
    <row r="42" spans="1:9" ht="19.5" customHeight="1">
      <c r="A42" s="1580"/>
      <c r="B42" s="1498" t="s">
        <v>1619</v>
      </c>
      <c r="C42" s="1498" t="s">
        <v>1619</v>
      </c>
      <c r="D42" s="1498" t="s">
        <v>1619</v>
      </c>
      <c r="E42" s="1509" t="s">
        <v>1619</v>
      </c>
      <c r="F42" s="1509" t="s">
        <v>1619</v>
      </c>
      <c r="G42" s="1509" t="s">
        <v>1620</v>
      </c>
      <c r="H42" s="1509" t="s">
        <v>1619</v>
      </c>
    </row>
    <row r="43" spans="1:9" ht="19.5" customHeight="1">
      <c r="A43" s="1581"/>
      <c r="B43" s="1509" t="s">
        <v>1199</v>
      </c>
      <c r="C43" s="1509" t="s">
        <v>1199</v>
      </c>
      <c r="D43" s="1509" t="s">
        <v>1199</v>
      </c>
      <c r="E43" s="1509" t="s">
        <v>1199</v>
      </c>
      <c r="F43" s="1498" t="s">
        <v>1200</v>
      </c>
      <c r="G43" s="1498" t="s">
        <v>1202</v>
      </c>
      <c r="H43" s="1498" t="s">
        <v>1621</v>
      </c>
    </row>
    <row r="44" spans="1:9" ht="19.5" customHeight="1">
      <c r="A44" s="1582"/>
      <c r="B44" s="1498">
        <v>1</v>
      </c>
      <c r="C44" s="1498">
        <v>2</v>
      </c>
      <c r="D44" s="1498">
        <v>3</v>
      </c>
      <c r="E44" s="1509">
        <v>4</v>
      </c>
      <c r="F44" s="1570" t="s">
        <v>1622</v>
      </c>
      <c r="G44" s="1570" t="s">
        <v>1622</v>
      </c>
      <c r="H44" s="1570" t="s">
        <v>1622</v>
      </c>
    </row>
    <row r="45" spans="1:9" ht="19.5" customHeight="1">
      <c r="A45" s="1583" t="s">
        <v>1173</v>
      </c>
      <c r="B45" s="1498">
        <v>0.8</v>
      </c>
      <c r="C45" s="1498">
        <v>0.5</v>
      </c>
      <c r="D45" s="1498">
        <v>0.36</v>
      </c>
      <c r="E45" s="1498">
        <v>0.3</v>
      </c>
      <c r="F45" s="1570">
        <v>0.3</v>
      </c>
      <c r="G45" s="1498">
        <v>0.3</v>
      </c>
      <c r="H45" s="1498">
        <v>0.25</v>
      </c>
    </row>
    <row r="46" spans="1:9" ht="19.5" customHeight="1">
      <c r="A46" s="1583" t="s">
        <v>1174</v>
      </c>
      <c r="B46" s="1498">
        <v>0.8</v>
      </c>
      <c r="C46" s="1498">
        <v>0.5</v>
      </c>
      <c r="D46" s="1498">
        <v>0.36</v>
      </c>
      <c r="E46" s="1498">
        <v>0.3</v>
      </c>
      <c r="F46" s="1498">
        <v>0.3</v>
      </c>
      <c r="G46" s="1498">
        <v>0.3</v>
      </c>
      <c r="H46" s="1498">
        <v>0.25</v>
      </c>
    </row>
    <row r="47" spans="1:9" ht="19.5" customHeight="1">
      <c r="A47" s="1583" t="s">
        <v>1175</v>
      </c>
      <c r="B47" s="1498">
        <v>0.7</v>
      </c>
      <c r="C47" s="1498">
        <v>0.4</v>
      </c>
      <c r="D47" s="1498">
        <v>0.28000000000000003</v>
      </c>
      <c r="E47" s="1498">
        <v>0.25</v>
      </c>
      <c r="F47" s="1498">
        <v>0.25</v>
      </c>
      <c r="G47" s="1498">
        <v>0.25</v>
      </c>
      <c r="H47" s="1498">
        <v>0.2</v>
      </c>
    </row>
    <row r="48" spans="1:9" ht="19.5" customHeight="1">
      <c r="A48" s="1583" t="s">
        <v>1176</v>
      </c>
      <c r="B48" s="1498">
        <v>0.7</v>
      </c>
      <c r="C48" s="1498">
        <v>0.4</v>
      </c>
      <c r="D48" s="1498">
        <v>0.28000000000000003</v>
      </c>
      <c r="E48" s="1498">
        <v>0.25</v>
      </c>
      <c r="F48" s="1498">
        <v>0.25</v>
      </c>
      <c r="G48" s="1498">
        <v>0.25</v>
      </c>
      <c r="H48" s="1498">
        <v>0.2</v>
      </c>
    </row>
    <row r="49" spans="1:8" s="1568" customFormat="1" ht="19.5" customHeight="1">
      <c r="A49" s="1583" t="s">
        <v>1177</v>
      </c>
      <c r="B49" s="1498">
        <v>0.7</v>
      </c>
      <c r="C49" s="1498">
        <v>0.4</v>
      </c>
      <c r="D49" s="1498">
        <v>0.28000000000000003</v>
      </c>
      <c r="E49" s="1498">
        <v>0.25</v>
      </c>
      <c r="F49" s="1498">
        <v>0.25</v>
      </c>
      <c r="G49" s="1498">
        <v>0.25</v>
      </c>
      <c r="H49" s="1498">
        <v>0.2</v>
      </c>
    </row>
    <row r="50" spans="1:8" s="1568" customFormat="1" ht="19.5" customHeight="1">
      <c r="A50" s="1583" t="s">
        <v>1178</v>
      </c>
      <c r="B50" s="1498">
        <v>0.7</v>
      </c>
      <c r="C50" s="1498">
        <v>0.4</v>
      </c>
      <c r="D50" s="1498">
        <v>0.28000000000000003</v>
      </c>
      <c r="E50" s="1498">
        <v>0.25</v>
      </c>
      <c r="F50" s="1498">
        <v>0.25</v>
      </c>
      <c r="G50" s="1498">
        <v>0.25</v>
      </c>
      <c r="H50" s="1498">
        <v>0.2</v>
      </c>
    </row>
    <row r="51" spans="1:8" s="1568" customFormat="1" ht="19.5" customHeight="1">
      <c r="A51" s="1583" t="s">
        <v>1179</v>
      </c>
      <c r="B51" s="1498">
        <v>0.7</v>
      </c>
      <c r="C51" s="1498">
        <v>0.4</v>
      </c>
      <c r="D51" s="1498">
        <v>0.28000000000000003</v>
      </c>
      <c r="E51" s="1498">
        <v>0.25</v>
      </c>
      <c r="F51" s="1498">
        <v>0.25</v>
      </c>
      <c r="G51" s="1498">
        <v>0.25</v>
      </c>
      <c r="H51" s="1498">
        <v>0.2</v>
      </c>
    </row>
    <row r="52" spans="1:8" s="1568" customFormat="1" ht="19.5" customHeight="1">
      <c r="A52" s="1583" t="s">
        <v>1180</v>
      </c>
      <c r="B52" s="1498">
        <v>0.6</v>
      </c>
      <c r="C52" s="1498">
        <v>0.3</v>
      </c>
      <c r="D52" s="1498">
        <v>0.2</v>
      </c>
      <c r="E52" s="1498">
        <v>0.2</v>
      </c>
      <c r="F52" s="1498">
        <v>0.2</v>
      </c>
      <c r="G52" s="1498">
        <v>0.2</v>
      </c>
      <c r="H52" s="1498">
        <v>0.15</v>
      </c>
    </row>
    <row r="53" spans="1:8" s="1568" customFormat="1" ht="19.5" customHeight="1">
      <c r="A53" s="1583" t="s">
        <v>1181</v>
      </c>
      <c r="B53" s="1498">
        <v>0.6</v>
      </c>
      <c r="C53" s="1498">
        <v>0.3</v>
      </c>
      <c r="D53" s="1498">
        <v>0.2</v>
      </c>
      <c r="E53" s="1498">
        <v>0.2</v>
      </c>
      <c r="F53" s="1498">
        <v>0.2</v>
      </c>
      <c r="G53" s="1498">
        <v>0.2</v>
      </c>
      <c r="H53" s="1498">
        <v>0.15</v>
      </c>
    </row>
    <row r="54" spans="1:8" s="1568" customFormat="1" ht="19.5" customHeight="1">
      <c r="A54" s="1583" t="s">
        <v>1182</v>
      </c>
      <c r="B54" s="1498">
        <v>0.6</v>
      </c>
      <c r="C54" s="1498">
        <v>0.3</v>
      </c>
      <c r="D54" s="1498">
        <v>0.2</v>
      </c>
      <c r="E54" s="1498">
        <v>0.2</v>
      </c>
      <c r="F54" s="1498">
        <v>0.2</v>
      </c>
      <c r="G54" s="1498">
        <v>0.2</v>
      </c>
      <c r="H54" s="1498">
        <v>0.15</v>
      </c>
    </row>
    <row r="55" spans="1:8" s="1568" customFormat="1" ht="19.5" customHeight="1">
      <c r="A55" s="1583" t="s">
        <v>1183</v>
      </c>
      <c r="B55" s="1498">
        <v>0.6</v>
      </c>
      <c r="C55" s="1498">
        <v>0.3</v>
      </c>
      <c r="D55" s="1498">
        <v>0.2</v>
      </c>
      <c r="E55" s="1498">
        <v>0.2</v>
      </c>
      <c r="F55" s="1498">
        <v>0.2</v>
      </c>
      <c r="G55" s="1498">
        <v>0.2</v>
      </c>
      <c r="H55" s="1498">
        <v>0.15</v>
      </c>
    </row>
    <row r="56" spans="1:8" s="1568" customFormat="1" ht="19.5" customHeight="1">
      <c r="A56" s="1583" t="s">
        <v>1184</v>
      </c>
      <c r="B56" s="1498">
        <v>0.6</v>
      </c>
      <c r="C56" s="1498">
        <v>0.3</v>
      </c>
      <c r="D56" s="1498">
        <v>0.2</v>
      </c>
      <c r="E56" s="1498">
        <v>0.2</v>
      </c>
      <c r="F56" s="1498">
        <v>0.2</v>
      </c>
      <c r="G56" s="1498">
        <v>0.2</v>
      </c>
      <c r="H56" s="1498">
        <v>0.15</v>
      </c>
    </row>
    <row r="58" spans="1:8" s="1568" customFormat="1" ht="19.5" customHeight="1">
      <c r="A58" s="1584"/>
      <c r="B58" s="1566"/>
      <c r="C58" s="1566"/>
      <c r="D58" s="1566" t="s">
        <v>1623</v>
      </c>
      <c r="E58" s="1566"/>
      <c r="F58" s="1566"/>
    </row>
    <row r="59" spans="1:8" s="1568" customFormat="1" ht="19.5" customHeight="1">
      <c r="A59" s="1572" t="s">
        <v>1624</v>
      </c>
      <c r="B59" s="1572" t="s">
        <v>1625</v>
      </c>
      <c r="C59" s="1572" t="s">
        <v>1626</v>
      </c>
      <c r="D59" s="1572" t="s">
        <v>1627</v>
      </c>
      <c r="E59" s="1572" t="s">
        <v>1628</v>
      </c>
      <c r="F59" s="1572" t="s">
        <v>1629</v>
      </c>
    </row>
    <row r="60" spans="1:8" ht="13.5">
      <c r="A60" s="1768"/>
      <c r="B60" s="1768"/>
      <c r="C60" s="1768" t="s">
        <v>1761</v>
      </c>
      <c r="D60" s="1768"/>
      <c r="E60" s="1585" t="s">
        <v>23</v>
      </c>
      <c r="F60" s="1768" t="s">
        <v>23</v>
      </c>
    </row>
    <row r="61" spans="1:8" s="1568" customFormat="1" ht="24">
      <c r="A61" s="1572">
        <v>1</v>
      </c>
      <c r="B61" s="3672" t="s">
        <v>1630</v>
      </c>
      <c r="C61" s="1498" t="s">
        <v>1631</v>
      </c>
      <c r="D61" s="1498" t="s">
        <v>1632</v>
      </c>
      <c r="E61" s="1585">
        <v>0.5</v>
      </c>
      <c r="F61" s="1572">
        <v>80</v>
      </c>
    </row>
    <row r="62" spans="1:8" s="1568" customFormat="1" ht="24">
      <c r="A62" s="1572">
        <v>2</v>
      </c>
      <c r="B62" s="3672"/>
      <c r="C62" s="1498" t="s">
        <v>1633</v>
      </c>
      <c r="D62" s="1498" t="s">
        <v>1634</v>
      </c>
      <c r="E62" s="1585">
        <v>0.5</v>
      </c>
      <c r="F62" s="1572">
        <v>80</v>
      </c>
    </row>
    <row r="63" spans="1:8" s="1568" customFormat="1" ht="36">
      <c r="A63" s="1572">
        <v>3</v>
      </c>
      <c r="B63" s="3672"/>
      <c r="C63" s="1498" t="s">
        <v>1635</v>
      </c>
      <c r="D63" s="1498" t="s">
        <v>1636</v>
      </c>
      <c r="E63" s="1585">
        <v>0.5</v>
      </c>
      <c r="F63" s="1572">
        <v>80</v>
      </c>
    </row>
    <row r="64" spans="1:8" s="1568" customFormat="1" ht="36">
      <c r="A64" s="1572">
        <v>4</v>
      </c>
      <c r="B64" s="3672"/>
      <c r="C64" s="1498" t="s">
        <v>1637</v>
      </c>
      <c r="D64" s="1498" t="s">
        <v>1638</v>
      </c>
      <c r="E64" s="1585">
        <v>0.4</v>
      </c>
      <c r="F64" s="1572">
        <v>60</v>
      </c>
    </row>
    <row r="65" spans="1:6" s="1568" customFormat="1" ht="36">
      <c r="A65" s="1572">
        <v>5</v>
      </c>
      <c r="B65" s="3672"/>
      <c r="C65" s="1498" t="s">
        <v>1639</v>
      </c>
      <c r="D65" s="1498" t="s">
        <v>1640</v>
      </c>
      <c r="E65" s="1585">
        <v>0.2</v>
      </c>
      <c r="F65" s="1572">
        <v>30</v>
      </c>
    </row>
    <row r="66" spans="1:6" s="1568" customFormat="1" ht="36">
      <c r="A66" s="1572">
        <v>6</v>
      </c>
      <c r="B66" s="3672"/>
      <c r="C66" s="1498" t="s">
        <v>1641</v>
      </c>
      <c r="D66" s="1498" t="s">
        <v>1642</v>
      </c>
      <c r="E66" s="1585">
        <v>0.3</v>
      </c>
      <c r="F66" s="1572">
        <v>50</v>
      </c>
    </row>
    <row r="67" spans="1:6" s="1568" customFormat="1" ht="36">
      <c r="A67" s="1572">
        <v>7</v>
      </c>
      <c r="B67" s="3672"/>
      <c r="C67" s="1498" t="s">
        <v>1643</v>
      </c>
      <c r="D67" s="1498" t="s">
        <v>1644</v>
      </c>
      <c r="E67" s="1585">
        <v>0.2</v>
      </c>
      <c r="F67" s="1572">
        <v>30</v>
      </c>
    </row>
    <row r="68" spans="1:6" s="1568" customFormat="1" ht="36">
      <c r="A68" s="1572">
        <v>8</v>
      </c>
      <c r="B68" s="3672"/>
      <c r="C68" s="1498" t="s">
        <v>1645</v>
      </c>
      <c r="D68" s="1498" t="s">
        <v>1646</v>
      </c>
      <c r="E68" s="1585">
        <v>0.2</v>
      </c>
      <c r="F68" s="1572">
        <v>30</v>
      </c>
    </row>
    <row r="69" spans="1:6" s="1568" customFormat="1" ht="36">
      <c r="A69" s="1572">
        <v>9</v>
      </c>
      <c r="B69" s="3672"/>
      <c r="C69" s="1498" t="s">
        <v>1647</v>
      </c>
      <c r="D69" s="1498" t="s">
        <v>1648</v>
      </c>
      <c r="E69" s="1585">
        <v>0.2</v>
      </c>
      <c r="F69" s="1572">
        <v>30</v>
      </c>
    </row>
    <row r="70" spans="1:6" s="1568" customFormat="1" ht="48">
      <c r="A70" s="1572">
        <v>10</v>
      </c>
      <c r="B70" s="3672"/>
      <c r="C70" s="1498" t="s">
        <v>1649</v>
      </c>
      <c r="D70" s="1498" t="s">
        <v>1650</v>
      </c>
      <c r="E70" s="1585">
        <v>0.2</v>
      </c>
      <c r="F70" s="1572">
        <v>30</v>
      </c>
    </row>
    <row r="71" spans="1:6" s="1568" customFormat="1" ht="48">
      <c r="A71" s="1572">
        <v>11</v>
      </c>
      <c r="B71" s="3672"/>
      <c r="C71" s="1498" t="s">
        <v>1651</v>
      </c>
      <c r="D71" s="1498" t="s">
        <v>1652</v>
      </c>
      <c r="E71" s="1585">
        <v>0.2</v>
      </c>
      <c r="F71" s="1572">
        <v>30</v>
      </c>
    </row>
    <row r="72" spans="1:6" s="1568" customFormat="1" ht="36">
      <c r="A72" s="1572">
        <v>12</v>
      </c>
      <c r="B72" s="3672"/>
      <c r="C72" s="1498" t="s">
        <v>1653</v>
      </c>
      <c r="D72" s="1498" t="s">
        <v>1654</v>
      </c>
      <c r="E72" s="1585">
        <v>0.5</v>
      </c>
      <c r="F72" s="1572">
        <v>80</v>
      </c>
    </row>
    <row r="73" spans="1:6" s="1568" customFormat="1" ht="24">
      <c r="A73" s="1572">
        <v>13</v>
      </c>
      <c r="B73" s="3672"/>
      <c r="C73" s="1498" t="s">
        <v>1655</v>
      </c>
      <c r="D73" s="1498" t="s">
        <v>1656</v>
      </c>
      <c r="E73" s="1585">
        <v>0.4</v>
      </c>
      <c r="F73" s="1572">
        <v>60</v>
      </c>
    </row>
    <row r="74" spans="1:6" s="1568" customFormat="1" ht="24">
      <c r="A74" s="1572">
        <v>14</v>
      </c>
      <c r="B74" s="3672"/>
      <c r="C74" s="1498" t="s">
        <v>1657</v>
      </c>
      <c r="D74" s="1498" t="s">
        <v>1658</v>
      </c>
      <c r="E74" s="1585">
        <v>0.2</v>
      </c>
      <c r="F74" s="1572">
        <v>30</v>
      </c>
    </row>
    <row r="75" spans="1:6" s="1568" customFormat="1" ht="24">
      <c r="A75" s="1572">
        <v>15</v>
      </c>
      <c r="B75" s="3672"/>
      <c r="C75" s="1498" t="s">
        <v>1659</v>
      </c>
      <c r="D75" s="1498" t="s">
        <v>1660</v>
      </c>
      <c r="E75" s="1585">
        <v>0.2</v>
      </c>
      <c r="F75" s="1572">
        <v>30</v>
      </c>
    </row>
    <row r="76" spans="1:6" s="1568" customFormat="1" ht="24">
      <c r="A76" s="1572">
        <v>16</v>
      </c>
      <c r="B76" s="3672" t="s">
        <v>1661</v>
      </c>
      <c r="C76" s="1498" t="s">
        <v>1662</v>
      </c>
      <c r="D76" s="1498" t="s">
        <v>1663</v>
      </c>
      <c r="E76" s="1585">
        <v>0.5</v>
      </c>
      <c r="F76" s="1572">
        <v>80</v>
      </c>
    </row>
    <row r="77" spans="1:6" s="1568" customFormat="1" ht="24">
      <c r="A77" s="1572">
        <v>17</v>
      </c>
      <c r="B77" s="3672"/>
      <c r="C77" s="1498" t="s">
        <v>1664</v>
      </c>
      <c r="D77" s="1498" t="s">
        <v>1665</v>
      </c>
      <c r="E77" s="1585">
        <v>0.5</v>
      </c>
      <c r="F77" s="1572">
        <v>80</v>
      </c>
    </row>
    <row r="78" spans="1:6" s="1568" customFormat="1" ht="24">
      <c r="A78" s="1572">
        <v>18</v>
      </c>
      <c r="B78" s="3672"/>
      <c r="C78" s="1498" t="s">
        <v>1666</v>
      </c>
      <c r="D78" s="1498" t="s">
        <v>1667</v>
      </c>
      <c r="E78" s="1585">
        <v>0.2</v>
      </c>
      <c r="F78" s="1572">
        <v>30</v>
      </c>
    </row>
    <row r="79" spans="1:6" s="1568" customFormat="1" ht="24">
      <c r="A79" s="1572">
        <v>19</v>
      </c>
      <c r="B79" s="3672"/>
      <c r="C79" s="1498" t="s">
        <v>1668</v>
      </c>
      <c r="D79" s="1498" t="s">
        <v>1669</v>
      </c>
      <c r="E79" s="1585">
        <v>0.5</v>
      </c>
      <c r="F79" s="1572">
        <v>80</v>
      </c>
    </row>
    <row r="80" spans="1:6" s="1568" customFormat="1" ht="36">
      <c r="A80" s="1572">
        <v>20</v>
      </c>
      <c r="B80" s="3672"/>
      <c r="C80" s="1498" t="s">
        <v>1670</v>
      </c>
      <c r="D80" s="1498" t="s">
        <v>1671</v>
      </c>
      <c r="E80" s="1585">
        <v>0.2</v>
      </c>
      <c r="F80" s="1572">
        <v>30</v>
      </c>
    </row>
    <row r="81" spans="1:6" s="1568" customFormat="1" ht="36">
      <c r="A81" s="1572">
        <v>21</v>
      </c>
      <c r="B81" s="3672"/>
      <c r="C81" s="1498" t="s">
        <v>1672</v>
      </c>
      <c r="D81" s="1498" t="s">
        <v>1673</v>
      </c>
      <c r="E81" s="1585">
        <v>0.2</v>
      </c>
      <c r="F81" s="1572">
        <v>30</v>
      </c>
    </row>
    <row r="82" spans="1:6" s="1568" customFormat="1" ht="48">
      <c r="A82" s="1572">
        <v>22</v>
      </c>
      <c r="B82" s="3672"/>
      <c r="C82" s="1498" t="s">
        <v>1674</v>
      </c>
      <c r="D82" s="1498" t="s">
        <v>1675</v>
      </c>
      <c r="E82" s="1585">
        <v>0.2</v>
      </c>
      <c r="F82" s="1572">
        <v>30</v>
      </c>
    </row>
    <row r="83" spans="1:6" s="1568" customFormat="1" ht="48">
      <c r="A83" s="1572">
        <v>23</v>
      </c>
      <c r="B83" s="3672"/>
      <c r="C83" s="1498" t="s">
        <v>1676</v>
      </c>
      <c r="D83" s="1498" t="s">
        <v>1677</v>
      </c>
      <c r="E83" s="1585">
        <v>0.2</v>
      </c>
      <c r="F83" s="1572">
        <v>30</v>
      </c>
    </row>
    <row r="84" spans="1:6" s="1568" customFormat="1" ht="36">
      <c r="A84" s="1572">
        <v>24</v>
      </c>
      <c r="B84" s="3672"/>
      <c r="C84" s="1498" t="s">
        <v>1678</v>
      </c>
      <c r="D84" s="1498" t="s">
        <v>1679</v>
      </c>
      <c r="E84" s="1585">
        <v>0.2</v>
      </c>
      <c r="F84" s="1572">
        <v>30</v>
      </c>
    </row>
    <row r="85" spans="1:6" s="1568" customFormat="1" ht="36">
      <c r="A85" s="1572">
        <v>25</v>
      </c>
      <c r="B85" s="3672"/>
      <c r="C85" s="1498" t="s">
        <v>1680</v>
      </c>
      <c r="D85" s="1498" t="s">
        <v>1681</v>
      </c>
      <c r="E85" s="1585">
        <v>0.5</v>
      </c>
      <c r="F85" s="1572">
        <v>80</v>
      </c>
    </row>
    <row r="86" spans="1:6" s="1568" customFormat="1" ht="36">
      <c r="A86" s="1572">
        <v>26</v>
      </c>
      <c r="B86" s="3672"/>
      <c r="C86" s="1498" t="s">
        <v>1682</v>
      </c>
      <c r="D86" s="1498" t="s">
        <v>1683</v>
      </c>
      <c r="E86" s="1585">
        <v>0.2</v>
      </c>
      <c r="F86" s="1572">
        <v>30</v>
      </c>
    </row>
    <row r="87" spans="1:6" s="1568" customFormat="1" ht="36">
      <c r="A87" s="1572">
        <v>27</v>
      </c>
      <c r="B87" s="3672"/>
      <c r="C87" s="1498" t="s">
        <v>1684</v>
      </c>
      <c r="D87" s="1498" t="s">
        <v>1685</v>
      </c>
      <c r="E87" s="1585">
        <v>0.2</v>
      </c>
      <c r="F87" s="1572">
        <v>30</v>
      </c>
    </row>
    <row r="88" spans="1:6" s="1568" customFormat="1" ht="36">
      <c r="A88" s="1572">
        <v>28</v>
      </c>
      <c r="B88" s="3672"/>
      <c r="C88" s="1498" t="s">
        <v>1686</v>
      </c>
      <c r="D88" s="1498" t="s">
        <v>1687</v>
      </c>
      <c r="E88" s="1585">
        <v>0.2</v>
      </c>
      <c r="F88" s="1572">
        <v>30</v>
      </c>
    </row>
    <row r="89" spans="1:6" s="1568" customFormat="1" ht="24">
      <c r="A89" s="1572">
        <v>29</v>
      </c>
      <c r="B89" s="3672"/>
      <c r="C89" s="1498" t="s">
        <v>1688</v>
      </c>
      <c r="D89" s="1498" t="s">
        <v>1689</v>
      </c>
      <c r="E89" s="1585">
        <v>0.2</v>
      </c>
      <c r="F89" s="1572">
        <v>30</v>
      </c>
    </row>
    <row r="90" spans="1:6" s="1568" customFormat="1" ht="24">
      <c r="A90" s="1572">
        <v>30</v>
      </c>
      <c r="B90" s="3672"/>
      <c r="C90" s="1498" t="s">
        <v>1690</v>
      </c>
      <c r="D90" s="1498" t="s">
        <v>1691</v>
      </c>
      <c r="E90" s="1585">
        <v>0.2</v>
      </c>
      <c r="F90" s="1572">
        <v>30</v>
      </c>
    </row>
    <row r="91" spans="1:6" s="1568" customFormat="1" ht="36">
      <c r="A91" s="1572">
        <v>31</v>
      </c>
      <c r="B91" s="3672"/>
      <c r="C91" s="1498" t="s">
        <v>1692</v>
      </c>
      <c r="D91" s="1498" t="s">
        <v>1693</v>
      </c>
      <c r="E91" s="1585">
        <v>0.2</v>
      </c>
      <c r="F91" s="1572">
        <v>30</v>
      </c>
    </row>
    <row r="92" spans="1:6" s="1568" customFormat="1" ht="24">
      <c r="A92" s="1572">
        <v>32</v>
      </c>
      <c r="B92" s="3672" t="s">
        <v>1694</v>
      </c>
      <c r="C92" s="1572" t="s">
        <v>1695</v>
      </c>
      <c r="D92" s="1498" t="s">
        <v>1696</v>
      </c>
      <c r="E92" s="1585">
        <v>0.2</v>
      </c>
      <c r="F92" s="1572">
        <v>30</v>
      </c>
    </row>
    <row r="93" spans="1:6" s="1568" customFormat="1" ht="36">
      <c r="A93" s="1572">
        <v>33</v>
      </c>
      <c r="B93" s="3672"/>
      <c r="C93" s="1572" t="s">
        <v>1697</v>
      </c>
      <c r="D93" s="1498" t="s">
        <v>1698</v>
      </c>
      <c r="E93" s="1585">
        <v>0.2</v>
      </c>
      <c r="F93" s="1572">
        <v>30</v>
      </c>
    </row>
    <row r="94" spans="1:6" s="1568" customFormat="1" ht="48">
      <c r="A94" s="1572">
        <v>34</v>
      </c>
      <c r="B94" s="3672"/>
      <c r="C94" s="1572" t="s">
        <v>1699</v>
      </c>
      <c r="D94" s="1498" t="s">
        <v>1700</v>
      </c>
      <c r="E94" s="1585">
        <v>0.2</v>
      </c>
      <c r="F94" s="1572">
        <v>30</v>
      </c>
    </row>
    <row r="95" spans="1:6" s="1568" customFormat="1" ht="36">
      <c r="A95" s="1572">
        <v>35</v>
      </c>
      <c r="B95" s="3672"/>
      <c r="C95" s="1572" t="s">
        <v>1701</v>
      </c>
      <c r="D95" s="1498" t="s">
        <v>1702</v>
      </c>
      <c r="E95" s="1585">
        <v>0.2</v>
      </c>
      <c r="F95" s="1572">
        <v>30</v>
      </c>
    </row>
    <row r="96" spans="1:6" s="1568" customFormat="1" ht="48">
      <c r="A96" s="1572">
        <v>36</v>
      </c>
      <c r="B96" s="3672"/>
      <c r="C96" s="1498" t="s">
        <v>1703</v>
      </c>
      <c r="D96" s="1498" t="s">
        <v>1704</v>
      </c>
      <c r="E96" s="1585">
        <v>0.2</v>
      </c>
      <c r="F96" s="1572">
        <v>30</v>
      </c>
    </row>
    <row r="97" spans="1:6" s="1568" customFormat="1" ht="36">
      <c r="A97" s="1572">
        <v>37</v>
      </c>
      <c r="B97" s="3672"/>
      <c r="C97" s="1572" t="s">
        <v>1705</v>
      </c>
      <c r="D97" s="1498" t="s">
        <v>1706</v>
      </c>
      <c r="E97" s="1585">
        <v>0.2</v>
      </c>
      <c r="F97" s="1572">
        <v>30</v>
      </c>
    </row>
    <row r="98" spans="1:6" s="1568" customFormat="1" ht="36">
      <c r="A98" s="1572">
        <v>38</v>
      </c>
      <c r="B98" s="3672"/>
      <c r="C98" s="1572" t="s">
        <v>1707</v>
      </c>
      <c r="D98" s="1498" t="s">
        <v>1708</v>
      </c>
      <c r="E98" s="1585">
        <v>0.2</v>
      </c>
      <c r="F98" s="1572">
        <v>30</v>
      </c>
    </row>
    <row r="99" spans="1:6" s="1568" customFormat="1" ht="36">
      <c r="A99" s="1572">
        <v>39</v>
      </c>
      <c r="B99" s="3672" t="s">
        <v>1709</v>
      </c>
      <c r="C99" s="1572" t="s">
        <v>1710</v>
      </c>
      <c r="D99" s="1498" t="s">
        <v>1711</v>
      </c>
      <c r="E99" s="1585">
        <v>0.3</v>
      </c>
      <c r="F99" s="1572">
        <v>50</v>
      </c>
    </row>
    <row r="100" spans="1:6" s="1568" customFormat="1" ht="24">
      <c r="A100" s="1572">
        <v>40</v>
      </c>
      <c r="B100" s="3672"/>
      <c r="C100" s="1572" t="s">
        <v>1712</v>
      </c>
      <c r="D100" s="1498" t="s">
        <v>1713</v>
      </c>
      <c r="E100" s="1585">
        <v>0.2</v>
      </c>
      <c r="F100" s="1572">
        <v>30</v>
      </c>
    </row>
    <row r="101" spans="1:6" s="1568" customFormat="1" ht="36">
      <c r="A101" s="1572">
        <v>41</v>
      </c>
      <c r="B101" s="3672"/>
      <c r="C101" s="1572" t="s">
        <v>1714</v>
      </c>
      <c r="D101" s="1498" t="s">
        <v>1711</v>
      </c>
      <c r="E101" s="1585">
        <v>0.2</v>
      </c>
      <c r="F101" s="1572">
        <v>30</v>
      </c>
    </row>
    <row r="102" spans="1:6" s="1568" customFormat="1" ht="48">
      <c r="A102" s="1572">
        <v>42</v>
      </c>
      <c r="B102" s="1572" t="s">
        <v>1715</v>
      </c>
      <c r="C102" s="1498" t="s">
        <v>1716</v>
      </c>
      <c r="D102" s="1498" t="s">
        <v>1717</v>
      </c>
      <c r="E102" s="1585">
        <v>0.2</v>
      </c>
      <c r="F102" s="1572">
        <v>30</v>
      </c>
    </row>
    <row r="103" spans="1:6" s="1568" customFormat="1" ht="24">
      <c r="A103" s="1572">
        <v>43</v>
      </c>
      <c r="B103" s="1572" t="s">
        <v>1718</v>
      </c>
      <c r="C103" s="1572" t="s">
        <v>1719</v>
      </c>
      <c r="D103" s="1498" t="s">
        <v>1720</v>
      </c>
      <c r="E103" s="1585">
        <v>0.2</v>
      </c>
      <c r="F103" s="1572">
        <v>30</v>
      </c>
    </row>
    <row r="104" spans="1:6" s="1568" customFormat="1" ht="36">
      <c r="A104" s="1572">
        <v>44</v>
      </c>
      <c r="B104" s="1572" t="s">
        <v>1721</v>
      </c>
      <c r="C104" s="1572" t="s">
        <v>1722</v>
      </c>
      <c r="D104" s="1498" t="s">
        <v>1723</v>
      </c>
      <c r="E104" s="1585">
        <v>0.2</v>
      </c>
      <c r="F104" s="1572">
        <v>30</v>
      </c>
    </row>
    <row r="105" spans="1:6" s="1568" customFormat="1" ht="36">
      <c r="A105" s="1572">
        <v>45</v>
      </c>
      <c r="B105" s="3672" t="s">
        <v>1724</v>
      </c>
      <c r="C105" s="1572" t="s">
        <v>1725</v>
      </c>
      <c r="D105" s="1498" t="s">
        <v>1726</v>
      </c>
      <c r="E105" s="1585">
        <v>0.2</v>
      </c>
      <c r="F105" s="1572">
        <v>30</v>
      </c>
    </row>
    <row r="106" spans="1:6" s="1568" customFormat="1" ht="36">
      <c r="A106" s="1572">
        <v>46</v>
      </c>
      <c r="B106" s="3672"/>
      <c r="C106" s="1572" t="s">
        <v>1727</v>
      </c>
      <c r="D106" s="1498" t="s">
        <v>1728</v>
      </c>
      <c r="E106" s="1585">
        <v>0.2</v>
      </c>
      <c r="F106" s="1572">
        <v>30</v>
      </c>
    </row>
    <row r="107" spans="1:6" s="1568" customFormat="1" ht="36">
      <c r="A107" s="1572">
        <v>47</v>
      </c>
      <c r="B107" s="3672" t="s">
        <v>1729</v>
      </c>
      <c r="C107" s="1572" t="s">
        <v>1730</v>
      </c>
      <c r="D107" s="1498" t="s">
        <v>1731</v>
      </c>
      <c r="E107" s="1585">
        <v>0.3</v>
      </c>
      <c r="F107" s="1572">
        <v>50</v>
      </c>
    </row>
    <row r="108" spans="1:6" s="1568" customFormat="1" ht="36">
      <c r="A108" s="1572">
        <v>48</v>
      </c>
      <c r="B108" s="3672"/>
      <c r="C108" s="1572" t="s">
        <v>1732</v>
      </c>
      <c r="D108" s="1498" t="s">
        <v>1733</v>
      </c>
      <c r="E108" s="1585">
        <v>0.2</v>
      </c>
      <c r="F108" s="1572">
        <v>30</v>
      </c>
    </row>
    <row r="109" spans="1:6" s="1568" customFormat="1" ht="36">
      <c r="A109" s="1572">
        <v>49</v>
      </c>
      <c r="B109" s="1572" t="s">
        <v>1734</v>
      </c>
      <c r="C109" s="1572" t="s">
        <v>1735</v>
      </c>
      <c r="D109" s="1498" t="s">
        <v>1736</v>
      </c>
      <c r="E109" s="1585">
        <v>0.2</v>
      </c>
      <c r="F109" s="1572">
        <v>30</v>
      </c>
    </row>
    <row r="110" spans="1:6" s="1568" customFormat="1" ht="36">
      <c r="A110" s="1572">
        <v>50</v>
      </c>
      <c r="B110" s="1572" t="s">
        <v>1737</v>
      </c>
      <c r="C110" s="1572" t="s">
        <v>1738</v>
      </c>
      <c r="D110" s="1498" t="s">
        <v>1739</v>
      </c>
      <c r="E110" s="1585">
        <v>0.2</v>
      </c>
      <c r="F110" s="1572">
        <v>30</v>
      </c>
    </row>
    <row r="111" spans="1:6" s="1568" customFormat="1" ht="36">
      <c r="A111" s="1572">
        <v>51</v>
      </c>
      <c r="B111" s="3672" t="s">
        <v>1740</v>
      </c>
      <c r="C111" s="1572" t="s">
        <v>1741</v>
      </c>
      <c r="D111" s="1498" t="s">
        <v>1742</v>
      </c>
      <c r="E111" s="1585">
        <v>0.2</v>
      </c>
      <c r="F111" s="1572">
        <v>30</v>
      </c>
    </row>
    <row r="112" spans="1:6" s="1568" customFormat="1" ht="24">
      <c r="A112" s="1572">
        <v>52</v>
      </c>
      <c r="B112" s="3672"/>
      <c r="C112" s="1572" t="s">
        <v>1743</v>
      </c>
      <c r="D112" s="1498" t="s">
        <v>1744</v>
      </c>
      <c r="E112" s="1585">
        <v>0.2</v>
      </c>
      <c r="F112" s="1572">
        <v>30</v>
      </c>
    </row>
    <row r="113" spans="1:6" s="1568" customFormat="1" ht="24">
      <c r="A113" s="1572">
        <v>53</v>
      </c>
      <c r="B113" s="3672"/>
      <c r="C113" s="1572" t="s">
        <v>1745</v>
      </c>
      <c r="D113" s="1498" t="s">
        <v>1746</v>
      </c>
      <c r="E113" s="1585">
        <v>0.2</v>
      </c>
      <c r="F113" s="1572">
        <v>30</v>
      </c>
    </row>
    <row r="114" spans="1:6" ht="36">
      <c r="A114" s="1572">
        <v>54</v>
      </c>
      <c r="B114" s="1572" t="s">
        <v>1747</v>
      </c>
      <c r="C114" s="1572" t="s">
        <v>1748</v>
      </c>
      <c r="D114" s="1498" t="s">
        <v>1749</v>
      </c>
      <c r="E114" s="1585">
        <v>0.2</v>
      </c>
      <c r="F114" s="1572">
        <v>30</v>
      </c>
    </row>
    <row r="115" spans="1:6" ht="24">
      <c r="A115" s="1572">
        <v>55</v>
      </c>
      <c r="B115" s="1572" t="s">
        <v>1750</v>
      </c>
      <c r="C115" s="1572" t="s">
        <v>1751</v>
      </c>
      <c r="D115" s="1498" t="s">
        <v>1752</v>
      </c>
      <c r="E115" s="1585">
        <v>0.2</v>
      </c>
      <c r="F115" s="1572">
        <v>30</v>
      </c>
    </row>
    <row r="116" spans="1:6" ht="24">
      <c r="A116" s="1572">
        <v>56</v>
      </c>
      <c r="B116" s="3672" t="s">
        <v>1753</v>
      </c>
      <c r="C116" s="1572" t="s">
        <v>1754</v>
      </c>
      <c r="D116" s="1498" t="s">
        <v>1755</v>
      </c>
      <c r="E116" s="1585">
        <v>0.2</v>
      </c>
      <c r="F116" s="1572">
        <v>30</v>
      </c>
    </row>
    <row r="117" spans="1:6" ht="36">
      <c r="A117" s="1572">
        <v>57</v>
      </c>
      <c r="B117" s="3672"/>
      <c r="C117" s="1572" t="s">
        <v>1756</v>
      </c>
      <c r="D117" s="1498" t="s">
        <v>1757</v>
      </c>
      <c r="E117" s="1585">
        <v>0.2</v>
      </c>
      <c r="F117" s="1572">
        <v>30</v>
      </c>
    </row>
    <row r="118" spans="1:6" ht="36">
      <c r="A118" s="1572">
        <v>58</v>
      </c>
      <c r="B118" s="1572" t="s">
        <v>1758</v>
      </c>
      <c r="C118" s="1572" t="s">
        <v>1759</v>
      </c>
      <c r="D118" s="1498" t="s">
        <v>1760</v>
      </c>
      <c r="E118" s="1585">
        <v>0.2</v>
      </c>
      <c r="F118" s="1572">
        <v>30</v>
      </c>
    </row>
    <row r="119" spans="1:6" ht="13.5">
      <c r="A119" s="1572"/>
      <c r="B119" s="1572"/>
      <c r="C119" s="1572" t="s">
        <v>1761</v>
      </c>
      <c r="D119" s="1572"/>
      <c r="E119" s="1585" t="s">
        <v>1571</v>
      </c>
      <c r="F119" s="1572"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1771</v>
      </c>
      <c r="B1" s="1596"/>
      <c r="C1" s="1596"/>
      <c r="D1" s="1596"/>
      <c r="E1" s="1596"/>
      <c r="F1" s="1596"/>
      <c r="G1" s="1596"/>
      <c r="H1" s="1596"/>
      <c r="I1" s="1596"/>
      <c r="J1" s="1596"/>
      <c r="K1" s="1596"/>
      <c r="L1" s="1596"/>
      <c r="M1" s="1596"/>
      <c r="N1" s="1596"/>
    </row>
    <row r="2" spans="1:14">
      <c r="A2" s="1598" t="s">
        <v>1768</v>
      </c>
      <c r="B2" s="1599" t="s">
        <v>1173</v>
      </c>
      <c r="C2" s="1599" t="s">
        <v>1174</v>
      </c>
      <c r="D2" s="1599" t="s">
        <v>1175</v>
      </c>
      <c r="E2" s="1599" t="s">
        <v>1176</v>
      </c>
      <c r="F2" s="1599" t="s">
        <v>1177</v>
      </c>
      <c r="G2" s="1599" t="s">
        <v>1178</v>
      </c>
      <c r="H2" s="1600" t="s">
        <v>1179</v>
      </c>
      <c r="I2" s="1600" t="s">
        <v>1180</v>
      </c>
      <c r="J2" s="1601" t="s">
        <v>1181</v>
      </c>
      <c r="K2" s="1601" t="s">
        <v>1182</v>
      </c>
      <c r="L2" s="1601" t="s">
        <v>1183</v>
      </c>
      <c r="M2" s="1601" t="s">
        <v>1184</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1777</v>
      </c>
      <c r="B103" s="1596"/>
      <c r="C103" s="1596"/>
      <c r="D103" s="1596"/>
      <c r="E103" s="1596"/>
      <c r="F103" s="1596"/>
      <c r="G103" s="1596"/>
      <c r="H103" s="1596"/>
      <c r="I103" s="1596"/>
      <c r="J103" s="1596"/>
      <c r="K103" s="1596"/>
      <c r="L103" s="1596"/>
      <c r="M103" s="1596"/>
      <c r="N103" s="1596"/>
    </row>
    <row r="104" spans="1:14" ht="14.25">
      <c r="A104" s="1598" t="s">
        <v>1768</v>
      </c>
      <c r="B104" s="1599" t="s">
        <v>1173</v>
      </c>
      <c r="C104" s="1599" t="s">
        <v>1174</v>
      </c>
      <c r="D104" s="1599" t="s">
        <v>1175</v>
      </c>
      <c r="E104" s="1599" t="s">
        <v>1176</v>
      </c>
      <c r="F104" s="1599" t="s">
        <v>1177</v>
      </c>
      <c r="G104" s="1599" t="s">
        <v>1178</v>
      </c>
      <c r="H104" s="1600" t="s">
        <v>1179</v>
      </c>
      <c r="I104" s="1600" t="s">
        <v>1180</v>
      </c>
      <c r="J104" s="1601" t="s">
        <v>1181</v>
      </c>
      <c r="K104" s="1601" t="s">
        <v>1182</v>
      </c>
      <c r="L104" s="1601" t="s">
        <v>1183</v>
      </c>
      <c r="M104" s="1601" t="s">
        <v>1184</v>
      </c>
      <c r="N104" s="1596">
        <f>SUMPRODUCT((A105:A204=ROUNDDOWN(基准地价修正!G3,1))*(B104:M104=基准地价修正!G2)*(B105:M204))</f>
        <v>0.88480000000000003</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1778</v>
      </c>
      <c r="B205" s="1596"/>
      <c r="C205" s="1596"/>
      <c r="D205" s="1596"/>
      <c r="E205" s="1596"/>
      <c r="F205" s="1596"/>
      <c r="G205" s="1596"/>
      <c r="H205" s="1596"/>
      <c r="I205" s="1596"/>
      <c r="J205" s="1596"/>
      <c r="K205" s="1596"/>
      <c r="L205" s="1596"/>
      <c r="M205" s="1596"/>
    </row>
    <row r="206" spans="1:13">
      <c r="A206" s="1598" t="s">
        <v>1768</v>
      </c>
      <c r="B206" s="1599" t="s">
        <v>1173</v>
      </c>
      <c r="C206" s="1599" t="s">
        <v>1174</v>
      </c>
      <c r="D206" s="1599" t="s">
        <v>1175</v>
      </c>
      <c r="E206" s="1599" t="s">
        <v>1176</v>
      </c>
      <c r="F206" s="1599" t="s">
        <v>1177</v>
      </c>
      <c r="G206" s="1599" t="s">
        <v>1178</v>
      </c>
      <c r="H206" s="1600" t="s">
        <v>1179</v>
      </c>
      <c r="I206" s="1600" t="s">
        <v>1180</v>
      </c>
      <c r="J206" s="1601" t="s">
        <v>1181</v>
      </c>
      <c r="K206" s="1601" t="s">
        <v>1182</v>
      </c>
      <c r="L206" s="1601" t="s">
        <v>1183</v>
      </c>
      <c r="M206" s="1601" t="s">
        <v>1184</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1779</v>
      </c>
      <c r="B307" s="1596"/>
      <c r="C307" s="1596"/>
      <c r="D307" s="1596"/>
      <c r="E307" s="1596"/>
      <c r="F307" s="1596"/>
      <c r="G307" s="1596"/>
      <c r="H307" s="1596"/>
      <c r="I307" s="1596"/>
      <c r="J307" s="1596"/>
      <c r="K307" s="1596"/>
      <c r="L307" s="1596"/>
      <c r="M307" s="1596"/>
    </row>
    <row r="308" spans="1:13">
      <c r="A308" s="1598" t="s">
        <v>1768</v>
      </c>
      <c r="B308" s="1599" t="s">
        <v>1173</v>
      </c>
      <c r="C308" s="1599" t="s">
        <v>1174</v>
      </c>
      <c r="D308" s="1599" t="s">
        <v>1175</v>
      </c>
      <c r="E308" s="1599" t="s">
        <v>1176</v>
      </c>
      <c r="F308" s="1599" t="s">
        <v>1177</v>
      </c>
      <c r="G308" s="1599" t="s">
        <v>1178</v>
      </c>
      <c r="H308" s="1600" t="s">
        <v>1179</v>
      </c>
      <c r="I308" s="1600" t="s">
        <v>1180</v>
      </c>
      <c r="J308" s="1601" t="s">
        <v>1181</v>
      </c>
      <c r="K308" s="1601" t="s">
        <v>1182</v>
      </c>
      <c r="L308" s="1601" t="s">
        <v>1183</v>
      </c>
      <c r="M308" s="1601" t="s">
        <v>1184</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4"/>
    <col min="2" max="6" width="9" style="2934" customWidth="1"/>
    <col min="7" max="7" width="9" style="2949"/>
    <col min="8" max="8" width="9" style="2934"/>
    <col min="9" max="12" width="9" style="2934" customWidth="1"/>
    <col min="13" max="13" width="2.25" style="2934" customWidth="1"/>
    <col min="14" max="14" width="9" style="2949" customWidth="1"/>
    <col min="15" max="17" width="9" style="2934" customWidth="1"/>
    <col min="18" max="18" width="2.375" style="2934" customWidth="1"/>
    <col min="19" max="19" width="7.125" style="2949" customWidth="1"/>
    <col min="20" max="22" width="7.125" style="2934" customWidth="1"/>
    <col min="23" max="23" width="24.25" style="2934" customWidth="1"/>
    <col min="24" max="25" width="9" style="2934"/>
    <col min="26" max="27" width="11.625" style="2934" customWidth="1"/>
    <col min="28" max="28" width="9" style="2934"/>
    <col min="29" max="29" width="2" style="2934" customWidth="1"/>
    <col min="30" max="16384" width="9" style="2934"/>
  </cols>
  <sheetData>
    <row r="1" spans="1:34" s="2903" customFormat="1">
      <c r="B1" s="3692" t="s">
        <v>2716</v>
      </c>
      <c r="C1" s="3692"/>
      <c r="D1" s="3692"/>
      <c r="E1" s="3692"/>
      <c r="F1" s="3692"/>
      <c r="G1" s="3688" t="s">
        <v>2717</v>
      </c>
      <c r="H1" s="3688"/>
      <c r="I1" s="3688"/>
      <c r="J1" s="3688"/>
      <c r="K1" s="3688"/>
      <c r="L1" s="3688"/>
      <c r="N1" s="3688" t="s">
        <v>2718</v>
      </c>
      <c r="O1" s="3688"/>
      <c r="P1" s="3688"/>
      <c r="Q1" s="3688"/>
      <c r="R1" s="2904"/>
      <c r="S1" s="3688" t="s">
        <v>2719</v>
      </c>
      <c r="T1" s="3688"/>
      <c r="U1" s="3688"/>
      <c r="V1" s="3688"/>
      <c r="X1" s="3687" t="s">
        <v>2720</v>
      </c>
      <c r="Y1" s="3688"/>
      <c r="Z1" s="3688"/>
      <c r="AA1" s="3688"/>
      <c r="AB1" s="3688"/>
      <c r="AD1" s="3687" t="s">
        <v>2721</v>
      </c>
      <c r="AE1" s="3688"/>
      <c r="AF1" s="3688"/>
      <c r="AG1" s="3688"/>
      <c r="AH1" s="3688"/>
    </row>
    <row r="2" spans="1:34" s="2905" customFormat="1" ht="14.25" thickBot="1">
      <c r="B2" s="2906" t="s">
        <v>2722</v>
      </c>
      <c r="C2" s="2906" t="s">
        <v>2723</v>
      </c>
      <c r="D2" s="2907" t="s">
        <v>2724</v>
      </c>
      <c r="E2" s="2907" t="s">
        <v>2725</v>
      </c>
      <c r="F2" s="2906" t="s">
        <v>2726</v>
      </c>
      <c r="G2" s="2908"/>
      <c r="H2" s="2909"/>
      <c r="I2" s="2909"/>
      <c r="J2" s="2909"/>
      <c r="K2" s="2909"/>
      <c r="L2" s="2909"/>
      <c r="N2" s="2908"/>
      <c r="O2" s="2909"/>
      <c r="P2" s="2909"/>
      <c r="Q2" s="2909"/>
      <c r="R2" s="2910"/>
      <c r="S2" s="2908"/>
      <c r="T2" s="2909"/>
      <c r="U2" s="2909"/>
      <c r="V2" s="2909"/>
      <c r="X2" s="2906" t="s">
        <v>2722</v>
      </c>
      <c r="Y2" s="2906" t="s">
        <v>2723</v>
      </c>
      <c r="Z2" s="2907" t="s">
        <v>2724</v>
      </c>
      <c r="AA2" s="2907" t="s">
        <v>2725</v>
      </c>
      <c r="AB2" s="2906" t="s">
        <v>2726</v>
      </c>
      <c r="AD2" s="2906" t="s">
        <v>2722</v>
      </c>
      <c r="AE2" s="2906" t="s">
        <v>2723</v>
      </c>
      <c r="AF2" s="2907" t="s">
        <v>2724</v>
      </c>
      <c r="AG2" s="2907" t="s">
        <v>2725</v>
      </c>
      <c r="AH2" s="2906" t="s">
        <v>2726</v>
      </c>
    </row>
    <row r="3" spans="1:34" s="2911" customFormat="1" ht="15" thickBot="1">
      <c r="B3" s="2912"/>
      <c r="C3" s="2912"/>
      <c r="D3" s="2913"/>
      <c r="E3" s="2913"/>
      <c r="F3" s="2912"/>
      <c r="G3" s="2914"/>
      <c r="H3" s="2915"/>
      <c r="I3" s="2915"/>
      <c r="J3" s="2915"/>
      <c r="K3" s="2915"/>
      <c r="L3" s="2915"/>
      <c r="N3" s="2914"/>
      <c r="O3" s="2916"/>
      <c r="P3" s="2916"/>
      <c r="Q3" s="2916"/>
      <c r="R3" s="2916"/>
      <c r="S3" s="2914"/>
      <c r="T3" s="2916"/>
      <c r="U3" s="2916"/>
      <c r="V3" s="2916"/>
      <c r="X3" s="2917">
        <f>ROUND(SUMPRODUCT(PRODUCT(1+N3:N$18)),4)</f>
        <v>1.3494999999999999</v>
      </c>
      <c r="Y3" s="2917">
        <f>ROUND(SUMPRODUCT(PRODUCT(1+O3:O$18)),4)</f>
        <v>1.2154</v>
      </c>
      <c r="Z3" s="2917">
        <f t="shared" ref="Z3:Z16" si="0">Y3</f>
        <v>1.2154</v>
      </c>
      <c r="AA3" s="2917">
        <f>ROUND(SUMPRODUCT(PRODUCT(1+P3:P$18)),4)</f>
        <v>1.3962000000000001</v>
      </c>
      <c r="AB3" s="2917">
        <f>ROUND(SUMPRODUCT(PRODUCT(1+Q3:Q$18)),4)</f>
        <v>1.1890000000000001</v>
      </c>
      <c r="AD3" s="2918">
        <f>ROUND(AVERAGE(I3:I$19)/100,4)</f>
        <v>2.3900000000000001E-2</v>
      </c>
      <c r="AE3" s="2918">
        <f>ROUND(AVERAGE(J3:J$19)/100,4)</f>
        <v>1.5699999999999999E-2</v>
      </c>
      <c r="AF3" s="2918">
        <f t="shared" ref="AF3:AF17" si="1">AE3</f>
        <v>1.5699999999999999E-2</v>
      </c>
      <c r="AG3" s="2918">
        <f>ROUND(AVERAGE(K3:K$19)/100,4)</f>
        <v>2.6599999999999999E-2</v>
      </c>
      <c r="AH3" s="2918">
        <f>ROUND(AVERAGE(L3:L$19)/100,4)</f>
        <v>1.34E-2</v>
      </c>
    </row>
    <row r="4" spans="1:34" s="2903" customFormat="1">
      <c r="A4" s="2919" t="s">
        <v>2727</v>
      </c>
      <c r="B4" s="2920"/>
      <c r="C4" s="2920"/>
      <c r="D4" s="2920"/>
      <c r="E4" s="2920"/>
      <c r="F4" s="2920"/>
      <c r="G4" s="3693">
        <v>2017</v>
      </c>
      <c r="H4" s="2921">
        <v>4</v>
      </c>
      <c r="I4" s="2921"/>
      <c r="J4" s="2921"/>
      <c r="K4" s="2921"/>
      <c r="L4" s="2922"/>
      <c r="N4" s="2923"/>
      <c r="O4" s="2904"/>
      <c r="P4" s="2904"/>
      <c r="Q4" s="2904"/>
      <c r="R4" s="2904"/>
      <c r="S4" s="2923"/>
      <c r="T4" s="2904"/>
      <c r="U4" s="2904"/>
      <c r="V4" s="2904"/>
      <c r="X4" s="2917">
        <f>ROUND(SUMPRODUCT(PRODUCT(1+N4:N$18)),4)</f>
        <v>1.3494999999999999</v>
      </c>
      <c r="Y4" s="2917">
        <f>ROUND(SUMPRODUCT(PRODUCT(1+O4:O$18)),4)</f>
        <v>1.2154</v>
      </c>
      <c r="Z4" s="2917">
        <f t="shared" si="0"/>
        <v>1.2154</v>
      </c>
      <c r="AA4" s="2917">
        <f>ROUND(SUMPRODUCT(PRODUCT(1+P4:P$18)),4)</f>
        <v>1.3962000000000001</v>
      </c>
      <c r="AB4" s="2917">
        <f>ROUND(SUMPRODUCT(PRODUCT(1+Q4:Q$18)),4)</f>
        <v>1.1890000000000001</v>
      </c>
      <c r="AD4" s="2918">
        <f>ROUND(AVERAGE(I4:I$19)/100,4)</f>
        <v>2.3900000000000001E-2</v>
      </c>
      <c r="AE4" s="2918">
        <f>ROUND(AVERAGE(J4:J$19)/100,4)</f>
        <v>1.5699999999999999E-2</v>
      </c>
      <c r="AF4" s="2918">
        <f t="shared" si="1"/>
        <v>1.5699999999999999E-2</v>
      </c>
      <c r="AG4" s="2918">
        <f>ROUND(AVERAGE(K4:K$19)/100,4)</f>
        <v>2.6599999999999999E-2</v>
      </c>
      <c r="AH4" s="2918">
        <f>ROUND(AVERAGE(L4:L$19)/100,4)</f>
        <v>1.34E-2</v>
      </c>
    </row>
    <row r="5" spans="1:34" s="2903" customFormat="1">
      <c r="A5" s="2919" t="s">
        <v>2728</v>
      </c>
      <c r="B5" s="2920"/>
      <c r="C5" s="2920"/>
      <c r="D5" s="2920"/>
      <c r="E5" s="2920"/>
      <c r="F5" s="2920"/>
      <c r="G5" s="3690"/>
      <c r="H5" s="2924">
        <v>3</v>
      </c>
      <c r="I5" s="2920"/>
      <c r="J5" s="2920"/>
      <c r="K5" s="2920"/>
      <c r="L5" s="2920"/>
      <c r="N5" s="2923"/>
      <c r="O5" s="2904"/>
      <c r="P5" s="2904"/>
      <c r="Q5" s="2904"/>
      <c r="R5" s="2904"/>
      <c r="S5" s="2923"/>
      <c r="T5" s="2904"/>
      <c r="U5" s="2904"/>
      <c r="V5" s="2904"/>
      <c r="X5" s="2917">
        <f>ROUND(SUMPRODUCT(PRODUCT(1+N5:N$18)),4)</f>
        <v>1.3494999999999999</v>
      </c>
      <c r="Y5" s="2917">
        <f>ROUND(SUMPRODUCT(PRODUCT(1+O5:O$18)),4)</f>
        <v>1.2154</v>
      </c>
      <c r="Z5" s="2917">
        <f t="shared" si="0"/>
        <v>1.2154</v>
      </c>
      <c r="AA5" s="2917">
        <f>ROUND(SUMPRODUCT(PRODUCT(1+P5:P$18)),4)</f>
        <v>1.3962000000000001</v>
      </c>
      <c r="AB5" s="2917">
        <f>ROUND(SUMPRODUCT(PRODUCT(1+Q5:Q$18)),4)</f>
        <v>1.1890000000000001</v>
      </c>
      <c r="AD5" s="2918">
        <f>ROUND(AVERAGE(I5:I$19)/100,4)</f>
        <v>2.3900000000000001E-2</v>
      </c>
      <c r="AE5" s="2918">
        <f>ROUND(AVERAGE(J5:J$19)/100,4)</f>
        <v>1.5699999999999999E-2</v>
      </c>
      <c r="AF5" s="2918">
        <f t="shared" si="1"/>
        <v>1.5699999999999999E-2</v>
      </c>
      <c r="AG5" s="2918">
        <f>ROUND(AVERAGE(K5:K$19)/100,4)</f>
        <v>2.6599999999999999E-2</v>
      </c>
      <c r="AH5" s="2918">
        <f>ROUND(AVERAGE(L5:L$19)/100,4)</f>
        <v>1.34E-2</v>
      </c>
    </row>
    <row r="6" spans="1:34" s="3245" customFormat="1">
      <c r="A6" s="3243" t="s">
        <v>2729</v>
      </c>
      <c r="B6" s="2926">
        <f>B7*(1+N6)</f>
        <v>415.21602360000003</v>
      </c>
      <c r="C6" s="2926">
        <f>C7*(1+O6)</f>
        <v>312.63083488000001</v>
      </c>
      <c r="D6" s="2926">
        <f>C6</f>
        <v>312.63083488000001</v>
      </c>
      <c r="E6" s="3237">
        <f>E7*(1+P6)</f>
        <v>589.96402416000001</v>
      </c>
      <c r="F6" s="3237">
        <f>F7*(1+Q6)</f>
        <v>273.82351752000005</v>
      </c>
      <c r="G6" s="3690"/>
      <c r="H6" s="3244">
        <v>2</v>
      </c>
      <c r="I6" s="2927">
        <f>ROUND(AVERAGE(I7:I19),2)</f>
        <v>2.39</v>
      </c>
      <c r="J6" s="2927">
        <f t="shared" ref="J6:L6" si="2">ROUND(AVERAGE(J7:J19),2)</f>
        <v>1.57</v>
      </c>
      <c r="K6" s="2927">
        <f t="shared" si="2"/>
        <v>2.66</v>
      </c>
      <c r="L6" s="2927">
        <f t="shared" si="2"/>
        <v>1.34</v>
      </c>
      <c r="N6" s="2929">
        <f>I6/100</f>
        <v>2.3900000000000001E-2</v>
      </c>
      <c r="O6" s="2929">
        <f t="shared" ref="O6" si="3">J6/100</f>
        <v>1.5700000000000002E-2</v>
      </c>
      <c r="P6" s="2929">
        <f t="shared" ref="P6" si="4">K6/100</f>
        <v>2.6600000000000002E-2</v>
      </c>
      <c r="Q6" s="2929">
        <f t="shared" ref="Q6" si="5">L6/100</f>
        <v>1.34E-2</v>
      </c>
      <c r="R6" s="3246"/>
      <c r="S6" s="3247"/>
      <c r="T6" s="3246"/>
      <c r="U6" s="3246"/>
      <c r="V6" s="3246"/>
      <c r="W6" s="2930" t="s">
        <v>2731</v>
      </c>
      <c r="X6" s="3235">
        <f>ROUND(SUMPRODUCT(PRODUCT(1+N6:N$18)),4)</f>
        <v>1.3494999999999999</v>
      </c>
      <c r="Y6" s="3235">
        <f>ROUND(SUMPRODUCT(PRODUCT(1+O6:O$18)),4)</f>
        <v>1.2154</v>
      </c>
      <c r="Z6" s="3235">
        <f t="shared" si="0"/>
        <v>1.2154</v>
      </c>
      <c r="AA6" s="3235">
        <f>ROUND(SUMPRODUCT(PRODUCT(1+P6:P$18)),4)</f>
        <v>1.3962000000000001</v>
      </c>
      <c r="AB6" s="3235">
        <f>ROUND(SUMPRODUCT(PRODUCT(1+Q6:Q$18)),4)</f>
        <v>1.1890000000000001</v>
      </c>
      <c r="AD6" s="2931">
        <f>ROUND(AVERAGE(I6:I$19)/100,4)</f>
        <v>2.3900000000000001E-2</v>
      </c>
      <c r="AE6" s="2931">
        <f>ROUND(AVERAGE(J6:J$19)/100,4)</f>
        <v>1.5699999999999999E-2</v>
      </c>
      <c r="AF6" s="2931">
        <f t="shared" si="1"/>
        <v>1.5699999999999999E-2</v>
      </c>
      <c r="AG6" s="2931">
        <f>ROUND(AVERAGE(K6:K$19)/100,4)</f>
        <v>2.6599999999999999E-2</v>
      </c>
      <c r="AH6" s="2931">
        <f>ROUND(AVERAGE(L6:L$19)/100,4)</f>
        <v>1.34E-2</v>
      </c>
    </row>
    <row r="7" spans="1:34" s="2928" customFormat="1" ht="13.5" thickBot="1">
      <c r="A7" s="2919" t="s">
        <v>2730</v>
      </c>
      <c r="B7" s="2940">
        <f>B8*(1+N7)</f>
        <v>405.524</v>
      </c>
      <c r="C7" s="2940">
        <f>C8*(1+O7)</f>
        <v>307.79840000000002</v>
      </c>
      <c r="D7" s="2940">
        <f>C7</f>
        <v>307.79840000000002</v>
      </c>
      <c r="E7" s="2940">
        <f>E8*(1+P7)</f>
        <v>574.67759999999998</v>
      </c>
      <c r="F7" s="2940">
        <f>F8*(1+Q7)</f>
        <v>270.20280000000002</v>
      </c>
      <c r="G7" s="3691"/>
      <c r="H7" s="2924">
        <v>1</v>
      </c>
      <c r="I7" s="2924">
        <v>3.45</v>
      </c>
      <c r="J7" s="2924">
        <v>1.92</v>
      </c>
      <c r="K7" s="2924">
        <v>3.92</v>
      </c>
      <c r="L7" s="2941">
        <v>1.58</v>
      </c>
      <c r="M7" s="2934"/>
      <c r="N7" s="2935">
        <f>I7/100</f>
        <v>3.4500000000000003E-2</v>
      </c>
      <c r="O7" s="2936">
        <f t="shared" ref="O7:Q22" si="6">J7/100</f>
        <v>1.9199999999999998E-2</v>
      </c>
      <c r="P7" s="2936">
        <f t="shared" si="6"/>
        <v>3.9199999999999999E-2</v>
      </c>
      <c r="Q7" s="2936">
        <f t="shared" si="6"/>
        <v>1.5800000000000002E-2</v>
      </c>
      <c r="R7" s="2937"/>
      <c r="S7" s="2935">
        <f>B7/B8-1</f>
        <v>3.4499999999999975E-2</v>
      </c>
      <c r="T7" s="2936">
        <f t="shared" ref="T7:V7" si="7">C7/C8-1</f>
        <v>1.9200000000000106E-2</v>
      </c>
      <c r="U7" s="2936">
        <f t="shared" si="7"/>
        <v>1.9200000000000106E-2</v>
      </c>
      <c r="V7" s="2936">
        <f t="shared" si="7"/>
        <v>3.9199999999999902E-2</v>
      </c>
      <c r="W7" s="2934"/>
      <c r="X7" s="2917">
        <f>ROUND(SUMPRODUCT(PRODUCT(1+N7:N$18)),4)</f>
        <v>1.3180000000000001</v>
      </c>
      <c r="Y7" s="2917">
        <f>ROUND(SUMPRODUCT(PRODUCT(1+O7:O$18)),4)</f>
        <v>1.1966000000000001</v>
      </c>
      <c r="Z7" s="2917">
        <f t="shared" si="0"/>
        <v>1.1966000000000001</v>
      </c>
      <c r="AA7" s="2917">
        <f>ROUND(SUMPRODUCT(PRODUCT(1+P7:P$18)),4)</f>
        <v>1.36</v>
      </c>
      <c r="AB7" s="2917">
        <f>ROUND(SUMPRODUCT(PRODUCT(1+Q7:Q$18)),4)</f>
        <v>1.1733</v>
      </c>
      <c r="AC7" s="2934"/>
      <c r="AD7" s="2918">
        <f>ROUND(AVERAGE(I7:I$19)/100,4)</f>
        <v>2.3900000000000001E-2</v>
      </c>
      <c r="AE7" s="2918">
        <f>ROUND(AVERAGE(J7:J$19)/100,4)</f>
        <v>1.5699999999999999E-2</v>
      </c>
      <c r="AF7" s="2918">
        <f t="shared" si="1"/>
        <v>1.5699999999999999E-2</v>
      </c>
      <c r="AG7" s="2918">
        <f>ROUND(AVERAGE(K7:K$19)/100,4)</f>
        <v>2.6599999999999999E-2</v>
      </c>
      <c r="AH7" s="2918">
        <f>ROUND(AVERAGE(L7:L$19)/100,4)</f>
        <v>1.34E-2</v>
      </c>
    </row>
    <row r="8" spans="1:34">
      <c r="A8" s="2919" t="s">
        <v>1162</v>
      </c>
      <c r="B8" s="2932">
        <v>392</v>
      </c>
      <c r="C8" s="2932">
        <v>302</v>
      </c>
      <c r="D8" s="2932">
        <f>C8</f>
        <v>302</v>
      </c>
      <c r="E8" s="2932">
        <v>553</v>
      </c>
      <c r="F8" s="2933">
        <v>266</v>
      </c>
      <c r="G8" s="3693">
        <v>2016</v>
      </c>
      <c r="H8" s="2921">
        <v>4</v>
      </c>
      <c r="I8" s="2921">
        <v>4.5599999999999996</v>
      </c>
      <c r="J8" s="2921">
        <v>2.15</v>
      </c>
      <c r="K8" s="2921">
        <v>5.32</v>
      </c>
      <c r="L8" s="2922">
        <v>1.57</v>
      </c>
      <c r="N8" s="2935">
        <f>I8/100</f>
        <v>4.5599999999999995E-2</v>
      </c>
      <c r="O8" s="2936">
        <f t="shared" si="6"/>
        <v>2.1499999999999998E-2</v>
      </c>
      <c r="P8" s="2936">
        <f t="shared" si="6"/>
        <v>5.3200000000000004E-2</v>
      </c>
      <c r="Q8" s="2936">
        <f t="shared" si="6"/>
        <v>1.5700000000000002E-2</v>
      </c>
      <c r="R8" s="2937"/>
      <c r="S8" s="2938"/>
      <c r="T8" s="2939"/>
      <c r="U8" s="2939"/>
      <c r="V8" s="2939"/>
      <c r="X8" s="2917">
        <f>ROUND(SUMPRODUCT(PRODUCT(1+N8:N$18)),4)</f>
        <v>1.274</v>
      </c>
      <c r="Y8" s="2917">
        <f>ROUND(SUMPRODUCT(PRODUCT(1+O8:O$18)),4)</f>
        <v>1.1740999999999999</v>
      </c>
      <c r="Z8" s="2917">
        <f t="shared" si="0"/>
        <v>1.1740999999999999</v>
      </c>
      <c r="AA8" s="2917">
        <f>ROUND(SUMPRODUCT(PRODUCT(1+P8:P$18)),4)</f>
        <v>1.3087</v>
      </c>
      <c r="AB8" s="2917">
        <f>ROUND(SUMPRODUCT(PRODUCT(1+Q8:Q$18)),4)</f>
        <v>1.1551</v>
      </c>
      <c r="AD8" s="2918">
        <f>ROUND(AVERAGE(I8:I$19)/100,4)</f>
        <v>2.3E-2</v>
      </c>
      <c r="AE8" s="2918">
        <f>ROUND(AVERAGE(J8:J$19)/100,4)</f>
        <v>1.55E-2</v>
      </c>
      <c r="AF8" s="2918">
        <f t="shared" si="1"/>
        <v>1.55E-2</v>
      </c>
      <c r="AG8" s="2918">
        <f>ROUND(AVERAGE(K8:K$19)/100,4)</f>
        <v>2.5600000000000001E-2</v>
      </c>
      <c r="AH8" s="2918">
        <f>ROUND(AVERAGE(L8:L$19)/100,4)</f>
        <v>1.32E-2</v>
      </c>
    </row>
    <row r="9" spans="1:34">
      <c r="A9" s="2919" t="s">
        <v>1161</v>
      </c>
      <c r="B9" s="2940">
        <f t="shared" ref="B9:C11" si="8">B8/(1+N8)</f>
        <v>374.90436113236416</v>
      </c>
      <c r="C9" s="2940">
        <f t="shared" si="8"/>
        <v>295.64366128242779</v>
      </c>
      <c r="D9" s="2940">
        <f t="shared" ref="D9:D68" si="9">C9</f>
        <v>295.64366128242779</v>
      </c>
      <c r="E9" s="2940">
        <f t="shared" ref="E9:F11" si="10">E8/(1+P8)</f>
        <v>525.06646410938095</v>
      </c>
      <c r="F9" s="2940">
        <f t="shared" si="10"/>
        <v>261.88835286009646</v>
      </c>
      <c r="G9" s="3690"/>
      <c r="H9" s="2924">
        <v>3</v>
      </c>
      <c r="I9" s="2924">
        <v>4.12</v>
      </c>
      <c r="J9" s="2924">
        <v>2</v>
      </c>
      <c r="K9" s="2924">
        <v>4.79</v>
      </c>
      <c r="L9" s="2941">
        <v>1.97</v>
      </c>
      <c r="N9" s="2935">
        <f t="shared" ref="N9:Q43" si="11">I9/100</f>
        <v>4.1200000000000001E-2</v>
      </c>
      <c r="O9" s="2936">
        <f t="shared" si="6"/>
        <v>0.02</v>
      </c>
      <c r="P9" s="2936">
        <f t="shared" si="6"/>
        <v>4.7899999999999998E-2</v>
      </c>
      <c r="Q9" s="2936">
        <f t="shared" si="6"/>
        <v>1.9699999999999999E-2</v>
      </c>
      <c r="R9" s="2937"/>
      <c r="S9" s="2935"/>
      <c r="T9" s="2936"/>
      <c r="U9" s="2936"/>
      <c r="V9" s="2936"/>
      <c r="X9" s="2917">
        <f>ROUND(SUMPRODUCT(PRODUCT(1+N9:N$18)),4)</f>
        <v>1.2184999999999999</v>
      </c>
      <c r="Y9" s="2917">
        <f>ROUND(SUMPRODUCT(PRODUCT(1+O9:O$18)),4)</f>
        <v>1.1494</v>
      </c>
      <c r="Z9" s="2917">
        <f t="shared" si="0"/>
        <v>1.1494</v>
      </c>
      <c r="AA9" s="2917">
        <f>ROUND(SUMPRODUCT(PRODUCT(1+P9:P$18)),4)</f>
        <v>1.2425999999999999</v>
      </c>
      <c r="AB9" s="2917">
        <f>ROUND(SUMPRODUCT(PRODUCT(1+Q9:Q$18)),4)</f>
        <v>1.1372</v>
      </c>
      <c r="AD9" s="2918">
        <f>ROUND(AVERAGE(I9:I$19)/100,4)</f>
        <v>2.0899999999999998E-2</v>
      </c>
      <c r="AE9" s="2918">
        <f>ROUND(AVERAGE(J9:J$19)/100,4)</f>
        <v>1.49E-2</v>
      </c>
      <c r="AF9" s="2918">
        <f t="shared" si="1"/>
        <v>1.49E-2</v>
      </c>
      <c r="AG9" s="2918">
        <f>ROUND(AVERAGE(K9:K$19)/100,4)</f>
        <v>2.3099999999999999E-2</v>
      </c>
      <c r="AH9" s="2918">
        <f>ROUND(AVERAGE(L9:L$19)/100,4)</f>
        <v>1.2999999999999999E-2</v>
      </c>
    </row>
    <row r="10" spans="1:34">
      <c r="A10" s="2919" t="s">
        <v>1151</v>
      </c>
      <c r="B10" s="2940">
        <f t="shared" si="8"/>
        <v>360.06949782209392</v>
      </c>
      <c r="C10" s="2940">
        <f t="shared" si="8"/>
        <v>289.84672674747821</v>
      </c>
      <c r="D10" s="2940">
        <f t="shared" si="9"/>
        <v>289.84672674747821</v>
      </c>
      <c r="E10" s="2940">
        <f t="shared" si="10"/>
        <v>501.06543001181495</v>
      </c>
      <c r="F10" s="2940">
        <f t="shared" si="10"/>
        <v>256.82882500744967</v>
      </c>
      <c r="G10" s="3690"/>
      <c r="H10" s="2925">
        <v>2</v>
      </c>
      <c r="I10" s="2925">
        <v>3.85</v>
      </c>
      <c r="J10" s="2925">
        <v>1.95</v>
      </c>
      <c r="K10" s="2925">
        <v>4.4800000000000004</v>
      </c>
      <c r="L10" s="2942">
        <v>1.41</v>
      </c>
      <c r="N10" s="2935">
        <f t="shared" si="11"/>
        <v>3.85E-2</v>
      </c>
      <c r="O10" s="2936">
        <f t="shared" si="6"/>
        <v>1.95E-2</v>
      </c>
      <c r="P10" s="2936">
        <f t="shared" si="6"/>
        <v>4.4800000000000006E-2</v>
      </c>
      <c r="Q10" s="2936">
        <f t="shared" si="6"/>
        <v>1.41E-2</v>
      </c>
      <c r="R10" s="2937"/>
      <c r="S10" s="2935"/>
      <c r="T10" s="2936"/>
      <c r="U10" s="2936"/>
      <c r="V10" s="2936"/>
      <c r="X10" s="2917">
        <f>ROUND(SUMPRODUCT(PRODUCT(1+N10:N$18)),4)</f>
        <v>1.1702999999999999</v>
      </c>
      <c r="Y10" s="2917">
        <f>ROUND(SUMPRODUCT(PRODUCT(1+O10:O$18)),4)</f>
        <v>1.1269</v>
      </c>
      <c r="Z10" s="2917">
        <f t="shared" si="0"/>
        <v>1.1269</v>
      </c>
      <c r="AA10" s="2917">
        <f>ROUND(SUMPRODUCT(PRODUCT(1+P10:P$18)),4)</f>
        <v>1.1858</v>
      </c>
      <c r="AB10" s="2917">
        <f>ROUND(SUMPRODUCT(PRODUCT(1+Q10:Q$18)),4)</f>
        <v>1.1152</v>
      </c>
      <c r="AD10" s="2918">
        <f>ROUND(AVERAGE(I10:I$19)/100,4)</f>
        <v>1.89E-2</v>
      </c>
      <c r="AE10" s="2918">
        <f>ROUND(AVERAGE(J10:J$19)/100,4)</f>
        <v>1.44E-2</v>
      </c>
      <c r="AF10" s="2918">
        <f t="shared" si="1"/>
        <v>1.44E-2</v>
      </c>
      <c r="AG10" s="2918">
        <f>ROUND(AVERAGE(K10:K$19)/100,4)</f>
        <v>2.06E-2</v>
      </c>
      <c r="AH10" s="2918">
        <f>ROUND(AVERAGE(L10:L$19)/100,4)</f>
        <v>1.23E-2</v>
      </c>
    </row>
    <row r="11" spans="1:34" ht="13.5" thickBot="1">
      <c r="A11" s="2919" t="s">
        <v>1160</v>
      </c>
      <c r="B11" s="2940">
        <f t="shared" si="8"/>
        <v>346.720748986128</v>
      </c>
      <c r="C11" s="2940">
        <f t="shared" si="8"/>
        <v>284.30282172386285</v>
      </c>
      <c r="D11" s="2940">
        <f t="shared" si="9"/>
        <v>284.30282172386285</v>
      </c>
      <c r="E11" s="2940">
        <f t="shared" si="10"/>
        <v>479.58023546306947</v>
      </c>
      <c r="F11" s="2940">
        <f t="shared" si="10"/>
        <v>253.25788877571213</v>
      </c>
      <c r="G11" s="3691"/>
      <c r="H11" s="2924">
        <v>1</v>
      </c>
      <c r="I11" s="2924">
        <v>4.09</v>
      </c>
      <c r="J11" s="2924">
        <v>2.93</v>
      </c>
      <c r="K11" s="2924">
        <v>4.54</v>
      </c>
      <c r="L11" s="2941">
        <v>1.48</v>
      </c>
      <c r="N11" s="2935">
        <f t="shared" si="11"/>
        <v>4.0899999999999999E-2</v>
      </c>
      <c r="O11" s="2936">
        <f t="shared" si="6"/>
        <v>2.9300000000000003E-2</v>
      </c>
      <c r="P11" s="2936">
        <f t="shared" si="6"/>
        <v>4.5400000000000003E-2</v>
      </c>
      <c r="Q11" s="2936">
        <f t="shared" si="6"/>
        <v>1.4800000000000001E-2</v>
      </c>
      <c r="R11" s="2937"/>
      <c r="S11" s="2943">
        <f>B11/B12-1</f>
        <v>4.1203450408792808E-2</v>
      </c>
      <c r="T11" s="2944">
        <f>C11/C12-1</f>
        <v>2.6363977342465095E-2</v>
      </c>
      <c r="U11" s="2944">
        <f>E11/E12-1</f>
        <v>4.4837114298626357E-2</v>
      </c>
      <c r="V11" s="2944">
        <f>F11/F12-1</f>
        <v>1.7099954922538574E-2</v>
      </c>
      <c r="X11" s="2917">
        <f>ROUND(SUMPRODUCT(PRODUCT(1+N11:N$18)),4)</f>
        <v>1.1269</v>
      </c>
      <c r="Y11" s="2917">
        <f>ROUND(SUMPRODUCT(PRODUCT(1+O11:O$18)),4)</f>
        <v>1.1052999999999999</v>
      </c>
      <c r="Z11" s="2917">
        <f t="shared" si="0"/>
        <v>1.1052999999999999</v>
      </c>
      <c r="AA11" s="2917">
        <f>ROUND(SUMPRODUCT(PRODUCT(1+P11:P$18)),4)</f>
        <v>1.1349</v>
      </c>
      <c r="AB11" s="2917">
        <f>ROUND(SUMPRODUCT(PRODUCT(1+Q11:Q$18)),4)</f>
        <v>1.0996999999999999</v>
      </c>
      <c r="AD11" s="2918">
        <f>ROUND(AVERAGE(I11:I$19)/100,4)</f>
        <v>1.67E-2</v>
      </c>
      <c r="AE11" s="2918">
        <f>ROUND(AVERAGE(J11:J$19)/100,4)</f>
        <v>1.38E-2</v>
      </c>
      <c r="AF11" s="2918">
        <f t="shared" si="1"/>
        <v>1.38E-2</v>
      </c>
      <c r="AG11" s="2918">
        <f>ROUND(AVERAGE(K11:K$19)/100,4)</f>
        <v>1.7899999999999999E-2</v>
      </c>
      <c r="AH11" s="2918">
        <f>ROUND(AVERAGE(L11:L$19)/100,4)</f>
        <v>1.21E-2</v>
      </c>
    </row>
    <row r="12" spans="1:34" ht="13.5" thickBot="1">
      <c r="A12" s="2919" t="s">
        <v>1159</v>
      </c>
      <c r="B12" s="2932">
        <v>333</v>
      </c>
      <c r="C12" s="2932">
        <v>277</v>
      </c>
      <c r="D12" s="2932">
        <f t="shared" si="9"/>
        <v>277</v>
      </c>
      <c r="E12" s="2932">
        <v>459</v>
      </c>
      <c r="F12" s="2933">
        <v>249</v>
      </c>
      <c r="G12" s="3689">
        <v>2015</v>
      </c>
      <c r="H12" s="2945">
        <v>4</v>
      </c>
      <c r="I12" s="2945">
        <v>1.63</v>
      </c>
      <c r="J12" s="2945">
        <v>1.1100000000000001</v>
      </c>
      <c r="K12" s="2945">
        <v>1.77</v>
      </c>
      <c r="L12" s="2946">
        <v>1.89</v>
      </c>
      <c r="N12" s="2947">
        <f t="shared" si="11"/>
        <v>1.6299999999999999E-2</v>
      </c>
      <c r="O12" s="2948">
        <f t="shared" si="6"/>
        <v>1.11E-2</v>
      </c>
      <c r="P12" s="2948">
        <f t="shared" si="6"/>
        <v>1.77E-2</v>
      </c>
      <c r="Q12" s="2948">
        <f t="shared" si="6"/>
        <v>1.89E-2</v>
      </c>
      <c r="R12" s="2937"/>
      <c r="X12" s="2917">
        <f>ROUND(SUMPRODUCT(PRODUCT(1+N12:N$18)),4)</f>
        <v>1.0826</v>
      </c>
      <c r="Y12" s="2917">
        <f>ROUND(SUMPRODUCT(PRODUCT(1+O12:O$18)),4)</f>
        <v>1.0738000000000001</v>
      </c>
      <c r="Z12" s="2917">
        <f t="shared" si="0"/>
        <v>1.0738000000000001</v>
      </c>
      <c r="AA12" s="2917">
        <f>ROUND(SUMPRODUCT(PRODUCT(1+P12:P$18)),4)</f>
        <v>1.0855999999999999</v>
      </c>
      <c r="AB12" s="2917">
        <f>ROUND(SUMPRODUCT(PRODUCT(1+Q12:Q$18)),4)</f>
        <v>1.0837000000000001</v>
      </c>
      <c r="AD12" s="2918">
        <f>ROUND(AVERAGE(I12:I$19)/100,4)</f>
        <v>1.37E-2</v>
      </c>
      <c r="AE12" s="2918">
        <f>ROUND(AVERAGE(J12:J$19)/100,4)</f>
        <v>1.1900000000000001E-2</v>
      </c>
      <c r="AF12" s="2918">
        <f t="shared" si="1"/>
        <v>1.1900000000000001E-2</v>
      </c>
      <c r="AG12" s="2918">
        <f>ROUND(AVERAGE(K12:K$19)/100,4)</f>
        <v>1.4500000000000001E-2</v>
      </c>
      <c r="AH12" s="2918">
        <f>ROUND(AVERAGE(L12:L$19)/100,4)</f>
        <v>1.18E-2</v>
      </c>
    </row>
    <row r="13" spans="1:34">
      <c r="A13" s="2919" t="s">
        <v>1158</v>
      </c>
      <c r="B13" s="2940">
        <f t="shared" ref="B13:C15" si="12">B12/(1+N12)</f>
        <v>327.65915576109415</v>
      </c>
      <c r="C13" s="2940">
        <f t="shared" si="12"/>
        <v>273.95905449510434</v>
      </c>
      <c r="D13" s="2940">
        <f t="shared" si="9"/>
        <v>273.95905449510434</v>
      </c>
      <c r="E13" s="2940">
        <f t="shared" ref="E13:F15" si="13">E12/(1+P12)</f>
        <v>451.01699911565294</v>
      </c>
      <c r="F13" s="2940">
        <f t="shared" si="13"/>
        <v>244.38119540681129</v>
      </c>
      <c r="G13" s="3690"/>
      <c r="H13" s="2950">
        <v>3</v>
      </c>
      <c r="I13" s="2950">
        <v>1.65</v>
      </c>
      <c r="J13" s="2950">
        <v>0.92</v>
      </c>
      <c r="K13" s="2950">
        <v>1.88</v>
      </c>
      <c r="L13" s="2951">
        <v>1.26</v>
      </c>
      <c r="N13" s="2935">
        <f t="shared" si="11"/>
        <v>1.6500000000000001E-2</v>
      </c>
      <c r="O13" s="2952">
        <f t="shared" si="6"/>
        <v>9.1999999999999998E-3</v>
      </c>
      <c r="P13" s="2952">
        <f t="shared" si="6"/>
        <v>1.8799999999999997E-2</v>
      </c>
      <c r="Q13" s="2952">
        <f t="shared" si="6"/>
        <v>1.26E-2</v>
      </c>
      <c r="R13" s="2937"/>
      <c r="S13" s="2935"/>
      <c r="T13" s="2936"/>
      <c r="U13" s="2936"/>
      <c r="V13" s="2936"/>
      <c r="X13" s="2917">
        <f>ROUND(SUMPRODUCT(PRODUCT(1+N13:N$18)),4)</f>
        <v>1.0651999999999999</v>
      </c>
      <c r="Y13" s="2917">
        <f>ROUND(SUMPRODUCT(PRODUCT(1+O13:O$18)),4)</f>
        <v>1.0621</v>
      </c>
      <c r="Z13" s="2917">
        <f t="shared" si="0"/>
        <v>1.0621</v>
      </c>
      <c r="AA13" s="2917">
        <f>ROUND(SUMPRODUCT(PRODUCT(1+P13:P$18)),4)</f>
        <v>1.0668</v>
      </c>
      <c r="AB13" s="2917">
        <f>ROUND(SUMPRODUCT(PRODUCT(1+Q13:Q$18)),4)</f>
        <v>1.0636000000000001</v>
      </c>
      <c r="AD13" s="2918">
        <f>ROUND(AVERAGE(I13:I$19)/100,4)</f>
        <v>1.3299999999999999E-2</v>
      </c>
      <c r="AE13" s="2918">
        <f>ROUND(AVERAGE(J13:J$19)/100,4)</f>
        <v>1.2E-2</v>
      </c>
      <c r="AF13" s="2918">
        <f t="shared" si="1"/>
        <v>1.2E-2</v>
      </c>
      <c r="AG13" s="2918">
        <f>ROUND(AVERAGE(K13:K$19)/100,4)</f>
        <v>1.4E-2</v>
      </c>
      <c r="AH13" s="2918">
        <f>ROUND(AVERAGE(L13:L$19)/100,4)</f>
        <v>1.0800000000000001E-2</v>
      </c>
    </row>
    <row r="14" spans="1:34">
      <c r="A14" s="2919" t="s">
        <v>1157</v>
      </c>
      <c r="B14" s="2940">
        <f t="shared" si="12"/>
        <v>322.34053690220776</v>
      </c>
      <c r="C14" s="2940">
        <f t="shared" si="12"/>
        <v>271.46160770422546</v>
      </c>
      <c r="D14" s="2940">
        <f t="shared" si="9"/>
        <v>271.46160770422546</v>
      </c>
      <c r="E14" s="2940">
        <f t="shared" si="13"/>
        <v>442.69434542172456</v>
      </c>
      <c r="F14" s="2940">
        <f t="shared" si="13"/>
        <v>241.34030753190925</v>
      </c>
      <c r="G14" s="3690"/>
      <c r="H14" s="2925">
        <v>2</v>
      </c>
      <c r="I14" s="2925">
        <v>0.77</v>
      </c>
      <c r="J14" s="2925">
        <v>0.69</v>
      </c>
      <c r="K14" s="2925">
        <v>0.8</v>
      </c>
      <c r="L14" s="2942">
        <v>0.88</v>
      </c>
      <c r="N14" s="2935">
        <f t="shared" si="11"/>
        <v>7.7000000000000002E-3</v>
      </c>
      <c r="O14" s="2952">
        <f t="shared" si="6"/>
        <v>6.8999999999999999E-3</v>
      </c>
      <c r="P14" s="2952">
        <f t="shared" si="6"/>
        <v>8.0000000000000002E-3</v>
      </c>
      <c r="Q14" s="2952">
        <f t="shared" si="6"/>
        <v>8.8000000000000005E-3</v>
      </c>
      <c r="R14" s="2937"/>
      <c r="S14" s="2935"/>
      <c r="T14" s="2936"/>
      <c r="U14" s="2936"/>
      <c r="V14" s="2936"/>
      <c r="X14" s="2917">
        <f>ROUND(SUMPRODUCT(PRODUCT(1+N14:N$18)),4)</f>
        <v>1.048</v>
      </c>
      <c r="Y14" s="2917">
        <f>ROUND(SUMPRODUCT(PRODUCT(1+O14:O$18)),4)</f>
        <v>1.0524</v>
      </c>
      <c r="Z14" s="2917">
        <f t="shared" si="0"/>
        <v>1.0524</v>
      </c>
      <c r="AA14" s="2917">
        <f>ROUND(SUMPRODUCT(PRODUCT(1+P14:P$18)),4)</f>
        <v>1.0470999999999999</v>
      </c>
      <c r="AB14" s="2917">
        <f>ROUND(SUMPRODUCT(PRODUCT(1+Q14:Q$18)),4)</f>
        <v>1.0504</v>
      </c>
      <c r="AD14" s="2918">
        <f>ROUND(AVERAGE(I14:I$19)/100,4)</f>
        <v>1.2800000000000001E-2</v>
      </c>
      <c r="AE14" s="2918">
        <f>ROUND(AVERAGE(J14:J$19)/100,4)</f>
        <v>1.2500000000000001E-2</v>
      </c>
      <c r="AF14" s="2918">
        <f t="shared" si="1"/>
        <v>1.2500000000000001E-2</v>
      </c>
      <c r="AG14" s="2918">
        <f>ROUND(AVERAGE(K14:K$19)/100,4)</f>
        <v>1.32E-2</v>
      </c>
      <c r="AH14" s="2918">
        <f>ROUND(AVERAGE(L14:L$19)/100,4)</f>
        <v>1.0500000000000001E-2</v>
      </c>
    </row>
    <row r="15" spans="1:34">
      <c r="A15" s="2919" t="s">
        <v>1156</v>
      </c>
      <c r="B15" s="2940">
        <f t="shared" si="12"/>
        <v>319.87748030386797</v>
      </c>
      <c r="C15" s="2940">
        <f t="shared" si="12"/>
        <v>269.60135833173649</v>
      </c>
      <c r="D15" s="2940">
        <f t="shared" si="9"/>
        <v>269.60135833173649</v>
      </c>
      <c r="E15" s="2940">
        <f t="shared" si="13"/>
        <v>439.18089823583784</v>
      </c>
      <c r="F15" s="2940">
        <f t="shared" si="13"/>
        <v>239.23503918706311</v>
      </c>
      <c r="G15" s="3691"/>
      <c r="H15" s="2924">
        <v>1</v>
      </c>
      <c r="I15" s="2924">
        <v>0.51</v>
      </c>
      <c r="J15" s="2924">
        <v>0.54</v>
      </c>
      <c r="K15" s="2924">
        <v>0.48</v>
      </c>
      <c r="L15" s="2941">
        <v>0.93</v>
      </c>
      <c r="N15" s="2943">
        <f t="shared" si="11"/>
        <v>5.1000000000000004E-3</v>
      </c>
      <c r="O15" s="2944">
        <f t="shared" si="6"/>
        <v>5.4000000000000003E-3</v>
      </c>
      <c r="P15" s="2944">
        <f t="shared" si="6"/>
        <v>4.7999999999999996E-3</v>
      </c>
      <c r="Q15" s="2944">
        <f t="shared" si="6"/>
        <v>9.300000000000001E-3</v>
      </c>
      <c r="R15" s="2937"/>
      <c r="S15" s="2943">
        <f>B15/B16-1</f>
        <v>5.9040261127922822E-3</v>
      </c>
      <c r="T15" s="2944">
        <f>C15/C16-1</f>
        <v>5.9752176557332781E-3</v>
      </c>
      <c r="U15" s="2944">
        <f>E15/E16-1</f>
        <v>4.9906138119859556E-3</v>
      </c>
      <c r="V15" s="2944">
        <f>F15/F16-1</f>
        <v>9.4305450930933787E-3</v>
      </c>
      <c r="X15" s="2917">
        <f>ROUND(SUMPRODUCT(PRODUCT(1+N15:N$18)),4)</f>
        <v>1.0399</v>
      </c>
      <c r="Y15" s="2917">
        <f>ROUND(SUMPRODUCT(PRODUCT(1+O15:O$18)),4)</f>
        <v>1.0451999999999999</v>
      </c>
      <c r="Z15" s="2917">
        <f t="shared" si="0"/>
        <v>1.0451999999999999</v>
      </c>
      <c r="AA15" s="2917">
        <f>ROUND(SUMPRODUCT(PRODUCT(1+P15:P$18)),4)</f>
        <v>1.0387999999999999</v>
      </c>
      <c r="AB15" s="2917">
        <f>ROUND(SUMPRODUCT(PRODUCT(1+Q15:Q$18)),4)</f>
        <v>1.0411999999999999</v>
      </c>
      <c r="AD15" s="2918">
        <f>ROUND(AVERAGE(I15:I$19)/100,4)</f>
        <v>1.38E-2</v>
      </c>
      <c r="AE15" s="2918">
        <f>ROUND(AVERAGE(J15:J$19)/100,4)</f>
        <v>1.3599999999999999E-2</v>
      </c>
      <c r="AF15" s="2918">
        <f t="shared" si="1"/>
        <v>1.3599999999999999E-2</v>
      </c>
      <c r="AG15" s="2918">
        <f>ROUND(AVERAGE(K15:K$19)/100,4)</f>
        <v>1.4200000000000001E-2</v>
      </c>
      <c r="AH15" s="2918">
        <f>ROUND(AVERAGE(L15:L$19)/100,4)</f>
        <v>1.0800000000000001E-2</v>
      </c>
    </row>
    <row r="16" spans="1:34" ht="13.5" thickBot="1">
      <c r="A16" s="2919" t="s">
        <v>1155</v>
      </c>
      <c r="B16" s="2953">
        <v>318</v>
      </c>
      <c r="C16" s="2953">
        <v>268</v>
      </c>
      <c r="D16" s="2953">
        <f t="shared" si="9"/>
        <v>268</v>
      </c>
      <c r="E16" s="2953">
        <v>437</v>
      </c>
      <c r="F16" s="2954">
        <v>237</v>
      </c>
      <c r="G16" s="3689">
        <v>2014</v>
      </c>
      <c r="H16" s="2945">
        <v>4</v>
      </c>
      <c r="I16" s="2945">
        <v>0.21</v>
      </c>
      <c r="J16" s="2945">
        <v>0.41</v>
      </c>
      <c r="K16" s="2945">
        <v>0.12</v>
      </c>
      <c r="L16" s="2946">
        <v>0.89</v>
      </c>
      <c r="N16" s="2935">
        <f t="shared" si="11"/>
        <v>2.0999999999999999E-3</v>
      </c>
      <c r="O16" s="2936">
        <f t="shared" si="6"/>
        <v>4.0999999999999995E-3</v>
      </c>
      <c r="P16" s="2936">
        <f t="shared" si="6"/>
        <v>1.1999999999999999E-3</v>
      </c>
      <c r="Q16" s="2936">
        <f t="shared" si="6"/>
        <v>8.8999999999999999E-3</v>
      </c>
      <c r="R16" s="2937"/>
      <c r="S16" s="2938"/>
      <c r="T16" s="2939"/>
      <c r="U16" s="2939"/>
      <c r="V16" s="2939"/>
      <c r="X16" s="2917">
        <f>ROUND(SUMPRODUCT(PRODUCT(1+N16:N$18)),4)</f>
        <v>1.0347</v>
      </c>
      <c r="Y16" s="2917">
        <f>ROUND(SUMPRODUCT(PRODUCT(1+O16:O$18)),4)</f>
        <v>1.0395000000000001</v>
      </c>
      <c r="Z16" s="2917">
        <f t="shared" si="0"/>
        <v>1.0395000000000001</v>
      </c>
      <c r="AA16" s="2917">
        <f>ROUND(SUMPRODUCT(PRODUCT(1+P16:P$18)),4)</f>
        <v>1.0338000000000001</v>
      </c>
      <c r="AB16" s="2917">
        <f>ROUND(SUMPRODUCT(PRODUCT(1+Q16:Q$18)),4)</f>
        <v>1.0316000000000001</v>
      </c>
      <c r="AD16" s="2918">
        <f>ROUND(AVERAGE(I16:I$19)/100,4)</f>
        <v>1.6E-2</v>
      </c>
      <c r="AE16" s="2918">
        <f>ROUND(AVERAGE(J16:J$19)/100,4)</f>
        <v>1.5599999999999999E-2</v>
      </c>
      <c r="AF16" s="2918">
        <f t="shared" si="1"/>
        <v>1.5599999999999999E-2</v>
      </c>
      <c r="AG16" s="2918">
        <f>ROUND(AVERAGE(K16:K$19)/100,4)</f>
        <v>1.66E-2</v>
      </c>
      <c r="AH16" s="2918">
        <f>ROUND(AVERAGE(L16:L$19)/100,4)</f>
        <v>1.12E-2</v>
      </c>
    </row>
    <row r="17" spans="1:34">
      <c r="A17" s="2919" t="s">
        <v>1154</v>
      </c>
      <c r="B17" s="2940">
        <f t="shared" ref="B17:C19" si="14">B16/(1+N16)</f>
        <v>317.33359944117353</v>
      </c>
      <c r="C17" s="2940">
        <f t="shared" si="14"/>
        <v>266.90568668459315</v>
      </c>
      <c r="D17" s="2940">
        <f t="shared" si="9"/>
        <v>266.90568668459315</v>
      </c>
      <c r="E17" s="2940">
        <f t="shared" ref="E17:F19" si="15">E16/(1+P16)</f>
        <v>436.47622852576905</v>
      </c>
      <c r="F17" s="2940">
        <f t="shared" si="15"/>
        <v>234.90930716622066</v>
      </c>
      <c r="G17" s="3690"/>
      <c r="H17" s="2955">
        <v>3</v>
      </c>
      <c r="I17" s="2955">
        <v>0.83</v>
      </c>
      <c r="J17" s="2955">
        <v>1.47</v>
      </c>
      <c r="K17" s="2955">
        <v>0.65</v>
      </c>
      <c r="L17" s="2956">
        <v>0.72</v>
      </c>
      <c r="N17" s="2935">
        <f t="shared" si="11"/>
        <v>8.3000000000000001E-3</v>
      </c>
      <c r="O17" s="2936">
        <f t="shared" si="6"/>
        <v>1.47E-2</v>
      </c>
      <c r="P17" s="2936">
        <f t="shared" si="6"/>
        <v>6.5000000000000006E-3</v>
      </c>
      <c r="Q17" s="2936">
        <f t="shared" si="6"/>
        <v>7.1999999999999998E-3</v>
      </c>
      <c r="R17" s="2937"/>
      <c r="S17" s="2935"/>
      <c r="T17" s="2936"/>
      <c r="U17" s="2936"/>
      <c r="V17" s="2936"/>
      <c r="X17" s="2917">
        <f>ROUND(SUMPRODUCT(PRODUCT(1+N17:N$18)),4)</f>
        <v>1.0325</v>
      </c>
      <c r="Y17" s="2917">
        <f>ROUND(SUMPRODUCT(PRODUCT(1+O17:O$18)),4)</f>
        <v>1.0353000000000001</v>
      </c>
      <c r="Z17" s="2917">
        <f t="shared" ref="Z17:Z18" si="16">Y17</f>
        <v>1.0353000000000001</v>
      </c>
      <c r="AA17" s="2917">
        <f>ROUND(SUMPRODUCT(PRODUCT(1+P17:P$18)),4)</f>
        <v>1.0326</v>
      </c>
      <c r="AB17" s="2917">
        <f>ROUND(SUMPRODUCT(PRODUCT(1+Q17:Q$18)),4)</f>
        <v>1.0225</v>
      </c>
      <c r="AD17" s="2918">
        <f>ROUND(AVERAGE(I17:I$19)/100,4)</f>
        <v>2.07E-2</v>
      </c>
      <c r="AE17" s="2918">
        <f>ROUND(AVERAGE(J17:J$19)/100,4)</f>
        <v>1.95E-2</v>
      </c>
      <c r="AF17" s="2918">
        <f t="shared" si="1"/>
        <v>1.95E-2</v>
      </c>
      <c r="AG17" s="2918">
        <f>ROUND(AVERAGE(K17:K$19)/100,4)</f>
        <v>2.1700000000000001E-2</v>
      </c>
      <c r="AH17" s="2918">
        <f>ROUND(AVERAGE(L17:L$19)/100,4)</f>
        <v>1.2E-2</v>
      </c>
    </row>
    <row r="18" spans="1:34" ht="13.5" thickBot="1">
      <c r="A18" s="2919" t="s">
        <v>1153</v>
      </c>
      <c r="B18" s="2940">
        <f t="shared" si="14"/>
        <v>314.72141172386546</v>
      </c>
      <c r="C18" s="2940">
        <f t="shared" si="14"/>
        <v>263.03901319069001</v>
      </c>
      <c r="D18" s="2940">
        <f t="shared" si="9"/>
        <v>263.03901319069001</v>
      </c>
      <c r="E18" s="2940">
        <f t="shared" si="15"/>
        <v>433.65745506782821</v>
      </c>
      <c r="F18" s="2940">
        <f t="shared" si="15"/>
        <v>233.23005080045735</v>
      </c>
      <c r="G18" s="3690"/>
      <c r="H18" s="2945">
        <v>2</v>
      </c>
      <c r="I18" s="2945">
        <v>2.4</v>
      </c>
      <c r="J18" s="2945">
        <v>2.0299999999999998</v>
      </c>
      <c r="K18" s="2945">
        <v>2.59</v>
      </c>
      <c r="L18" s="2946">
        <v>1.52</v>
      </c>
      <c r="N18" s="2935">
        <f t="shared" si="11"/>
        <v>2.4E-2</v>
      </c>
      <c r="O18" s="2936">
        <f t="shared" si="6"/>
        <v>2.0299999999999999E-2</v>
      </c>
      <c r="P18" s="2936">
        <f t="shared" si="6"/>
        <v>2.5899999999999999E-2</v>
      </c>
      <c r="Q18" s="2936">
        <f t="shared" si="6"/>
        <v>1.52E-2</v>
      </c>
      <c r="R18" s="2937"/>
      <c r="S18" s="2935"/>
      <c r="T18" s="2936"/>
      <c r="U18" s="2936"/>
      <c r="V18" s="2936"/>
      <c r="X18" s="2917">
        <f>1+N18</f>
        <v>1.024</v>
      </c>
      <c r="Y18" s="2917">
        <f>1+O18</f>
        <v>1.0203</v>
      </c>
      <c r="Z18" s="2917">
        <f t="shared" si="16"/>
        <v>1.0203</v>
      </c>
      <c r="AA18" s="2917">
        <f>1+P18</f>
        <v>1.0259</v>
      </c>
      <c r="AB18" s="2917">
        <f>1+Q18</f>
        <v>1.0152000000000001</v>
      </c>
      <c r="AD18" s="2918">
        <f>ROUND(AVERAGE(I18:I$19)/100,4)</f>
        <v>2.69E-2</v>
      </c>
      <c r="AE18" s="2918">
        <f>ROUND(AVERAGE(J18:J$19)/100,4)</f>
        <v>2.1899999999999999E-2</v>
      </c>
      <c r="AF18" s="2918">
        <f t="shared" ref="AF18" si="17">AE18</f>
        <v>2.1899999999999999E-2</v>
      </c>
      <c r="AG18" s="2918">
        <f>ROUND(AVERAGE(K18:K$19)/100,4)</f>
        <v>2.9399999999999999E-2</v>
      </c>
      <c r="AH18" s="2918">
        <f>ROUND(AVERAGE(L18:L$19)/100,4)</f>
        <v>1.44E-2</v>
      </c>
    </row>
    <row r="19" spans="1:34" s="2961" customFormat="1" ht="13.5" thickBot="1">
      <c r="A19" s="2957" t="s">
        <v>1152</v>
      </c>
      <c r="B19" s="2958">
        <f t="shared" si="14"/>
        <v>307.34512863658733</v>
      </c>
      <c r="C19" s="2958">
        <f t="shared" si="14"/>
        <v>257.80556031626975</v>
      </c>
      <c r="D19" s="2958">
        <f t="shared" si="9"/>
        <v>257.80556031626975</v>
      </c>
      <c r="E19" s="2958">
        <f t="shared" si="15"/>
        <v>422.70928459677179</v>
      </c>
      <c r="F19" s="2958">
        <f t="shared" si="15"/>
        <v>229.73803270336617</v>
      </c>
      <c r="G19" s="3691"/>
      <c r="H19" s="2959">
        <v>1</v>
      </c>
      <c r="I19" s="2959">
        <v>2.97</v>
      </c>
      <c r="J19" s="2959">
        <v>2.34</v>
      </c>
      <c r="K19" s="2959">
        <v>3.28</v>
      </c>
      <c r="L19" s="2960">
        <v>1.36</v>
      </c>
      <c r="N19" s="2962">
        <f t="shared" si="11"/>
        <v>2.9700000000000001E-2</v>
      </c>
      <c r="O19" s="2963">
        <f t="shared" si="6"/>
        <v>2.3399999999999997E-2</v>
      </c>
      <c r="P19" s="2963">
        <f t="shared" si="6"/>
        <v>3.2799999999999996E-2</v>
      </c>
      <c r="Q19" s="2963">
        <f t="shared" si="6"/>
        <v>1.3600000000000001E-2</v>
      </c>
      <c r="R19" s="2964"/>
      <c r="S19" s="2965">
        <f>B19/B20-1</f>
        <v>2.7910129219355539E-2</v>
      </c>
      <c r="T19" s="2966">
        <f>C19/C20-1</f>
        <v>2.3037937762975247E-2</v>
      </c>
      <c r="U19" s="2966">
        <f>E19/E20-1</f>
        <v>3.3519033243940788E-2</v>
      </c>
      <c r="V19" s="2966">
        <f>F19/F20-1</f>
        <v>1.2061818076502862E-2</v>
      </c>
      <c r="W19" s="2967" t="s">
        <v>2732</v>
      </c>
      <c r="X19" s="2968">
        <v>1</v>
      </c>
      <c r="Y19" s="2968">
        <v>1</v>
      </c>
      <c r="Z19" s="2968">
        <v>1</v>
      </c>
      <c r="AA19" s="2968">
        <v>1</v>
      </c>
      <c r="AB19" s="2968">
        <v>1</v>
      </c>
      <c r="AD19" s="3236">
        <f>I19/100</f>
        <v>2.9700000000000001E-2</v>
      </c>
      <c r="AE19" s="3236">
        <f>J19/100</f>
        <v>2.3399999999999997E-2</v>
      </c>
      <c r="AF19" s="3236">
        <f>AE19</f>
        <v>2.3399999999999997E-2</v>
      </c>
      <c r="AG19" s="3236">
        <f>K19/100</f>
        <v>3.2799999999999996E-2</v>
      </c>
      <c r="AH19" s="3236">
        <f>L19/100</f>
        <v>1.3600000000000001E-2</v>
      </c>
    </row>
    <row r="20" spans="1:34" ht="13.5" thickBot="1">
      <c r="A20" s="2919" t="s">
        <v>2733</v>
      </c>
      <c r="B20" s="2932">
        <v>299</v>
      </c>
      <c r="C20" s="2932">
        <v>252</v>
      </c>
      <c r="D20" s="2932">
        <f t="shared" si="9"/>
        <v>252</v>
      </c>
      <c r="E20" s="2932">
        <v>409</v>
      </c>
      <c r="F20" s="2933">
        <v>227</v>
      </c>
      <c r="G20" s="3694">
        <v>2013</v>
      </c>
      <c r="H20" s="2969">
        <v>4</v>
      </c>
      <c r="I20" s="2969">
        <v>1.83</v>
      </c>
      <c r="J20" s="2969">
        <v>1.68</v>
      </c>
      <c r="K20" s="2969">
        <v>1.97</v>
      </c>
      <c r="L20" s="2970">
        <v>0.87</v>
      </c>
      <c r="N20" s="2947">
        <f t="shared" si="11"/>
        <v>1.83E-2</v>
      </c>
      <c r="O20" s="2948">
        <f t="shared" si="6"/>
        <v>1.6799999999999999E-2</v>
      </c>
      <c r="P20" s="2948">
        <f t="shared" si="6"/>
        <v>1.9699999999999999E-2</v>
      </c>
      <c r="Q20" s="2948">
        <f t="shared" si="6"/>
        <v>8.6999999999999994E-3</v>
      </c>
      <c r="R20" s="2937"/>
      <c r="S20" s="2938"/>
      <c r="T20" s="2939"/>
      <c r="U20" s="2939"/>
      <c r="V20" s="2939"/>
      <c r="X20" s="2939"/>
      <c r="Y20" s="2939"/>
      <c r="Z20" s="2939"/>
    </row>
    <row r="21" spans="1:34">
      <c r="A21" s="2919" t="s">
        <v>2734</v>
      </c>
      <c r="B21" s="2940">
        <f t="shared" ref="B21:C23" si="18">B20/(1+N20)</f>
        <v>293.62663262299913</v>
      </c>
      <c r="C21" s="2940">
        <f t="shared" si="18"/>
        <v>247.83634933123525</v>
      </c>
      <c r="D21" s="2940">
        <f t="shared" si="9"/>
        <v>247.83634933123525</v>
      </c>
      <c r="E21" s="2940">
        <f t="shared" ref="E21:F23" si="19">E20/(1+P20)</f>
        <v>401.09836226341076</v>
      </c>
      <c r="F21" s="2940">
        <f t="shared" si="19"/>
        <v>225.04213343908003</v>
      </c>
      <c r="G21" s="3695"/>
      <c r="H21" s="2950">
        <v>3</v>
      </c>
      <c r="I21" s="2950">
        <v>1.86</v>
      </c>
      <c r="J21" s="2950">
        <v>1.72</v>
      </c>
      <c r="K21" s="2950">
        <v>1.98</v>
      </c>
      <c r="L21" s="2951">
        <v>0.88</v>
      </c>
      <c r="N21" s="2935">
        <f t="shared" si="11"/>
        <v>1.8600000000000002E-2</v>
      </c>
      <c r="O21" s="2952">
        <f t="shared" si="6"/>
        <v>1.72E-2</v>
      </c>
      <c r="P21" s="2952">
        <f t="shared" si="6"/>
        <v>1.9799999999999998E-2</v>
      </c>
      <c r="Q21" s="2952">
        <f t="shared" si="6"/>
        <v>8.8000000000000005E-3</v>
      </c>
      <c r="R21" s="2937"/>
      <c r="S21" s="2935"/>
      <c r="T21" s="2936"/>
      <c r="U21" s="2936"/>
      <c r="V21" s="2936"/>
    </row>
    <row r="22" spans="1:34">
      <c r="A22" s="2919" t="s">
        <v>2735</v>
      </c>
      <c r="B22" s="2940">
        <f t="shared" si="18"/>
        <v>288.2649053828776</v>
      </c>
      <c r="C22" s="2940">
        <f t="shared" si="18"/>
        <v>243.64564425013293</v>
      </c>
      <c r="D22" s="2940">
        <f t="shared" si="9"/>
        <v>243.64564425013293</v>
      </c>
      <c r="E22" s="2940">
        <f t="shared" si="19"/>
        <v>393.31080825986544</v>
      </c>
      <c r="F22" s="2940">
        <f t="shared" si="19"/>
        <v>223.07903790551154</v>
      </c>
      <c r="G22" s="3695"/>
      <c r="H22" s="2925">
        <v>2</v>
      </c>
      <c r="I22" s="2925">
        <v>2.04</v>
      </c>
      <c r="J22" s="2925">
        <v>2.33</v>
      </c>
      <c r="K22" s="2925">
        <v>2.0699999999999998</v>
      </c>
      <c r="L22" s="2942">
        <v>0.69</v>
      </c>
      <c r="N22" s="2935">
        <f t="shared" si="11"/>
        <v>2.0400000000000001E-2</v>
      </c>
      <c r="O22" s="2952">
        <f t="shared" si="6"/>
        <v>2.3300000000000001E-2</v>
      </c>
      <c r="P22" s="2952">
        <f t="shared" si="6"/>
        <v>2.07E-2</v>
      </c>
      <c r="Q22" s="2952">
        <f t="shared" si="6"/>
        <v>6.8999999999999999E-3</v>
      </c>
      <c r="R22" s="2937"/>
      <c r="S22" s="2935"/>
      <c r="T22" s="2936"/>
      <c r="U22" s="2936"/>
      <c r="V22" s="2936"/>
      <c r="X22" s="2971"/>
      <c r="Y22" s="2972"/>
    </row>
    <row r="23" spans="1:34">
      <c r="A23" s="2919" t="s">
        <v>2736</v>
      </c>
      <c r="B23" s="2940">
        <f t="shared" si="18"/>
        <v>282.50186729015837</v>
      </c>
      <c r="C23" s="2940">
        <f t="shared" si="18"/>
        <v>238.09796174155468</v>
      </c>
      <c r="D23" s="2940">
        <f t="shared" si="9"/>
        <v>238.09796174155468</v>
      </c>
      <c r="E23" s="2940">
        <f t="shared" si="19"/>
        <v>385.33438646014054</v>
      </c>
      <c r="F23" s="2940">
        <f t="shared" si="19"/>
        <v>221.55034055567739</v>
      </c>
      <c r="G23" s="3696"/>
      <c r="H23" s="2924">
        <v>1</v>
      </c>
      <c r="I23" s="2924">
        <v>1.67</v>
      </c>
      <c r="J23" s="2924">
        <v>1.31</v>
      </c>
      <c r="K23" s="2924">
        <v>1.85</v>
      </c>
      <c r="L23" s="2941">
        <v>0.96</v>
      </c>
      <c r="N23" s="2943">
        <f t="shared" si="11"/>
        <v>1.67E-2</v>
      </c>
      <c r="O23" s="2944">
        <f t="shared" si="11"/>
        <v>1.3100000000000001E-2</v>
      </c>
      <c r="P23" s="2944">
        <f t="shared" si="11"/>
        <v>1.8500000000000003E-2</v>
      </c>
      <c r="Q23" s="2944">
        <f t="shared" si="11"/>
        <v>9.5999999999999992E-3</v>
      </c>
      <c r="R23" s="2937"/>
      <c r="S23" s="2943">
        <f>B23/B24-1</f>
        <v>1.6193767230785472E-2</v>
      </c>
      <c r="T23" s="2944">
        <f>C23/C24-1</f>
        <v>1.7512657015190891E-2</v>
      </c>
      <c r="U23" s="2944">
        <f>E23/E24-1</f>
        <v>1.6713420739157048E-2</v>
      </c>
      <c r="V23" s="2944">
        <f>F23/F24-1</f>
        <v>7.0470025258062563E-3</v>
      </c>
      <c r="X23" s="2973"/>
      <c r="Y23" s="2918"/>
      <c r="Z23" s="2918"/>
    </row>
    <row r="24" spans="1:34" ht="13.5" thickBot="1">
      <c r="A24" s="2919" t="s">
        <v>2737</v>
      </c>
      <c r="B24" s="2974">
        <v>278</v>
      </c>
      <c r="C24" s="2974">
        <v>234</v>
      </c>
      <c r="D24" s="2974">
        <f t="shared" si="9"/>
        <v>234</v>
      </c>
      <c r="E24" s="2974">
        <v>379</v>
      </c>
      <c r="F24" s="2975">
        <v>220</v>
      </c>
      <c r="G24" s="3689">
        <v>2012</v>
      </c>
      <c r="H24" s="2945">
        <v>4</v>
      </c>
      <c r="I24" s="2945">
        <v>0.91</v>
      </c>
      <c r="J24" s="2945">
        <v>0.68</v>
      </c>
      <c r="K24" s="2945">
        <v>0.98</v>
      </c>
      <c r="L24" s="2946">
        <v>0.9</v>
      </c>
      <c r="N24" s="2935">
        <f t="shared" si="11"/>
        <v>9.1000000000000004E-3</v>
      </c>
      <c r="O24" s="2936">
        <f t="shared" si="11"/>
        <v>6.8000000000000005E-3</v>
      </c>
      <c r="P24" s="2936">
        <f t="shared" si="11"/>
        <v>9.7999999999999997E-3</v>
      </c>
      <c r="Q24" s="2936">
        <f t="shared" si="11"/>
        <v>9.0000000000000011E-3</v>
      </c>
      <c r="R24" s="2937"/>
      <c r="S24" s="2938"/>
      <c r="T24" s="2939"/>
      <c r="U24" s="2939"/>
      <c r="V24" s="2939"/>
      <c r="X24" s="2939"/>
      <c r="Y24" s="2939"/>
      <c r="Z24" s="2939"/>
    </row>
    <row r="25" spans="1:34">
      <c r="A25" s="2919" t="s">
        <v>2738</v>
      </c>
      <c r="B25" s="2940">
        <f>B24/(1+N24)</f>
        <v>275.49301357645425</v>
      </c>
      <c r="C25" s="2940">
        <f>C24/(1+O24)</f>
        <v>232.41954707985698</v>
      </c>
      <c r="D25" s="2940">
        <f t="shared" si="9"/>
        <v>232.41954707985698</v>
      </c>
      <c r="E25" s="2940">
        <f t="shared" ref="E25:F27" si="20">E24/(1+P24)</f>
        <v>375.32184591008121</v>
      </c>
      <c r="F25" s="2940">
        <f t="shared" si="20"/>
        <v>218.03766105054513</v>
      </c>
      <c r="G25" s="3690"/>
      <c r="H25" s="2950">
        <v>3</v>
      </c>
      <c r="I25" s="2950">
        <v>0.09</v>
      </c>
      <c r="J25" s="2950">
        <v>0.28999999999999998</v>
      </c>
      <c r="K25" s="2950">
        <v>-0.01</v>
      </c>
      <c r="L25" s="2951">
        <v>0.57999999999999996</v>
      </c>
      <c r="N25" s="2935">
        <f t="shared" si="11"/>
        <v>8.9999999999999998E-4</v>
      </c>
      <c r="O25" s="2936">
        <f t="shared" si="11"/>
        <v>2.8999999999999998E-3</v>
      </c>
      <c r="P25" s="2936">
        <f t="shared" si="11"/>
        <v>-1E-4</v>
      </c>
      <c r="Q25" s="2936">
        <f t="shared" si="11"/>
        <v>5.7999999999999996E-3</v>
      </c>
      <c r="R25" s="2937"/>
      <c r="S25" s="2935"/>
      <c r="T25" s="2936"/>
      <c r="U25" s="2936"/>
      <c r="V25" s="2936"/>
    </row>
    <row r="26" spans="1:34">
      <c r="A26" s="2919" t="s">
        <v>2739</v>
      </c>
      <c r="B26" s="2940">
        <f>B25/(1+N25)</f>
        <v>275.24529281292263</v>
      </c>
      <c r="C26" s="2940">
        <f>C25/(1+O25)</f>
        <v>231.74747938962707</v>
      </c>
      <c r="D26" s="2940">
        <f t="shared" si="9"/>
        <v>231.74747938962707</v>
      </c>
      <c r="E26" s="2940">
        <f t="shared" si="20"/>
        <v>375.35938184826603</v>
      </c>
      <c r="F26" s="2940">
        <f t="shared" si="20"/>
        <v>216.78033510692495</v>
      </c>
      <c r="G26" s="3690"/>
      <c r="H26" s="2925">
        <v>2</v>
      </c>
      <c r="I26" s="2925">
        <v>0.02</v>
      </c>
      <c r="J26" s="2925">
        <v>0.12</v>
      </c>
      <c r="K26" s="2925">
        <v>-0.08</v>
      </c>
      <c r="L26" s="2942">
        <v>1.24</v>
      </c>
      <c r="N26" s="2935">
        <f t="shared" si="11"/>
        <v>2.0000000000000001E-4</v>
      </c>
      <c r="O26" s="2936">
        <f t="shared" si="11"/>
        <v>1.1999999999999999E-3</v>
      </c>
      <c r="P26" s="2936">
        <f t="shared" si="11"/>
        <v>-8.0000000000000004E-4</v>
      </c>
      <c r="Q26" s="2936">
        <f t="shared" si="11"/>
        <v>1.24E-2</v>
      </c>
      <c r="R26" s="2937"/>
      <c r="S26" s="2935"/>
      <c r="T26" s="2936"/>
      <c r="U26" s="2936"/>
      <c r="V26" s="2936"/>
    </row>
    <row r="27" spans="1:34" ht="13.5" thickBot="1">
      <c r="A27" s="2919" t="s">
        <v>2740</v>
      </c>
      <c r="B27" s="2940">
        <f>B26/(1+N26)</f>
        <v>275.19025476197027</v>
      </c>
      <c r="C27" s="2976">
        <v>232</v>
      </c>
      <c r="D27" s="2976">
        <f t="shared" si="9"/>
        <v>232</v>
      </c>
      <c r="E27" s="2940">
        <f t="shared" si="20"/>
        <v>375.65990977608692</v>
      </c>
      <c r="F27" s="2940">
        <f t="shared" si="20"/>
        <v>214.12518283971252</v>
      </c>
      <c r="G27" s="3691"/>
      <c r="H27" s="2924">
        <v>1</v>
      </c>
      <c r="I27" s="2924">
        <v>0.02</v>
      </c>
      <c r="J27" s="2924">
        <v>0.13</v>
      </c>
      <c r="K27" s="2924">
        <v>-0.04</v>
      </c>
      <c r="L27" s="2941">
        <v>0.46</v>
      </c>
      <c r="N27" s="2935">
        <f t="shared" si="11"/>
        <v>2.0000000000000001E-4</v>
      </c>
      <c r="O27" s="2936">
        <f t="shared" si="11"/>
        <v>1.2999999999999999E-3</v>
      </c>
      <c r="P27" s="2936">
        <f t="shared" si="11"/>
        <v>-4.0000000000000002E-4</v>
      </c>
      <c r="Q27" s="2936">
        <f t="shared" si="11"/>
        <v>4.5999999999999999E-3</v>
      </c>
      <c r="R27" s="2937"/>
      <c r="S27" s="2943">
        <f>B27/B28-1</f>
        <v>6.9183549807361189E-4</v>
      </c>
      <c r="T27" s="2944">
        <f>C27/C28-1</f>
        <v>0</v>
      </c>
      <c r="U27" s="2944">
        <f>E27/E28-1</f>
        <v>-9.0449527636460303E-4</v>
      </c>
      <c r="V27" s="2944">
        <f>F27/F28-1</f>
        <v>5.2825485432512753E-3</v>
      </c>
      <c r="X27" s="2918"/>
      <c r="Y27" s="2918"/>
      <c r="Z27" s="2918"/>
    </row>
    <row r="28" spans="1:34" ht="13.5" thickBot="1">
      <c r="A28" s="2919" t="s">
        <v>2741</v>
      </c>
      <c r="B28" s="2932">
        <v>275</v>
      </c>
      <c r="C28" s="2932">
        <v>232</v>
      </c>
      <c r="D28" s="2932">
        <f t="shared" si="9"/>
        <v>232</v>
      </c>
      <c r="E28" s="2932">
        <v>376</v>
      </c>
      <c r="F28" s="2933">
        <v>213</v>
      </c>
      <c r="G28" s="3689">
        <v>2011</v>
      </c>
      <c r="H28" s="2945">
        <v>4</v>
      </c>
      <c r="I28" s="2945">
        <v>-0.2</v>
      </c>
      <c r="J28" s="2945">
        <v>0.04</v>
      </c>
      <c r="K28" s="2945">
        <v>-0.34</v>
      </c>
      <c r="L28" s="2946">
        <v>0.46</v>
      </c>
      <c r="N28" s="2947">
        <f t="shared" si="11"/>
        <v>-2E-3</v>
      </c>
      <c r="O28" s="2948">
        <f t="shared" si="11"/>
        <v>4.0000000000000002E-4</v>
      </c>
      <c r="P28" s="2948">
        <f t="shared" si="11"/>
        <v>-3.4000000000000002E-3</v>
      </c>
      <c r="Q28" s="2948">
        <f t="shared" si="11"/>
        <v>4.5999999999999999E-3</v>
      </c>
      <c r="R28" s="2937"/>
      <c r="S28" s="2938"/>
      <c r="T28" s="2939"/>
      <c r="U28" s="2939"/>
      <c r="V28" s="2939"/>
      <c r="X28" s="2939"/>
      <c r="Y28" s="2939"/>
      <c r="Z28" s="2939"/>
    </row>
    <row r="29" spans="1:34">
      <c r="A29" s="2919" t="s">
        <v>2742</v>
      </c>
      <c r="B29" s="2940">
        <f t="shared" ref="B29:C31" si="21">B28/(1+N28)</f>
        <v>275.55110220440883</v>
      </c>
      <c r="C29" s="2940">
        <f t="shared" si="21"/>
        <v>231.90723710515795</v>
      </c>
      <c r="D29" s="2940">
        <f t="shared" si="9"/>
        <v>231.90723710515795</v>
      </c>
      <c r="E29" s="2940">
        <f t="shared" ref="E29:F31" si="22">E28/(1+P28)</f>
        <v>377.28276138872161</v>
      </c>
      <c r="F29" s="2940">
        <f t="shared" si="22"/>
        <v>212.02468644236512</v>
      </c>
      <c r="G29" s="3690">
        <v>2011</v>
      </c>
      <c r="H29" s="2950">
        <v>3</v>
      </c>
      <c r="I29" s="2950">
        <v>0.13</v>
      </c>
      <c r="J29" s="2950">
        <v>0.75</v>
      </c>
      <c r="K29" s="2950">
        <v>-0.08</v>
      </c>
      <c r="L29" s="2951">
        <v>0.53</v>
      </c>
      <c r="N29" s="2935">
        <f t="shared" si="11"/>
        <v>1.2999999999999999E-3</v>
      </c>
      <c r="O29" s="2952">
        <f t="shared" si="11"/>
        <v>7.4999999999999997E-3</v>
      </c>
      <c r="P29" s="2952">
        <f t="shared" si="11"/>
        <v>-8.0000000000000004E-4</v>
      </c>
      <c r="Q29" s="2952">
        <f t="shared" si="11"/>
        <v>5.3E-3</v>
      </c>
      <c r="R29" s="2937"/>
      <c r="S29" s="2935"/>
      <c r="T29" s="2936"/>
      <c r="U29" s="2936"/>
      <c r="V29" s="2936"/>
    </row>
    <row r="30" spans="1:34">
      <c r="A30" s="2919" t="s">
        <v>2743</v>
      </c>
      <c r="B30" s="2940">
        <f t="shared" si="21"/>
        <v>275.19335084830601</v>
      </c>
      <c r="C30" s="2940">
        <f t="shared" si="21"/>
        <v>230.18088050139744</v>
      </c>
      <c r="D30" s="2940">
        <f t="shared" si="9"/>
        <v>230.18088050139744</v>
      </c>
      <c r="E30" s="2940">
        <f t="shared" si="22"/>
        <v>377.58482925212331</v>
      </c>
      <c r="F30" s="2940">
        <f t="shared" si="22"/>
        <v>210.90687997847917</v>
      </c>
      <c r="G30" s="3690">
        <v>2011</v>
      </c>
      <c r="H30" s="2925">
        <v>2</v>
      </c>
      <c r="I30" s="2925">
        <v>-0.4</v>
      </c>
      <c r="J30" s="2925">
        <v>0.17</v>
      </c>
      <c r="K30" s="2925">
        <v>-0.57999999999999996</v>
      </c>
      <c r="L30" s="2942">
        <v>-0.2</v>
      </c>
      <c r="N30" s="2935">
        <f t="shared" si="11"/>
        <v>-4.0000000000000001E-3</v>
      </c>
      <c r="O30" s="2952">
        <f t="shared" si="11"/>
        <v>1.7000000000000001E-3</v>
      </c>
      <c r="P30" s="2952">
        <f t="shared" si="11"/>
        <v>-5.7999999999999996E-3</v>
      </c>
      <c r="Q30" s="2952">
        <f t="shared" si="11"/>
        <v>-2E-3</v>
      </c>
      <c r="R30" s="2937"/>
      <c r="S30" s="2935"/>
      <c r="T30" s="2936"/>
      <c r="U30" s="2936"/>
      <c r="V30" s="2936"/>
    </row>
    <row r="31" spans="1:34" ht="13.5" thickBot="1">
      <c r="A31" s="2919" t="s">
        <v>2744</v>
      </c>
      <c r="B31" s="2940">
        <f t="shared" si="21"/>
        <v>276.29854502841971</v>
      </c>
      <c r="C31" s="2940">
        <f t="shared" si="21"/>
        <v>229.79023709833027</v>
      </c>
      <c r="D31" s="2940">
        <f t="shared" si="9"/>
        <v>229.79023709833027</v>
      </c>
      <c r="E31" s="2940">
        <f t="shared" si="22"/>
        <v>379.78759731655936</v>
      </c>
      <c r="F31" s="2940">
        <f t="shared" si="22"/>
        <v>211.32953905659235</v>
      </c>
      <c r="G31" s="3691">
        <v>2011</v>
      </c>
      <c r="H31" s="2924">
        <v>1</v>
      </c>
      <c r="I31" s="2924">
        <v>2.65</v>
      </c>
      <c r="J31" s="2924">
        <v>3.76</v>
      </c>
      <c r="K31" s="2924">
        <v>1.89</v>
      </c>
      <c r="L31" s="2941">
        <v>7.95</v>
      </c>
      <c r="N31" s="2943">
        <f t="shared" si="11"/>
        <v>2.6499999999999999E-2</v>
      </c>
      <c r="O31" s="2944">
        <f t="shared" si="11"/>
        <v>3.7599999999999995E-2</v>
      </c>
      <c r="P31" s="2944">
        <f t="shared" si="11"/>
        <v>1.89E-2</v>
      </c>
      <c r="Q31" s="2944">
        <f t="shared" si="11"/>
        <v>7.9500000000000001E-2</v>
      </c>
      <c r="R31" s="2937"/>
      <c r="S31" s="2943">
        <f>B31/B32-1</f>
        <v>2.713213765211786E-2</v>
      </c>
      <c r="T31" s="2944">
        <f>C31/C32-1</f>
        <v>3.9774828499231862E-2</v>
      </c>
      <c r="U31" s="2944">
        <f>E31/E32-1</f>
        <v>1.8197311840641772E-2</v>
      </c>
      <c r="V31" s="2944">
        <f>F31/F32-1</f>
        <v>7.8211933962205826E-2</v>
      </c>
      <c r="X31" s="2918"/>
      <c r="Y31" s="2918"/>
      <c r="Z31" s="2918"/>
    </row>
    <row r="32" spans="1:34" ht="13.5" thickBot="1">
      <c r="A32" s="2919" t="s">
        <v>2745</v>
      </c>
      <c r="B32" s="2932">
        <v>269</v>
      </c>
      <c r="C32" s="2932">
        <v>221</v>
      </c>
      <c r="D32" s="2932">
        <f t="shared" si="9"/>
        <v>221</v>
      </c>
      <c r="E32" s="2932">
        <v>373</v>
      </c>
      <c r="F32" s="2933">
        <v>196</v>
      </c>
      <c r="G32" s="3689">
        <v>2010</v>
      </c>
      <c r="H32" s="2945">
        <v>4</v>
      </c>
      <c r="I32" s="2945">
        <v>5.72</v>
      </c>
      <c r="J32" s="2945">
        <v>6.57</v>
      </c>
      <c r="K32" s="2945">
        <v>5.72</v>
      </c>
      <c r="L32" s="2946">
        <v>2.72</v>
      </c>
      <c r="N32" s="2935">
        <f t="shared" si="11"/>
        <v>5.7200000000000001E-2</v>
      </c>
      <c r="O32" s="2936">
        <f t="shared" si="11"/>
        <v>6.5700000000000008E-2</v>
      </c>
      <c r="P32" s="2936">
        <f t="shared" si="11"/>
        <v>5.7200000000000001E-2</v>
      </c>
      <c r="Q32" s="2936">
        <f t="shared" si="11"/>
        <v>2.7200000000000002E-2</v>
      </c>
      <c r="R32" s="2937"/>
      <c r="S32" s="2938"/>
      <c r="T32" s="2939"/>
      <c r="U32" s="2939"/>
      <c r="V32" s="2939"/>
      <c r="X32" s="2939"/>
      <c r="Y32" s="2939"/>
      <c r="Z32" s="2939"/>
    </row>
    <row r="33" spans="1:26">
      <c r="A33" s="2919" t="s">
        <v>2746</v>
      </c>
      <c r="B33" s="2940">
        <f t="shared" ref="B33:C35" si="23">B32/(1+N32)</f>
        <v>254.44570563753314</v>
      </c>
      <c r="C33" s="2940">
        <f t="shared" si="23"/>
        <v>207.37543398705074</v>
      </c>
      <c r="D33" s="2940">
        <f t="shared" si="9"/>
        <v>207.37543398705074</v>
      </c>
      <c r="E33" s="2940">
        <f t="shared" ref="E33:F35" si="24">E32/(1+P32)</f>
        <v>352.81876655315932</v>
      </c>
      <c r="F33" s="2940">
        <f t="shared" si="24"/>
        <v>190.809968847352</v>
      </c>
      <c r="G33" s="3690">
        <v>2010</v>
      </c>
      <c r="H33" s="2950">
        <v>3</v>
      </c>
      <c r="I33" s="2950">
        <v>4.7300000000000004</v>
      </c>
      <c r="J33" s="2950">
        <v>3.9</v>
      </c>
      <c r="K33" s="2950">
        <v>5.03</v>
      </c>
      <c r="L33" s="2951">
        <v>4.21</v>
      </c>
      <c r="N33" s="2935">
        <f t="shared" si="11"/>
        <v>4.7300000000000002E-2</v>
      </c>
      <c r="O33" s="2936">
        <f t="shared" si="11"/>
        <v>3.9E-2</v>
      </c>
      <c r="P33" s="2936">
        <f t="shared" si="11"/>
        <v>5.0300000000000004E-2</v>
      </c>
      <c r="Q33" s="2936">
        <f t="shared" si="11"/>
        <v>4.2099999999999999E-2</v>
      </c>
      <c r="R33" s="2937"/>
      <c r="S33" s="2935"/>
      <c r="T33" s="2936"/>
      <c r="U33" s="2936"/>
      <c r="V33" s="2936"/>
    </row>
    <row r="34" spans="1:26">
      <c r="A34" s="2919" t="s">
        <v>2747</v>
      </c>
      <c r="B34" s="2940">
        <f t="shared" si="23"/>
        <v>242.95398227588385</v>
      </c>
      <c r="C34" s="2940">
        <f t="shared" si="23"/>
        <v>199.59137053614126</v>
      </c>
      <c r="D34" s="2940">
        <f t="shared" si="9"/>
        <v>199.59137053614126</v>
      </c>
      <c r="E34" s="2940">
        <f t="shared" si="24"/>
        <v>335.92189522342125</v>
      </c>
      <c r="F34" s="2940">
        <f t="shared" si="24"/>
        <v>183.10139991109489</v>
      </c>
      <c r="G34" s="3690">
        <v>2010</v>
      </c>
      <c r="H34" s="2925">
        <v>2</v>
      </c>
      <c r="I34" s="2925">
        <v>4.6900000000000004</v>
      </c>
      <c r="J34" s="2925">
        <v>3.55</v>
      </c>
      <c r="K34" s="2925">
        <v>5.07</v>
      </c>
      <c r="L34" s="2942">
        <v>4.2300000000000004</v>
      </c>
      <c r="N34" s="2935">
        <f t="shared" si="11"/>
        <v>4.6900000000000004E-2</v>
      </c>
      <c r="O34" s="2936">
        <f t="shared" si="11"/>
        <v>3.5499999999999997E-2</v>
      </c>
      <c r="P34" s="2936">
        <f t="shared" si="11"/>
        <v>5.0700000000000002E-2</v>
      </c>
      <c r="Q34" s="2936">
        <f t="shared" si="11"/>
        <v>4.2300000000000004E-2</v>
      </c>
      <c r="R34" s="2937"/>
      <c r="S34" s="2935"/>
      <c r="T34" s="2936"/>
      <c r="U34" s="2936"/>
      <c r="V34" s="2936"/>
    </row>
    <row r="35" spans="1:26" ht="13.5" thickBot="1">
      <c r="A35" s="2919" t="s">
        <v>2748</v>
      </c>
      <c r="B35" s="2940">
        <f t="shared" si="23"/>
        <v>232.06990378821649</v>
      </c>
      <c r="C35" s="2940">
        <f t="shared" si="23"/>
        <v>192.74878854286936</v>
      </c>
      <c r="D35" s="2940">
        <f t="shared" si="9"/>
        <v>192.74878854286936</v>
      </c>
      <c r="E35" s="2940">
        <f t="shared" si="24"/>
        <v>319.71247284992984</v>
      </c>
      <c r="F35" s="2940">
        <f t="shared" si="24"/>
        <v>175.67053622862409</v>
      </c>
      <c r="G35" s="3691">
        <v>2010</v>
      </c>
      <c r="H35" s="2924">
        <v>1</v>
      </c>
      <c r="I35" s="2924">
        <v>5.4</v>
      </c>
      <c r="J35" s="2924">
        <v>3.2</v>
      </c>
      <c r="K35" s="2924">
        <v>6.16</v>
      </c>
      <c r="L35" s="2941">
        <v>4.51</v>
      </c>
      <c r="N35" s="2935">
        <f t="shared" si="11"/>
        <v>5.4000000000000006E-2</v>
      </c>
      <c r="O35" s="2936">
        <f t="shared" si="11"/>
        <v>3.2000000000000001E-2</v>
      </c>
      <c r="P35" s="2936">
        <f t="shared" si="11"/>
        <v>6.1600000000000002E-2</v>
      </c>
      <c r="Q35" s="2936">
        <f t="shared" si="11"/>
        <v>4.5100000000000001E-2</v>
      </c>
      <c r="R35" s="2937"/>
      <c r="S35" s="2943">
        <f>B35/B36-1</f>
        <v>5.4863199037347599E-2</v>
      </c>
      <c r="T35" s="2944">
        <f>C35/C36-1</f>
        <v>3.0742184721226584E-2</v>
      </c>
      <c r="U35" s="2944">
        <f>E35/E36-1</f>
        <v>6.2167683886810154E-2</v>
      </c>
      <c r="V35" s="2944">
        <f>F35/F36-1</f>
        <v>4.5657953741810031E-2</v>
      </c>
      <c r="X35" s="2918"/>
      <c r="Y35" s="2918"/>
      <c r="Z35" s="2918"/>
    </row>
    <row r="36" spans="1:26" ht="13.5" thickBot="1">
      <c r="A36" s="2919" t="s">
        <v>2749</v>
      </c>
      <c r="B36" s="2932">
        <v>220</v>
      </c>
      <c r="C36" s="2932">
        <v>187</v>
      </c>
      <c r="D36" s="2932">
        <f t="shared" si="9"/>
        <v>187</v>
      </c>
      <c r="E36" s="2932">
        <v>301</v>
      </c>
      <c r="F36" s="2933">
        <v>168</v>
      </c>
      <c r="G36" s="3689">
        <v>2009</v>
      </c>
      <c r="H36" s="2945">
        <v>4</v>
      </c>
      <c r="I36" s="2945">
        <v>2.2999999999999998</v>
      </c>
      <c r="J36" s="2945">
        <v>1.04</v>
      </c>
      <c r="K36" s="2945">
        <v>2.84</v>
      </c>
      <c r="L36" s="2946">
        <v>0.67</v>
      </c>
      <c r="N36" s="2947">
        <f t="shared" si="11"/>
        <v>2.3E-2</v>
      </c>
      <c r="O36" s="2948">
        <f t="shared" si="11"/>
        <v>1.04E-2</v>
      </c>
      <c r="P36" s="2948">
        <f t="shared" si="11"/>
        <v>2.8399999999999998E-2</v>
      </c>
      <c r="Q36" s="2948">
        <f t="shared" si="11"/>
        <v>6.7000000000000002E-3</v>
      </c>
      <c r="R36" s="2937"/>
      <c r="S36" s="2938"/>
      <c r="T36" s="2939"/>
      <c r="U36" s="2939"/>
      <c r="V36" s="2939"/>
      <c r="X36" s="2939"/>
      <c r="Y36" s="2939"/>
      <c r="Z36" s="2939"/>
    </row>
    <row r="37" spans="1:26">
      <c r="A37" s="2919" t="s">
        <v>2750</v>
      </c>
      <c r="B37" s="2940">
        <f t="shared" ref="B37:C39" si="25">B36/(1+N36)</f>
        <v>215.05376344086022</v>
      </c>
      <c r="C37" s="2940">
        <f t="shared" si="25"/>
        <v>185.0752177355503</v>
      </c>
      <c r="D37" s="2940">
        <f t="shared" si="9"/>
        <v>185.0752177355503</v>
      </c>
      <c r="E37" s="2940">
        <f t="shared" ref="E37:F39" si="26">E36/(1+P36)</f>
        <v>292.68767016725008</v>
      </c>
      <c r="F37" s="2940">
        <f t="shared" si="26"/>
        <v>166.88189132810174</v>
      </c>
      <c r="G37" s="3690">
        <v>2009</v>
      </c>
      <c r="H37" s="2950">
        <v>3</v>
      </c>
      <c r="I37" s="2950">
        <v>2.1</v>
      </c>
      <c r="J37" s="2950">
        <v>1.86</v>
      </c>
      <c r="K37" s="2950">
        <v>2.29</v>
      </c>
      <c r="L37" s="2951">
        <v>0.85</v>
      </c>
      <c r="N37" s="2935">
        <f t="shared" si="11"/>
        <v>2.1000000000000001E-2</v>
      </c>
      <c r="O37" s="2952">
        <f t="shared" si="11"/>
        <v>1.8600000000000002E-2</v>
      </c>
      <c r="P37" s="2952">
        <f t="shared" si="11"/>
        <v>2.29E-2</v>
      </c>
      <c r="Q37" s="2952">
        <f t="shared" si="11"/>
        <v>8.5000000000000006E-3</v>
      </c>
      <c r="R37" s="2937"/>
      <c r="S37" s="2935"/>
      <c r="T37" s="2936"/>
      <c r="U37" s="2936"/>
      <c r="V37" s="2936"/>
    </row>
    <row r="38" spans="1:26">
      <c r="A38" s="2919" t="s">
        <v>2751</v>
      </c>
      <c r="B38" s="2940">
        <f t="shared" si="25"/>
        <v>210.630522469011</v>
      </c>
      <c r="C38" s="2940">
        <f t="shared" si="25"/>
        <v>181.69567812247232</v>
      </c>
      <c r="D38" s="2940">
        <f t="shared" si="9"/>
        <v>181.69567812247232</v>
      </c>
      <c r="E38" s="2940">
        <f t="shared" si="26"/>
        <v>286.13517466736738</v>
      </c>
      <c r="F38" s="2940">
        <f t="shared" si="26"/>
        <v>165.47535084591149</v>
      </c>
      <c r="G38" s="3690">
        <v>2009</v>
      </c>
      <c r="H38" s="2925">
        <v>2</v>
      </c>
      <c r="I38" s="2925">
        <v>0.86</v>
      </c>
      <c r="J38" s="2925">
        <v>-1.1299999999999999</v>
      </c>
      <c r="K38" s="2925">
        <v>1.79</v>
      </c>
      <c r="L38" s="2942">
        <v>-2.0699999999999998</v>
      </c>
      <c r="N38" s="2935">
        <f t="shared" si="11"/>
        <v>8.6E-3</v>
      </c>
      <c r="O38" s="2952">
        <f t="shared" si="11"/>
        <v>-1.1299999999999999E-2</v>
      </c>
      <c r="P38" s="2952">
        <f t="shared" si="11"/>
        <v>1.7899999999999999E-2</v>
      </c>
      <c r="Q38" s="2952">
        <f t="shared" si="11"/>
        <v>-2.07E-2</v>
      </c>
      <c r="R38" s="2937"/>
      <c r="S38" s="2935"/>
      <c r="T38" s="2936"/>
      <c r="U38" s="2936"/>
      <c r="V38" s="2936"/>
    </row>
    <row r="39" spans="1:26">
      <c r="A39" s="2919" t="s">
        <v>2752</v>
      </c>
      <c r="B39" s="2940">
        <f t="shared" si="25"/>
        <v>208.83454537875372</v>
      </c>
      <c r="C39" s="2940">
        <f t="shared" si="25"/>
        <v>183.77230517090351</v>
      </c>
      <c r="D39" s="2940">
        <f t="shared" si="9"/>
        <v>183.77230517090351</v>
      </c>
      <c r="E39" s="2940">
        <f t="shared" si="26"/>
        <v>281.10342338870947</v>
      </c>
      <c r="F39" s="2940">
        <f t="shared" si="26"/>
        <v>168.97309388942256</v>
      </c>
      <c r="G39" s="3691">
        <v>2009</v>
      </c>
      <c r="H39" s="2924">
        <v>1</v>
      </c>
      <c r="I39" s="2924">
        <v>-2.64</v>
      </c>
      <c r="J39" s="2924">
        <v>-2.5299999999999998</v>
      </c>
      <c r="K39" s="2924">
        <v>-3.02</v>
      </c>
      <c r="L39" s="2941">
        <v>1.52</v>
      </c>
      <c r="N39" s="2943">
        <f t="shared" si="11"/>
        <v>-2.64E-2</v>
      </c>
      <c r="O39" s="2944">
        <f t="shared" si="11"/>
        <v>-2.53E-2</v>
      </c>
      <c r="P39" s="2944">
        <f t="shared" si="11"/>
        <v>-3.0200000000000001E-2</v>
      </c>
      <c r="Q39" s="2944">
        <f t="shared" si="11"/>
        <v>1.52E-2</v>
      </c>
      <c r="R39" s="2937"/>
      <c r="S39" s="2943">
        <f>B39/B40-1</f>
        <v>-2.4137638417038754E-2</v>
      </c>
      <c r="T39" s="2944">
        <f>C39/C40-1</f>
        <v>-2.248773845264096E-2</v>
      </c>
      <c r="U39" s="2944">
        <f>E39/E40-1</f>
        <v>-2.7323794502735366E-2</v>
      </c>
      <c r="V39" s="2944">
        <f>F39/F40-1</f>
        <v>1.7910204153148035E-2</v>
      </c>
      <c r="X39" s="2918"/>
      <c r="Y39" s="2918"/>
      <c r="Z39" s="2918"/>
    </row>
    <row r="40" spans="1:26" ht="13.5" thickBot="1">
      <c r="A40" s="2919" t="s">
        <v>2753</v>
      </c>
      <c r="B40" s="2974">
        <v>214</v>
      </c>
      <c r="C40" s="2974">
        <v>188</v>
      </c>
      <c r="D40" s="2974">
        <f t="shared" si="9"/>
        <v>188</v>
      </c>
      <c r="E40" s="2974">
        <v>289</v>
      </c>
      <c r="F40" s="2975">
        <v>166</v>
      </c>
      <c r="G40" s="3689">
        <v>2008</v>
      </c>
      <c r="H40" s="2945">
        <v>4</v>
      </c>
      <c r="I40" s="2945">
        <v>1.73</v>
      </c>
      <c r="J40" s="2945">
        <v>0.03</v>
      </c>
      <c r="K40" s="2945">
        <v>2.59</v>
      </c>
      <c r="L40" s="2946">
        <v>-1.66</v>
      </c>
      <c r="N40" s="2935">
        <f t="shared" si="11"/>
        <v>1.7299999999999999E-2</v>
      </c>
      <c r="O40" s="2936">
        <f t="shared" si="11"/>
        <v>2.9999999999999997E-4</v>
      </c>
      <c r="P40" s="2936">
        <f t="shared" si="11"/>
        <v>2.5899999999999999E-2</v>
      </c>
      <c r="Q40" s="2936">
        <f t="shared" si="11"/>
        <v>-1.66E-2</v>
      </c>
      <c r="R40" s="2937"/>
      <c r="S40" s="2938"/>
      <c r="T40" s="2939"/>
      <c r="U40" s="2939"/>
      <c r="V40" s="2939"/>
      <c r="X40" s="2939"/>
      <c r="Y40" s="2939"/>
      <c r="Z40" s="2939"/>
    </row>
    <row r="41" spans="1:26">
      <c r="A41" s="2919" t="s">
        <v>2754</v>
      </c>
      <c r="B41" s="2940">
        <f t="shared" ref="B41:C43" si="27">B40/(1+N40)</f>
        <v>210.36075887152265</v>
      </c>
      <c r="C41" s="2940">
        <f t="shared" si="27"/>
        <v>187.94361691492554</v>
      </c>
      <c r="D41" s="2940">
        <f t="shared" si="9"/>
        <v>187.94361691492554</v>
      </c>
      <c r="E41" s="2940">
        <f t="shared" ref="E41:F43" si="28">E40/(1+P40)</f>
        <v>281.70386977288234</v>
      </c>
      <c r="F41" s="2940">
        <f t="shared" si="28"/>
        <v>168.80211511083994</v>
      </c>
      <c r="G41" s="3690">
        <v>2008</v>
      </c>
      <c r="H41" s="2950">
        <v>3</v>
      </c>
      <c r="I41" s="2950">
        <v>1.96</v>
      </c>
      <c r="J41" s="2950">
        <v>2.36</v>
      </c>
      <c r="K41" s="2950">
        <v>1.82</v>
      </c>
      <c r="L41" s="2951">
        <v>2.2200000000000002</v>
      </c>
      <c r="N41" s="2935">
        <f t="shared" si="11"/>
        <v>1.9599999999999999E-2</v>
      </c>
      <c r="O41" s="2936">
        <f t="shared" si="11"/>
        <v>2.3599999999999999E-2</v>
      </c>
      <c r="P41" s="2936">
        <f t="shared" si="11"/>
        <v>1.8200000000000001E-2</v>
      </c>
      <c r="Q41" s="2936">
        <f t="shared" si="11"/>
        <v>2.2200000000000001E-2</v>
      </c>
      <c r="R41" s="2937"/>
      <c r="S41" s="2935"/>
      <c r="T41" s="2936"/>
      <c r="U41" s="2936"/>
      <c r="V41" s="2936"/>
    </row>
    <row r="42" spans="1:26">
      <c r="A42" s="2919" t="s">
        <v>2755</v>
      </c>
      <c r="B42" s="2940">
        <f t="shared" si="27"/>
        <v>206.31694671589116</v>
      </c>
      <c r="C42" s="2940">
        <f t="shared" si="27"/>
        <v>183.61041121036101</v>
      </c>
      <c r="D42" s="2940">
        <f t="shared" si="9"/>
        <v>183.61041121036101</v>
      </c>
      <c r="E42" s="2940">
        <f t="shared" si="28"/>
        <v>276.66850301795557</v>
      </c>
      <c r="F42" s="2940">
        <f t="shared" si="28"/>
        <v>165.1360938278614</v>
      </c>
      <c r="G42" s="3690">
        <v>2008</v>
      </c>
      <c r="H42" s="2925">
        <v>2</v>
      </c>
      <c r="I42" s="2925">
        <v>4.93</v>
      </c>
      <c r="J42" s="2925">
        <v>7.38</v>
      </c>
      <c r="K42" s="2925">
        <v>3.98</v>
      </c>
      <c r="L42" s="2942">
        <v>6.86</v>
      </c>
      <c r="N42" s="2935">
        <f t="shared" si="11"/>
        <v>4.9299999999999997E-2</v>
      </c>
      <c r="O42" s="2936">
        <f t="shared" si="11"/>
        <v>7.3800000000000004E-2</v>
      </c>
      <c r="P42" s="2936">
        <f t="shared" si="11"/>
        <v>3.9800000000000002E-2</v>
      </c>
      <c r="Q42" s="2936">
        <f t="shared" si="11"/>
        <v>6.8600000000000008E-2</v>
      </c>
      <c r="R42" s="2937"/>
      <c r="S42" s="2935"/>
      <c r="T42" s="2936"/>
      <c r="U42" s="2936"/>
      <c r="V42" s="2936"/>
    </row>
    <row r="43" spans="1:26" s="2980" customFormat="1" ht="13.5" thickBot="1">
      <c r="A43" s="2919" t="s">
        <v>2756</v>
      </c>
      <c r="B43" s="2977">
        <f t="shared" si="27"/>
        <v>196.62341248059772</v>
      </c>
      <c r="C43" s="2977">
        <f t="shared" si="27"/>
        <v>170.99125648199012</v>
      </c>
      <c r="D43" s="2977">
        <f t="shared" si="9"/>
        <v>170.99125648199012</v>
      </c>
      <c r="E43" s="2977">
        <f t="shared" si="28"/>
        <v>266.07857570490052</v>
      </c>
      <c r="F43" s="2977">
        <f t="shared" si="28"/>
        <v>154.53499328828505</v>
      </c>
      <c r="G43" s="3691">
        <v>2008</v>
      </c>
      <c r="H43" s="2978">
        <v>1</v>
      </c>
      <c r="I43" s="2978">
        <v>4.1399999999999997</v>
      </c>
      <c r="J43" s="2978">
        <v>3.45</v>
      </c>
      <c r="K43" s="2978">
        <v>4.95</v>
      </c>
      <c r="L43" s="2979">
        <v>4.82</v>
      </c>
      <c r="N43" s="2981">
        <f t="shared" si="11"/>
        <v>4.1399999999999999E-2</v>
      </c>
      <c r="O43" s="2982">
        <f t="shared" si="11"/>
        <v>3.4500000000000003E-2</v>
      </c>
      <c r="P43" s="2982">
        <f t="shared" si="11"/>
        <v>4.9500000000000002E-2</v>
      </c>
      <c r="Q43" s="2982">
        <f t="shared" si="11"/>
        <v>4.82E-2</v>
      </c>
      <c r="R43" s="2983"/>
      <c r="S43" s="2981">
        <f>B43/B44-1</f>
        <v>4.5869215322328349E-2</v>
      </c>
      <c r="T43" s="2982">
        <f>C43/C44-1</f>
        <v>3.6310645345394743E-2</v>
      </c>
      <c r="U43" s="2982">
        <f>E43/E44-1</f>
        <v>4.7553447657088688E-2</v>
      </c>
      <c r="V43" s="2982">
        <f>F43/F44-1</f>
        <v>4.4155360055980086E-2</v>
      </c>
      <c r="X43" s="2984"/>
      <c r="Y43" s="2984"/>
      <c r="Z43" s="2984"/>
    </row>
    <row r="44" spans="1:26" ht="13.5" thickBot="1">
      <c r="A44" s="2919" t="s">
        <v>2757</v>
      </c>
      <c r="B44" s="2932">
        <v>188</v>
      </c>
      <c r="C44" s="2932">
        <v>165</v>
      </c>
      <c r="D44" s="2932">
        <f t="shared" si="9"/>
        <v>165</v>
      </c>
      <c r="E44" s="2932">
        <v>254</v>
      </c>
      <c r="F44" s="2933">
        <v>148</v>
      </c>
      <c r="G44" s="3689">
        <v>2007</v>
      </c>
      <c r="H44" s="2985">
        <v>4</v>
      </c>
      <c r="I44" s="2985">
        <v>5.51</v>
      </c>
      <c r="J44" s="2985">
        <v>4.8899999999999997</v>
      </c>
      <c r="K44" s="2985">
        <v>6.43</v>
      </c>
      <c r="L44" s="2986">
        <v>5.36</v>
      </c>
      <c r="N44" s="2987">
        <f t="shared" ref="N44:O47" si="29">B44/B45-1</f>
        <v>4.1339718365245526E-2</v>
      </c>
      <c r="O44" s="2988">
        <f t="shared" si="29"/>
        <v>4.0324492593776018E-2</v>
      </c>
      <c r="P44" s="2988">
        <f t="shared" ref="P44:Q47" si="30">E44/E45-1</f>
        <v>6.1625555347990968E-2</v>
      </c>
      <c r="Q44" s="2988">
        <f t="shared" si="30"/>
        <v>4.6757569250590603E-2</v>
      </c>
      <c r="R44" s="2937"/>
      <c r="S44" s="2938"/>
      <c r="T44" s="2939"/>
      <c r="U44" s="2939"/>
      <c r="V44" s="2939"/>
      <c r="X44" s="2939"/>
      <c r="Y44" s="2939"/>
      <c r="Z44" s="2939"/>
    </row>
    <row r="45" spans="1:26">
      <c r="A45" s="2919" t="s">
        <v>2758</v>
      </c>
      <c r="B45" s="2940">
        <f t="shared" ref="B45:C47" si="31">B46+(B$44-B$48)*I45/SUM(I$44:I$47)</f>
        <v>180.5366651097618</v>
      </c>
      <c r="C45" s="2940">
        <f t="shared" si="31"/>
        <v>158.60435967302453</v>
      </c>
      <c r="D45" s="2940">
        <f t="shared" si="9"/>
        <v>158.60435967302453</v>
      </c>
      <c r="E45" s="2940">
        <f t="shared" ref="E45:F47" si="32">E46+(E$44-E$48)*K45/SUM(K$44:K$47)</f>
        <v>239.25573260785075</v>
      </c>
      <c r="F45" s="2940">
        <f t="shared" si="32"/>
        <v>141.38899430740037</v>
      </c>
      <c r="G45" s="3690">
        <v>2007</v>
      </c>
      <c r="H45" s="2950">
        <v>3</v>
      </c>
      <c r="I45" s="2950">
        <v>8.65</v>
      </c>
      <c r="J45" s="2950">
        <v>8.06</v>
      </c>
      <c r="K45" s="2950">
        <v>9.94</v>
      </c>
      <c r="L45" s="2951">
        <v>5.8</v>
      </c>
      <c r="N45" s="2987">
        <f t="shared" si="29"/>
        <v>6.940217571740015E-2</v>
      </c>
      <c r="O45" s="2988">
        <f t="shared" si="29"/>
        <v>7.1197482471153428E-2</v>
      </c>
      <c r="P45" s="2988">
        <f t="shared" si="30"/>
        <v>0.10529679922579582</v>
      </c>
      <c r="Q45" s="2988">
        <f t="shared" si="30"/>
        <v>5.3292245059512133E-2</v>
      </c>
      <c r="R45" s="2937"/>
      <c r="S45" s="2935"/>
      <c r="T45" s="2936"/>
      <c r="U45" s="2936"/>
      <c r="V45" s="2936"/>
      <c r="X45" s="2989"/>
      <c r="Y45" s="2989"/>
      <c r="Z45" s="2989"/>
    </row>
    <row r="46" spans="1:26">
      <c r="A46" s="2919" t="s">
        <v>2759</v>
      </c>
      <c r="B46" s="2940">
        <f t="shared" si="31"/>
        <v>168.82017748715555</v>
      </c>
      <c r="C46" s="2940">
        <f t="shared" si="31"/>
        <v>148.06267029972753</v>
      </c>
      <c r="D46" s="2940">
        <f t="shared" si="9"/>
        <v>148.06267029972753</v>
      </c>
      <c r="E46" s="2940">
        <f t="shared" si="32"/>
        <v>216.46288379323747</v>
      </c>
      <c r="F46" s="2940">
        <f t="shared" si="32"/>
        <v>134.23529411764704</v>
      </c>
      <c r="G46" s="3690">
        <v>2007</v>
      </c>
      <c r="H46" s="2925">
        <v>2</v>
      </c>
      <c r="I46" s="2925">
        <v>3.67</v>
      </c>
      <c r="J46" s="2925">
        <v>2.3199999999999998</v>
      </c>
      <c r="K46" s="2925">
        <v>5.0199999999999996</v>
      </c>
      <c r="L46" s="2942">
        <v>6.71</v>
      </c>
      <c r="N46" s="2987">
        <f t="shared" si="29"/>
        <v>3.0339138143848032E-2</v>
      </c>
      <c r="O46" s="2988">
        <f t="shared" si="29"/>
        <v>2.0922341588790472E-2</v>
      </c>
      <c r="P46" s="2988">
        <f t="shared" si="30"/>
        <v>5.6164796592717003E-2</v>
      </c>
      <c r="Q46" s="2988">
        <f t="shared" si="30"/>
        <v>6.5704536723887319E-2</v>
      </c>
      <c r="R46" s="2937"/>
      <c r="S46" s="2935"/>
      <c r="T46" s="2936"/>
      <c r="U46" s="2936"/>
      <c r="V46" s="2936"/>
      <c r="X46" s="2989"/>
      <c r="Y46" s="2989"/>
      <c r="Z46" s="2989"/>
    </row>
    <row r="47" spans="1:26">
      <c r="A47" s="2919" t="s">
        <v>2760</v>
      </c>
      <c r="B47" s="2940">
        <f t="shared" si="31"/>
        <v>163.84913591779542</v>
      </c>
      <c r="C47" s="2940">
        <f t="shared" si="31"/>
        <v>145.0283378746594</v>
      </c>
      <c r="D47" s="2940">
        <f t="shared" si="9"/>
        <v>145.0283378746594</v>
      </c>
      <c r="E47" s="2940">
        <f t="shared" si="32"/>
        <v>204.95180722891567</v>
      </c>
      <c r="F47" s="2940">
        <f t="shared" si="32"/>
        <v>125.95920303605313</v>
      </c>
      <c r="G47" s="3691">
        <v>2007</v>
      </c>
      <c r="H47" s="2924">
        <v>1</v>
      </c>
      <c r="I47" s="2924">
        <v>3.58</v>
      </c>
      <c r="J47" s="2924">
        <v>3.08</v>
      </c>
      <c r="K47" s="2924">
        <v>4.34</v>
      </c>
      <c r="L47" s="2941">
        <v>3.21</v>
      </c>
      <c r="N47" s="2990">
        <f t="shared" si="29"/>
        <v>3.0497710174814063E-2</v>
      </c>
      <c r="O47" s="2991">
        <f t="shared" si="29"/>
        <v>2.8569772160704998E-2</v>
      </c>
      <c r="P47" s="2991">
        <f t="shared" si="30"/>
        <v>5.1034908866234296E-2</v>
      </c>
      <c r="Q47" s="2991">
        <f t="shared" si="30"/>
        <v>3.245248390207478E-2</v>
      </c>
      <c r="R47" s="2937"/>
      <c r="S47" s="2943">
        <f>B47/B48-1</f>
        <v>3.0497710174814063E-2</v>
      </c>
      <c r="T47" s="2944">
        <f>C47/C48-1</f>
        <v>2.8569772160704998E-2</v>
      </c>
      <c r="U47" s="2944">
        <f>E47/E48-1</f>
        <v>5.1034908866234296E-2</v>
      </c>
      <c r="V47" s="2944">
        <f>F47/F48-1</f>
        <v>3.245248390207478E-2</v>
      </c>
      <c r="X47" s="2989"/>
      <c r="Y47" s="2989"/>
      <c r="Z47" s="2989"/>
    </row>
    <row r="48" spans="1:26" ht="13.5" thickBot="1">
      <c r="A48" s="2919" t="s">
        <v>2761</v>
      </c>
      <c r="B48" s="2953">
        <v>159</v>
      </c>
      <c r="C48" s="2953">
        <v>141</v>
      </c>
      <c r="D48" s="2953">
        <f t="shared" si="9"/>
        <v>141</v>
      </c>
      <c r="E48" s="2953">
        <v>195</v>
      </c>
      <c r="F48" s="2954">
        <v>122</v>
      </c>
      <c r="G48" s="3689">
        <v>2006</v>
      </c>
      <c r="H48" s="2945">
        <v>4</v>
      </c>
      <c r="I48" s="2945">
        <v>3.79</v>
      </c>
      <c r="J48" s="2945">
        <v>2.21</v>
      </c>
      <c r="K48" s="2945">
        <v>5.65</v>
      </c>
      <c r="L48" s="2946">
        <v>5.41</v>
      </c>
      <c r="N48" s="2987">
        <f t="shared" ref="N48:O51" si="33">I48/SUM(I$48:I$51)*(B$48/B$52-1)</f>
        <v>7.245466462748526E-2</v>
      </c>
      <c r="O48" s="2988">
        <f t="shared" si="33"/>
        <v>2.3237230038062766E-2</v>
      </c>
      <c r="P48" s="2988">
        <f t="shared" ref="P48:Q51" si="34">K48/SUM(K$48:K$51)*(E$48/E$52-1)</f>
        <v>0.16146893866323722</v>
      </c>
      <c r="Q48" s="2988">
        <f t="shared" si="34"/>
        <v>5.0755230321793784E-2</v>
      </c>
      <c r="R48" s="2937"/>
      <c r="S48" s="2938"/>
      <c r="T48" s="2939"/>
      <c r="U48" s="2939"/>
      <c r="V48" s="2939"/>
      <c r="X48" s="2989"/>
      <c r="Y48" s="2989"/>
      <c r="Z48" s="2989"/>
    </row>
    <row r="49" spans="1:26">
      <c r="A49" s="2919" t="s">
        <v>2762</v>
      </c>
      <c r="B49" s="2940">
        <f t="shared" ref="B49:C51" si="35">B50+(B$48-B$52)*I49/SUM(I$48:I$51)</f>
        <v>149.00125628140702</v>
      </c>
      <c r="C49" s="2940">
        <f t="shared" si="35"/>
        <v>137.95592286501378</v>
      </c>
      <c r="D49" s="2940">
        <f t="shared" si="9"/>
        <v>137.95592286501378</v>
      </c>
      <c r="E49" s="2940">
        <f t="shared" ref="E49:F51" si="36">E50+(E$48-E$52)*K49/SUM(K$48:K$51)</f>
        <v>169.97231450719823</v>
      </c>
      <c r="F49" s="2940">
        <f t="shared" si="36"/>
        <v>116.21390374331551</v>
      </c>
      <c r="G49" s="3690">
        <v>2006</v>
      </c>
      <c r="H49" s="2950">
        <v>3</v>
      </c>
      <c r="I49" s="2950">
        <v>0.92</v>
      </c>
      <c r="J49" s="2950">
        <v>1.08</v>
      </c>
      <c r="K49" s="2950">
        <v>0.73</v>
      </c>
      <c r="L49" s="2951">
        <v>1.08</v>
      </c>
      <c r="N49" s="2987">
        <f t="shared" si="33"/>
        <v>1.7587939698492462E-2</v>
      </c>
      <c r="O49" s="2988">
        <f t="shared" si="33"/>
        <v>1.1355750425840628E-2</v>
      </c>
      <c r="P49" s="2988">
        <f t="shared" si="34"/>
        <v>2.0862358446754544E-2</v>
      </c>
      <c r="Q49" s="2988">
        <f t="shared" si="34"/>
        <v>1.0132282578103011E-2</v>
      </c>
      <c r="R49" s="2937"/>
      <c r="S49" s="2935"/>
      <c r="T49" s="2936"/>
      <c r="U49" s="2936"/>
      <c r="V49" s="2936"/>
      <c r="X49" s="2989"/>
      <c r="Y49" s="2989"/>
      <c r="Z49" s="2989"/>
    </row>
    <row r="50" spans="1:26">
      <c r="A50" s="2919" t="s">
        <v>2763</v>
      </c>
      <c r="B50" s="2940">
        <f t="shared" si="35"/>
        <v>146.57412060301507</v>
      </c>
      <c r="C50" s="2940">
        <f t="shared" si="35"/>
        <v>136.46831955922866</v>
      </c>
      <c r="D50" s="2940">
        <f t="shared" si="9"/>
        <v>136.46831955922866</v>
      </c>
      <c r="E50" s="2940">
        <f t="shared" si="36"/>
        <v>166.73864894795128</v>
      </c>
      <c r="F50" s="2940">
        <f t="shared" si="36"/>
        <v>115.05882352941177</v>
      </c>
      <c r="G50" s="3690">
        <v>2006</v>
      </c>
      <c r="H50" s="2925">
        <v>2</v>
      </c>
      <c r="I50" s="2925">
        <v>0.96</v>
      </c>
      <c r="J50" s="2925">
        <v>0.25</v>
      </c>
      <c r="K50" s="2925">
        <v>1.9</v>
      </c>
      <c r="L50" s="2942">
        <v>0.95</v>
      </c>
      <c r="N50" s="2987">
        <f t="shared" si="33"/>
        <v>1.8352632728861701E-2</v>
      </c>
      <c r="O50" s="2988">
        <f t="shared" si="33"/>
        <v>2.6286459319075526E-3</v>
      </c>
      <c r="P50" s="2988">
        <f t="shared" si="34"/>
        <v>5.4299289107991269E-2</v>
      </c>
      <c r="Q50" s="2988">
        <f t="shared" si="34"/>
        <v>8.9126559714794995E-3</v>
      </c>
      <c r="R50" s="2937"/>
      <c r="S50" s="2935"/>
      <c r="T50" s="2936"/>
      <c r="U50" s="2936"/>
      <c r="V50" s="2936"/>
      <c r="X50" s="2989"/>
      <c r="Y50" s="2989"/>
      <c r="Z50" s="2989"/>
    </row>
    <row r="51" spans="1:26">
      <c r="A51" s="2919" t="s">
        <v>2764</v>
      </c>
      <c r="B51" s="2940">
        <f t="shared" si="35"/>
        <v>144.04145728643215</v>
      </c>
      <c r="C51" s="2940">
        <f t="shared" si="35"/>
        <v>136.12396694214877</v>
      </c>
      <c r="D51" s="2940">
        <f t="shared" si="9"/>
        <v>136.12396694214877</v>
      </c>
      <c r="E51" s="2940">
        <f t="shared" si="36"/>
        <v>158.32225913621264</v>
      </c>
      <c r="F51" s="2940">
        <f t="shared" si="36"/>
        <v>114.04278074866311</v>
      </c>
      <c r="G51" s="3691">
        <v>2006</v>
      </c>
      <c r="H51" s="2924">
        <v>1</v>
      </c>
      <c r="I51" s="2924">
        <v>2.29</v>
      </c>
      <c r="J51" s="2924">
        <v>3.72</v>
      </c>
      <c r="K51" s="2924">
        <v>0.75</v>
      </c>
      <c r="L51" s="2941">
        <v>0.04</v>
      </c>
      <c r="N51" s="2990">
        <f t="shared" si="33"/>
        <v>4.3778675988638847E-2</v>
      </c>
      <c r="O51" s="2991">
        <f t="shared" si="33"/>
        <v>3.9114251466784385E-2</v>
      </c>
      <c r="P51" s="2991">
        <f t="shared" si="34"/>
        <v>2.1433929911049188E-2</v>
      </c>
      <c r="Q51" s="2991">
        <f t="shared" si="34"/>
        <v>3.7526972511492629E-4</v>
      </c>
      <c r="R51" s="2937"/>
      <c r="S51" s="2943">
        <f>B51/B52-1</f>
        <v>4.3778675988638716E-2</v>
      </c>
      <c r="T51" s="2944">
        <f>C51/C52-1</f>
        <v>3.91142514667846E-2</v>
      </c>
      <c r="U51" s="2944">
        <f>E51/E52-1</f>
        <v>2.143392991104931E-2</v>
      </c>
      <c r="V51" s="2944">
        <f>F51/F52-1</f>
        <v>3.7526972511492396E-4</v>
      </c>
      <c r="X51" s="2989"/>
      <c r="Y51" s="2989"/>
      <c r="Z51" s="2989"/>
    </row>
    <row r="52" spans="1:26" ht="13.5" thickBot="1">
      <c r="A52" s="2919" t="s">
        <v>2765</v>
      </c>
      <c r="B52" s="2953">
        <v>138</v>
      </c>
      <c r="C52" s="2953">
        <v>131</v>
      </c>
      <c r="D52" s="2953">
        <f t="shared" si="9"/>
        <v>131</v>
      </c>
      <c r="E52" s="2953">
        <v>155</v>
      </c>
      <c r="F52" s="2954">
        <v>114</v>
      </c>
      <c r="G52" s="3689">
        <v>2005</v>
      </c>
      <c r="H52" s="2945">
        <v>4</v>
      </c>
      <c r="I52" s="2945">
        <v>3.29</v>
      </c>
      <c r="J52" s="2945">
        <v>1.44</v>
      </c>
      <c r="K52" s="2945">
        <v>0.66</v>
      </c>
      <c r="L52" s="2946">
        <v>7.78</v>
      </c>
      <c r="N52" s="2987">
        <f t="shared" ref="N52:O55" si="37">I52/SUM(I$52:I$55)*(B$52/B$56-1)</f>
        <v>9.9404603216919935E-2</v>
      </c>
      <c r="O52" s="2988">
        <f t="shared" si="37"/>
        <v>4.7636550760861554E-2</v>
      </c>
      <c r="P52" s="2988">
        <f t="shared" ref="P52:Q55" si="38">K52/SUM(K$52:K$55)*(E$52/E$56-1)</f>
        <v>8.3756345177664976E-2</v>
      </c>
      <c r="Q52" s="2988">
        <f t="shared" si="38"/>
        <v>5.2148766661559584E-2</v>
      </c>
      <c r="R52" s="2937"/>
      <c r="S52" s="2938"/>
      <c r="T52" s="2939"/>
      <c r="U52" s="2939"/>
      <c r="V52" s="2939"/>
      <c r="X52" s="2989"/>
      <c r="Y52" s="2989"/>
      <c r="Z52" s="2989"/>
    </row>
    <row r="53" spans="1:26">
      <c r="A53" s="2919" t="s">
        <v>2766</v>
      </c>
      <c r="B53" s="2940">
        <f t="shared" ref="B53:C55" si="39">B54+(B$52-B$56)*I53/SUM(I$52:I$55)</f>
        <v>125.9720430107527</v>
      </c>
      <c r="C53" s="2940">
        <f t="shared" si="39"/>
        <v>125.1883408071749</v>
      </c>
      <c r="D53" s="2940">
        <f t="shared" si="9"/>
        <v>125.1883408071749</v>
      </c>
      <c r="E53" s="2940">
        <f t="shared" ref="E53:F55" si="40">E54+(E$52-E$56)*K53/SUM(K$52:K$55)</f>
        <v>144.61421319796952</v>
      </c>
      <c r="F53" s="2940">
        <f t="shared" si="40"/>
        <v>108.42008196721311</v>
      </c>
      <c r="G53" s="3690">
        <v>2005</v>
      </c>
      <c r="H53" s="2950">
        <v>3</v>
      </c>
      <c r="I53" s="2950">
        <v>0.46</v>
      </c>
      <c r="J53" s="2950">
        <v>0.32</v>
      </c>
      <c r="K53" s="2950">
        <v>0.42</v>
      </c>
      <c r="L53" s="2951">
        <v>0.64</v>
      </c>
      <c r="N53" s="2987">
        <f t="shared" si="37"/>
        <v>1.3898515951301874E-2</v>
      </c>
      <c r="O53" s="2988">
        <f t="shared" si="37"/>
        <v>1.0585900169080346E-2</v>
      </c>
      <c r="P53" s="2988">
        <f t="shared" si="38"/>
        <v>5.3299492385786795E-2</v>
      </c>
      <c r="Q53" s="2988">
        <f t="shared" si="38"/>
        <v>4.2898728359123568E-3</v>
      </c>
      <c r="R53" s="2937"/>
      <c r="S53" s="2935"/>
      <c r="T53" s="2936"/>
      <c r="U53" s="2936"/>
      <c r="V53" s="2936"/>
      <c r="X53" s="2989"/>
      <c r="Y53" s="2989"/>
      <c r="Z53" s="2989"/>
    </row>
    <row r="54" spans="1:26">
      <c r="A54" s="2919" t="s">
        <v>2767</v>
      </c>
      <c r="B54" s="2940">
        <f t="shared" si="39"/>
        <v>124.29032258064517</v>
      </c>
      <c r="C54" s="2940">
        <f t="shared" si="39"/>
        <v>123.8968609865471</v>
      </c>
      <c r="D54" s="2940">
        <f t="shared" si="9"/>
        <v>123.8968609865471</v>
      </c>
      <c r="E54" s="2940">
        <f t="shared" si="40"/>
        <v>138.00507614213197</v>
      </c>
      <c r="F54" s="2940">
        <f t="shared" si="40"/>
        <v>107.96106557377048</v>
      </c>
      <c r="G54" s="3690">
        <v>2005</v>
      </c>
      <c r="H54" s="2925">
        <v>2</v>
      </c>
      <c r="I54" s="2925">
        <v>0.47</v>
      </c>
      <c r="J54" s="2925">
        <v>0.1</v>
      </c>
      <c r="K54" s="2925">
        <v>0.52</v>
      </c>
      <c r="L54" s="2942">
        <v>0.79</v>
      </c>
      <c r="N54" s="2987">
        <f t="shared" si="37"/>
        <v>1.420065760241713E-2</v>
      </c>
      <c r="O54" s="2988">
        <f t="shared" si="37"/>
        <v>3.3080938028376083E-3</v>
      </c>
      <c r="P54" s="2988">
        <f t="shared" si="38"/>
        <v>6.598984771573603E-2</v>
      </c>
      <c r="Q54" s="2988">
        <f t="shared" si="38"/>
        <v>5.2953117818293153E-3</v>
      </c>
      <c r="R54" s="2937"/>
      <c r="S54" s="2935"/>
      <c r="T54" s="2936"/>
      <c r="U54" s="2936"/>
      <c r="V54" s="2936"/>
      <c r="X54" s="2989"/>
      <c r="Y54" s="2989"/>
      <c r="Z54" s="2989"/>
    </row>
    <row r="55" spans="1:26">
      <c r="A55" s="2919" t="s">
        <v>2768</v>
      </c>
      <c r="B55" s="2940">
        <f t="shared" si="39"/>
        <v>122.57204301075269</v>
      </c>
      <c r="C55" s="2940">
        <f t="shared" si="39"/>
        <v>123.4932735426009</v>
      </c>
      <c r="D55" s="2940">
        <f t="shared" si="9"/>
        <v>123.4932735426009</v>
      </c>
      <c r="E55" s="2940">
        <f t="shared" si="40"/>
        <v>129.82233502538071</v>
      </c>
      <c r="F55" s="2940">
        <f t="shared" si="40"/>
        <v>107.39446721311475</v>
      </c>
      <c r="G55" s="3691">
        <v>2005</v>
      </c>
      <c r="H55" s="2924">
        <v>1</v>
      </c>
      <c r="I55" s="2924">
        <v>0.43</v>
      </c>
      <c r="J55" s="2924">
        <v>0.37</v>
      </c>
      <c r="K55" s="2924">
        <v>0.37</v>
      </c>
      <c r="L55" s="2941">
        <v>0.55000000000000004</v>
      </c>
      <c r="N55" s="2990">
        <f t="shared" si="37"/>
        <v>1.2992090997956099E-2</v>
      </c>
      <c r="O55" s="2991">
        <f t="shared" si="37"/>
        <v>1.2239947070499151E-2</v>
      </c>
      <c r="P55" s="2991">
        <f t="shared" si="38"/>
        <v>4.6954314720812178E-2</v>
      </c>
      <c r="Q55" s="2991">
        <f t="shared" si="38"/>
        <v>3.6866094683621815E-3</v>
      </c>
      <c r="R55" s="2937"/>
      <c r="S55" s="2943">
        <f>B55/B56-1</f>
        <v>1.2992090997956174E-2</v>
      </c>
      <c r="T55" s="2944">
        <f>C55/C56-1</f>
        <v>1.2239947070499246E-2</v>
      </c>
      <c r="U55" s="2944">
        <f>E55/E56-1</f>
        <v>4.695431472081224E-2</v>
      </c>
      <c r="V55" s="2944">
        <f>F55/F56-1</f>
        <v>3.6866094683620787E-3</v>
      </c>
      <c r="X55" s="2989"/>
      <c r="Y55" s="2989"/>
      <c r="Z55" s="2989"/>
    </row>
    <row r="56" spans="1:26" ht="13.5" thickBot="1">
      <c r="A56" s="2919" t="s">
        <v>2769</v>
      </c>
      <c r="B56" s="2974">
        <v>121</v>
      </c>
      <c r="C56" s="2974">
        <v>122</v>
      </c>
      <c r="D56" s="2974">
        <f t="shared" si="9"/>
        <v>122</v>
      </c>
      <c r="E56" s="2974">
        <v>124</v>
      </c>
      <c r="F56" s="2975">
        <v>107</v>
      </c>
      <c r="G56" s="3689">
        <v>2004</v>
      </c>
      <c r="H56" s="2945">
        <v>4</v>
      </c>
      <c r="I56" s="2945">
        <v>0.33</v>
      </c>
      <c r="J56" s="2945">
        <v>0.5</v>
      </c>
      <c r="K56" s="2945">
        <v>0.5</v>
      </c>
      <c r="L56" s="2946">
        <v>0</v>
      </c>
      <c r="N56" s="2987">
        <f t="shared" ref="N56:O59" si="41">I56/SUM(I$56:I$59)*(B$56/B$60-1)</f>
        <v>1.3391770148526898E-2</v>
      </c>
      <c r="O56" s="2988">
        <f t="shared" si="41"/>
        <v>1.063264221158958E-2</v>
      </c>
      <c r="P56" s="2988">
        <f t="shared" ref="P56:Q59" si="42">K56/SUM(K$56:K$59)*(E$56/E$60-1)</f>
        <v>2.2244466688911134E-2</v>
      </c>
      <c r="Q56" s="2988">
        <f t="shared" si="42"/>
        <v>0</v>
      </c>
      <c r="R56" s="2937"/>
      <c r="S56" s="2938"/>
      <c r="T56" s="2939"/>
      <c r="U56" s="2939"/>
      <c r="V56" s="2939"/>
      <c r="X56" s="2989"/>
      <c r="Y56" s="2989"/>
      <c r="Z56" s="2989"/>
    </row>
    <row r="57" spans="1:26">
      <c r="A57" s="2919" t="s">
        <v>2770</v>
      </c>
      <c r="B57" s="2940">
        <f t="shared" ref="B57:C59" si="43">B58+(B$56-B$60)*I57/SUM(I$56:I$59)</f>
        <v>119.51351351351352</v>
      </c>
      <c r="C57" s="2940">
        <f t="shared" si="43"/>
        <v>120.7878787878788</v>
      </c>
      <c r="D57" s="2940">
        <f t="shared" si="9"/>
        <v>120.7878787878788</v>
      </c>
      <c r="E57" s="2940">
        <f t="shared" ref="E57:F59" si="44">E58+(E$56-E$60)*K57/SUM(K$56:K$59)</f>
        <v>121.5975975975976</v>
      </c>
      <c r="F57" s="2940">
        <f t="shared" si="44"/>
        <v>107</v>
      </c>
      <c r="G57" s="3690">
        <v>2004</v>
      </c>
      <c r="H57" s="2950">
        <v>3</v>
      </c>
      <c r="I57" s="2950">
        <v>0.56000000000000005</v>
      </c>
      <c r="J57" s="2950">
        <v>0.8</v>
      </c>
      <c r="K57" s="2950">
        <v>0.83</v>
      </c>
      <c r="L57" s="2951">
        <v>0.06</v>
      </c>
      <c r="N57" s="2987">
        <f t="shared" si="41"/>
        <v>2.2725428130833527E-2</v>
      </c>
      <c r="O57" s="2988">
        <f t="shared" si="41"/>
        <v>1.7012227538543329E-2</v>
      </c>
      <c r="P57" s="2988">
        <f t="shared" si="42"/>
        <v>3.6925814703592477E-2</v>
      </c>
      <c r="Q57" s="2988">
        <f t="shared" si="42"/>
        <v>2.8846153846153744E-2</v>
      </c>
      <c r="R57" s="2937"/>
      <c r="S57" s="2935"/>
      <c r="T57" s="2936"/>
      <c r="U57" s="2936"/>
      <c r="V57" s="2936"/>
      <c r="X57" s="2989"/>
      <c r="Y57" s="2989"/>
      <c r="Z57" s="2989"/>
    </row>
    <row r="58" spans="1:26">
      <c r="A58" s="2919" t="s">
        <v>2771</v>
      </c>
      <c r="B58" s="2940">
        <f t="shared" si="43"/>
        <v>116.99099099099099</v>
      </c>
      <c r="C58" s="2940">
        <f t="shared" si="43"/>
        <v>118.84848484848486</v>
      </c>
      <c r="D58" s="2940">
        <f t="shared" si="9"/>
        <v>118.84848484848486</v>
      </c>
      <c r="E58" s="2940">
        <f t="shared" si="44"/>
        <v>117.60960960960961</v>
      </c>
      <c r="F58" s="2940">
        <f t="shared" si="44"/>
        <v>104</v>
      </c>
      <c r="G58" s="3690">
        <v>2004</v>
      </c>
      <c r="H58" s="2925">
        <v>2</v>
      </c>
      <c r="I58" s="2925">
        <v>1</v>
      </c>
      <c r="J58" s="2925">
        <v>1.5</v>
      </c>
      <c r="K58" s="2925">
        <v>1.5</v>
      </c>
      <c r="L58" s="2942">
        <v>0</v>
      </c>
      <c r="N58" s="2987">
        <f t="shared" si="41"/>
        <v>4.0581121662202721E-2</v>
      </c>
      <c r="O58" s="2988">
        <f t="shared" si="41"/>
        <v>3.1897926634768738E-2</v>
      </c>
      <c r="P58" s="2988">
        <f t="shared" si="42"/>
        <v>6.6733400066733395E-2</v>
      </c>
      <c r="Q58" s="2988">
        <f t="shared" si="42"/>
        <v>0</v>
      </c>
      <c r="R58" s="2937"/>
      <c r="S58" s="2935"/>
      <c r="T58" s="2936"/>
      <c r="U58" s="2936"/>
      <c r="V58" s="2936"/>
      <c r="X58" s="2989"/>
      <c r="Y58" s="2989"/>
      <c r="Z58" s="2989"/>
    </row>
    <row r="59" spans="1:26" s="2980" customFormat="1" ht="13.5" thickBot="1">
      <c r="A59" s="2919" t="s">
        <v>2772</v>
      </c>
      <c r="B59" s="2977">
        <f t="shared" si="43"/>
        <v>112.48648648648648</v>
      </c>
      <c r="C59" s="2977">
        <f t="shared" si="43"/>
        <v>115.21212121212122</v>
      </c>
      <c r="D59" s="2977">
        <f t="shared" si="9"/>
        <v>115.21212121212122</v>
      </c>
      <c r="E59" s="2977">
        <f t="shared" si="44"/>
        <v>110.4024024024024</v>
      </c>
      <c r="F59" s="2977">
        <f t="shared" si="44"/>
        <v>104</v>
      </c>
      <c r="G59" s="3691">
        <v>2004</v>
      </c>
      <c r="H59" s="2978">
        <v>1</v>
      </c>
      <c r="I59" s="2978">
        <v>0.33</v>
      </c>
      <c r="J59" s="2978">
        <v>0.5</v>
      </c>
      <c r="K59" s="2978">
        <v>0.5</v>
      </c>
      <c r="L59" s="2979">
        <v>0</v>
      </c>
      <c r="N59" s="2992">
        <f t="shared" si="41"/>
        <v>1.3391770148526898E-2</v>
      </c>
      <c r="O59" s="2993">
        <f t="shared" si="41"/>
        <v>1.063264221158958E-2</v>
      </c>
      <c r="P59" s="2993">
        <f t="shared" si="42"/>
        <v>2.2244466688911134E-2</v>
      </c>
      <c r="Q59" s="2993">
        <f t="shared" si="42"/>
        <v>0</v>
      </c>
      <c r="R59" s="2983"/>
      <c r="S59" s="2981">
        <f>B59/B60-1</f>
        <v>1.3391770148526883E-2</v>
      </c>
      <c r="T59" s="2982">
        <f>C59/C60-1</f>
        <v>1.063264221158966E-2</v>
      </c>
      <c r="U59" s="2982">
        <f>E59/E60-1</f>
        <v>2.2244466688911224E-2</v>
      </c>
      <c r="V59" s="2982">
        <f>F59/F60-1</f>
        <v>0</v>
      </c>
      <c r="X59" s="2994"/>
      <c r="Y59" s="2994"/>
      <c r="Z59" s="2994"/>
    </row>
    <row r="60" spans="1:26" ht="13.5" thickBot="1">
      <c r="A60" s="2919" t="s">
        <v>2773</v>
      </c>
      <c r="B60" s="2995">
        <v>111</v>
      </c>
      <c r="C60" s="2995">
        <v>114</v>
      </c>
      <c r="D60" s="2995">
        <f t="shared" si="9"/>
        <v>114</v>
      </c>
      <c r="E60" s="2995">
        <v>108</v>
      </c>
      <c r="F60" s="2996">
        <v>104</v>
      </c>
      <c r="G60" s="3689">
        <v>2003</v>
      </c>
      <c r="H60" s="2985">
        <v>4</v>
      </c>
      <c r="I60" s="2997"/>
      <c r="J60" s="2997"/>
      <c r="K60" s="2997"/>
      <c r="L60" s="2997"/>
      <c r="N60" s="2998"/>
      <c r="O60" s="2997"/>
      <c r="P60" s="2997"/>
      <c r="Q60" s="2997"/>
      <c r="S60" s="2998"/>
      <c r="T60" s="2997"/>
      <c r="U60" s="2997"/>
      <c r="V60" s="2997"/>
      <c r="X60" s="2989"/>
      <c r="Y60" s="2989"/>
      <c r="Z60" s="2989"/>
    </row>
    <row r="61" spans="1:26">
      <c r="A61" s="2919" t="s">
        <v>2774</v>
      </c>
      <c r="B61" s="2999">
        <f t="shared" ref="B61:C63" si="45">B62+(B$60-B$64)/4</f>
        <v>109.75</v>
      </c>
      <c r="C61" s="2999">
        <f t="shared" si="45"/>
        <v>112.25</v>
      </c>
      <c r="D61" s="2999">
        <f t="shared" si="9"/>
        <v>112.25</v>
      </c>
      <c r="E61" s="2999">
        <f t="shared" ref="E61:F63" si="46">E62+(E$60-E$64)/4</f>
        <v>107.25</v>
      </c>
      <c r="F61" s="2999">
        <f t="shared" si="46"/>
        <v>103.5</v>
      </c>
      <c r="G61" s="3690">
        <v>2003</v>
      </c>
      <c r="H61" s="2950">
        <v>3</v>
      </c>
      <c r="I61" s="2997"/>
      <c r="J61" s="2997"/>
      <c r="K61" s="2997"/>
      <c r="L61" s="2997"/>
      <c r="X61" s="2989"/>
      <c r="Y61" s="2989"/>
      <c r="Z61" s="2989"/>
    </row>
    <row r="62" spans="1:26">
      <c r="A62" s="2919" t="s">
        <v>2775</v>
      </c>
      <c r="B62" s="2999">
        <f t="shared" si="45"/>
        <v>108.5</v>
      </c>
      <c r="C62" s="2999">
        <f t="shared" si="45"/>
        <v>110.5</v>
      </c>
      <c r="D62" s="2999">
        <f t="shared" si="9"/>
        <v>110.5</v>
      </c>
      <c r="E62" s="2999">
        <f t="shared" si="46"/>
        <v>106.5</v>
      </c>
      <c r="F62" s="2999">
        <f t="shared" si="46"/>
        <v>103</v>
      </c>
      <c r="G62" s="3690">
        <v>2003</v>
      </c>
      <c r="H62" s="2925">
        <v>2</v>
      </c>
      <c r="I62" s="2997"/>
      <c r="J62" s="2997"/>
      <c r="K62" s="2997"/>
      <c r="L62" s="2997"/>
      <c r="X62" s="2989"/>
      <c r="Y62" s="2989"/>
      <c r="Z62" s="2989"/>
    </row>
    <row r="63" spans="1:26" ht="13.5" thickBot="1">
      <c r="A63" s="2919" t="s">
        <v>2776</v>
      </c>
      <c r="B63" s="2999">
        <f t="shared" si="45"/>
        <v>107.25</v>
      </c>
      <c r="C63" s="2999">
        <f t="shared" si="45"/>
        <v>108.75</v>
      </c>
      <c r="D63" s="2999">
        <f t="shared" si="9"/>
        <v>108.75</v>
      </c>
      <c r="E63" s="2999">
        <f t="shared" si="46"/>
        <v>105.75</v>
      </c>
      <c r="F63" s="2999">
        <f t="shared" si="46"/>
        <v>102.5</v>
      </c>
      <c r="G63" s="3691">
        <v>2003</v>
      </c>
      <c r="H63" s="3000">
        <v>1</v>
      </c>
      <c r="I63" s="2997"/>
      <c r="J63" s="2997"/>
      <c r="K63" s="2997"/>
      <c r="L63" s="2997"/>
      <c r="S63" s="2935"/>
      <c r="T63" s="2936"/>
      <c r="U63" s="2936"/>
      <c r="X63" s="2989"/>
      <c r="Y63" s="2989"/>
      <c r="Z63" s="2989"/>
    </row>
    <row r="64" spans="1:26" ht="13.5" thickBot="1">
      <c r="A64" s="2919" t="s">
        <v>2777</v>
      </c>
      <c r="B64" s="3001">
        <v>106</v>
      </c>
      <c r="C64" s="3001">
        <v>107</v>
      </c>
      <c r="D64" s="3001">
        <f t="shared" si="9"/>
        <v>107</v>
      </c>
      <c r="E64" s="3001">
        <v>105</v>
      </c>
      <c r="F64" s="3002">
        <v>102</v>
      </c>
      <c r="G64" s="3689">
        <v>2002</v>
      </c>
      <c r="H64" s="2945">
        <v>4</v>
      </c>
      <c r="I64" s="2997"/>
      <c r="J64" s="2997"/>
      <c r="K64" s="2997"/>
      <c r="L64" s="2997"/>
      <c r="N64" s="2998"/>
      <c r="O64" s="2997"/>
      <c r="P64" s="2997"/>
      <c r="Q64" s="2997"/>
      <c r="S64" s="2998"/>
      <c r="T64" s="2997"/>
      <c r="U64" s="2997"/>
      <c r="V64" s="2997"/>
      <c r="X64" s="2989"/>
      <c r="Y64" s="2989"/>
      <c r="Z64" s="2989"/>
    </row>
    <row r="65" spans="1:26">
      <c r="A65" s="2919" t="s">
        <v>2778</v>
      </c>
      <c r="B65" s="2999">
        <f t="shared" ref="B65:C67" si="47">B66+(B$64-B$68)/4</f>
        <v>105</v>
      </c>
      <c r="C65" s="2999">
        <f t="shared" si="47"/>
        <v>106</v>
      </c>
      <c r="D65" s="2999">
        <f t="shared" si="9"/>
        <v>106</v>
      </c>
      <c r="E65" s="2999">
        <f t="shared" ref="E65:F67" si="48">E66+(E$64-E$68)/4</f>
        <v>104.5</v>
      </c>
      <c r="F65" s="2999">
        <f t="shared" si="48"/>
        <v>101.5</v>
      </c>
      <c r="G65" s="3690">
        <v>2002</v>
      </c>
      <c r="H65" s="2950">
        <v>3</v>
      </c>
      <c r="I65" s="2997"/>
      <c r="J65" s="2997"/>
      <c r="K65" s="2997"/>
      <c r="L65" s="2997"/>
      <c r="X65" s="2989"/>
      <c r="Y65" s="2989"/>
      <c r="Z65" s="2989"/>
    </row>
    <row r="66" spans="1:26">
      <c r="A66" s="2919" t="s">
        <v>2779</v>
      </c>
      <c r="B66" s="2999">
        <f t="shared" si="47"/>
        <v>104</v>
      </c>
      <c r="C66" s="2999">
        <f t="shared" si="47"/>
        <v>105</v>
      </c>
      <c r="D66" s="2999">
        <f t="shared" si="9"/>
        <v>105</v>
      </c>
      <c r="E66" s="2999">
        <f t="shared" si="48"/>
        <v>104</v>
      </c>
      <c r="F66" s="2999">
        <f t="shared" si="48"/>
        <v>101</v>
      </c>
      <c r="G66" s="3690">
        <v>2002</v>
      </c>
      <c r="H66" s="2925">
        <v>2</v>
      </c>
      <c r="I66" s="2997"/>
      <c r="J66" s="2997"/>
      <c r="K66" s="2997"/>
      <c r="L66" s="2997"/>
      <c r="X66" s="2989"/>
      <c r="Y66" s="2989"/>
      <c r="Z66" s="2989"/>
    </row>
    <row r="67" spans="1:26" s="2961" customFormat="1" ht="13.5" thickBot="1">
      <c r="A67" s="2957" t="s">
        <v>2780</v>
      </c>
      <c r="B67" s="3003">
        <f t="shared" si="47"/>
        <v>103</v>
      </c>
      <c r="C67" s="3003">
        <f t="shared" si="47"/>
        <v>104</v>
      </c>
      <c r="D67" s="3003">
        <f t="shared" si="9"/>
        <v>104</v>
      </c>
      <c r="E67" s="3003">
        <f t="shared" si="48"/>
        <v>103.5</v>
      </c>
      <c r="F67" s="3003">
        <f t="shared" si="48"/>
        <v>100.5</v>
      </c>
      <c r="G67" s="3691">
        <v>2002</v>
      </c>
      <c r="H67" s="3004">
        <v>1</v>
      </c>
      <c r="I67" s="3005"/>
      <c r="J67" s="3005"/>
      <c r="K67" s="3005"/>
      <c r="L67" s="3005"/>
      <c r="N67" s="3006"/>
      <c r="S67" s="3006"/>
      <c r="X67" s="3007"/>
      <c r="Y67" s="3007"/>
      <c r="Z67" s="3007"/>
    </row>
    <row r="68" spans="1:26" ht="13.5" thickBot="1">
      <c r="B68" s="3008">
        <v>102</v>
      </c>
      <c r="C68" s="3009">
        <v>103</v>
      </c>
      <c r="D68" s="3009">
        <f t="shared" si="9"/>
        <v>103</v>
      </c>
      <c r="E68" s="3009">
        <v>103</v>
      </c>
      <c r="F68" s="3010">
        <v>100</v>
      </c>
      <c r="I68" s="2997"/>
      <c r="J68" s="2997"/>
      <c r="K68" s="2997"/>
      <c r="L68" s="2997"/>
      <c r="N68" s="2998"/>
      <c r="O68" s="2997"/>
      <c r="P68" s="2997"/>
      <c r="Q68" s="2997"/>
      <c r="S68" s="2998"/>
      <c r="T68" s="2997"/>
      <c r="U68" s="2997"/>
      <c r="V68" s="2997"/>
      <c r="X68" s="2939"/>
      <c r="Y68" s="2939"/>
      <c r="Z68" s="2939"/>
    </row>
    <row r="70" spans="1:26" s="3012" customFormat="1">
      <c r="A70" s="3011" t="s">
        <v>2781</v>
      </c>
      <c r="G70" s="3013"/>
      <c r="N70" s="3013"/>
      <c r="S70" s="3013"/>
    </row>
    <row r="71" spans="1:26" s="3012" customFormat="1">
      <c r="A71" s="3012" t="s">
        <v>2782</v>
      </c>
      <c r="G71" s="3013"/>
      <c r="N71" s="3013"/>
      <c r="S71" s="3013"/>
    </row>
    <row r="72" spans="1:26" s="3012" customFormat="1">
      <c r="A72" s="3012" t="s">
        <v>2783</v>
      </c>
      <c r="G72" s="3013"/>
      <c r="I72" s="3014"/>
      <c r="J72" s="3014"/>
      <c r="K72" s="3014"/>
      <c r="L72" s="3014"/>
      <c r="N72" s="3015"/>
      <c r="O72" s="3014"/>
      <c r="P72" s="3014"/>
      <c r="Q72" s="3014"/>
      <c r="S72" s="3015"/>
      <c r="T72" s="3014"/>
      <c r="U72" s="3014"/>
      <c r="V72" s="3014"/>
    </row>
    <row r="73" spans="1:26" s="3012" customFormat="1">
      <c r="A73" s="3012" t="s">
        <v>2784</v>
      </c>
      <c r="G73" s="3013"/>
      <c r="N73" s="3013"/>
      <c r="S73" s="3013"/>
    </row>
    <row r="80" spans="1:26" ht="13.5" thickBot="1"/>
    <row r="81" spans="14:22" s="2934" customFormat="1">
      <c r="N81" s="2949"/>
      <c r="S81" s="3016" t="s">
        <v>2785</v>
      </c>
      <c r="T81" s="3017" t="s">
        <v>2786</v>
      </c>
      <c r="U81" s="3017" t="s">
        <v>2787</v>
      </c>
      <c r="V81" s="3017" t="s">
        <v>2788</v>
      </c>
    </row>
    <row r="82" spans="14:22" s="2934" customFormat="1">
      <c r="N82" s="2938"/>
      <c r="O82" s="2939"/>
      <c r="P82" s="2939"/>
      <c r="Q82" s="2939"/>
      <c r="S82" s="3018">
        <v>2006</v>
      </c>
      <c r="T82" s="3019">
        <v>15.1</v>
      </c>
      <c r="U82" s="3019">
        <v>7.43</v>
      </c>
      <c r="V82" s="3019">
        <v>26.26</v>
      </c>
    </row>
    <row r="83" spans="14:22" s="2934" customFormat="1">
      <c r="N83" s="2938"/>
      <c r="O83" s="2939"/>
      <c r="P83" s="2939"/>
      <c r="Q83" s="2939"/>
      <c r="S83" s="3020">
        <v>2005</v>
      </c>
      <c r="T83" s="3021">
        <v>13.9</v>
      </c>
      <c r="U83" s="3021">
        <v>7.49</v>
      </c>
      <c r="V83" s="3021">
        <v>24.92</v>
      </c>
    </row>
    <row r="84" spans="14:22" s="2934" customFormat="1">
      <c r="N84" s="2938"/>
      <c r="O84" s="2939"/>
      <c r="P84" s="2939"/>
      <c r="Q84" s="2939"/>
      <c r="S84" s="3018">
        <v>2004</v>
      </c>
      <c r="T84" s="3019">
        <v>9.48</v>
      </c>
      <c r="U84" s="3019">
        <v>7.2</v>
      </c>
      <c r="V84" s="3019">
        <v>14.68</v>
      </c>
    </row>
    <row r="85" spans="14:22" s="2934" customFormat="1">
      <c r="N85" s="2938"/>
      <c r="O85" s="2939"/>
      <c r="P85" s="2939"/>
      <c r="Q85" s="2939"/>
      <c r="S85" s="3020">
        <v>2003</v>
      </c>
      <c r="T85" s="3021">
        <v>4.5</v>
      </c>
      <c r="U85" s="3021">
        <v>6.12</v>
      </c>
      <c r="V85" s="3021">
        <v>2.34</v>
      </c>
    </row>
    <row r="86" spans="14:22" s="2934" customFormat="1" ht="13.5" thickBot="1">
      <c r="N86" s="2938"/>
      <c r="O86" s="2939"/>
      <c r="P86" s="2939"/>
      <c r="Q86" s="2939"/>
      <c r="S86" s="3022">
        <v>2002</v>
      </c>
      <c r="T86" s="3023">
        <v>3.59</v>
      </c>
      <c r="U86" s="3023">
        <v>4.54</v>
      </c>
      <c r="V86" s="3023">
        <v>2.5499999999999998</v>
      </c>
    </row>
    <row r="87" spans="14:22" s="2934" customFormat="1">
      <c r="N87" s="2938"/>
      <c r="O87" s="2939"/>
      <c r="P87" s="2939"/>
      <c r="Q87" s="2939"/>
      <c r="S87" s="2949"/>
    </row>
    <row r="88" spans="14:22" s="2934" customFormat="1">
      <c r="N88" s="2938"/>
      <c r="O88" s="2939"/>
      <c r="P88" s="2939"/>
      <c r="Q88" s="2939"/>
      <c r="S88" s="2949"/>
    </row>
    <row r="89" spans="14:22" s="2934" customFormat="1">
      <c r="N89" s="2938"/>
      <c r="O89" s="2939"/>
      <c r="P89" s="2939"/>
      <c r="Q89" s="2939"/>
      <c r="S89" s="2949"/>
    </row>
    <row r="90" spans="14:22" s="2934" customFormat="1">
      <c r="N90" s="2938"/>
      <c r="O90" s="2939"/>
      <c r="P90" s="2939"/>
      <c r="Q90" s="2939"/>
      <c r="S90" s="2949"/>
    </row>
    <row r="91" spans="14:22" s="2934" customFormat="1">
      <c r="N91" s="2938"/>
      <c r="O91" s="2939"/>
      <c r="P91" s="2939"/>
      <c r="Q91" s="2939"/>
      <c r="S91" s="2949"/>
    </row>
    <row r="92" spans="14:22" s="2934" customFormat="1">
      <c r="N92" s="2938"/>
      <c r="O92" s="2939"/>
      <c r="P92" s="2939"/>
      <c r="Q92" s="2939"/>
      <c r="S92" s="2949"/>
    </row>
    <row r="93" spans="14:22" s="2934" customFormat="1">
      <c r="N93" s="2938"/>
      <c r="O93" s="2939"/>
      <c r="P93" s="2939"/>
      <c r="Q93" s="2939"/>
      <c r="S93" s="2949"/>
    </row>
    <row r="94" spans="14:22" s="2934" customFormat="1">
      <c r="N94" s="2938"/>
      <c r="O94" s="2939"/>
      <c r="P94" s="2939"/>
      <c r="Q94" s="2939"/>
      <c r="S94" s="2949"/>
    </row>
    <row r="95" spans="14:22" s="2934" customFormat="1">
      <c r="N95" s="2938"/>
      <c r="O95" s="2939"/>
      <c r="P95" s="2939"/>
      <c r="Q95" s="2939"/>
      <c r="S95" s="2949"/>
    </row>
    <row r="96" spans="14:22" s="2934" customFormat="1">
      <c r="N96" s="2938"/>
      <c r="O96" s="2939"/>
      <c r="P96" s="2939"/>
      <c r="Q96" s="2939"/>
      <c r="S96" s="2949"/>
    </row>
    <row r="97" spans="14:17" s="2934" customFormat="1">
      <c r="N97" s="2938"/>
      <c r="O97" s="2939"/>
      <c r="P97" s="2939"/>
      <c r="Q97" s="2939"/>
    </row>
    <row r="98" spans="14:17" s="2934" customFormat="1">
      <c r="N98" s="2938"/>
      <c r="O98" s="2939"/>
      <c r="P98" s="2939"/>
      <c r="Q98" s="2939"/>
    </row>
    <row r="99" spans="14:17" s="2934" customFormat="1">
      <c r="N99" s="2938"/>
      <c r="O99" s="2939"/>
      <c r="P99" s="2939"/>
      <c r="Q99" s="2939"/>
    </row>
    <row r="100" spans="14:17" s="2934" customFormat="1">
      <c r="N100" s="2938"/>
      <c r="O100" s="2939"/>
      <c r="P100" s="2939"/>
      <c r="Q100" s="2939"/>
    </row>
    <row r="101" spans="14:17" s="2934" customFormat="1">
      <c r="N101" s="2938"/>
      <c r="O101" s="2939"/>
      <c r="P101" s="2939"/>
      <c r="Q101" s="2939"/>
    </row>
    <row r="102" spans="14:17" s="2934" customFormat="1">
      <c r="N102" s="2938"/>
      <c r="O102" s="2939"/>
      <c r="P102" s="2939"/>
      <c r="Q102" s="2939"/>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42" t="s">
        <v>2388</v>
      </c>
      <c r="C1" s="3700" t="s">
        <v>2389</v>
      </c>
      <c r="D1" s="3701"/>
      <c r="E1" s="3701"/>
      <c r="F1" s="3701"/>
      <c r="G1" s="3701"/>
      <c r="H1" s="3701"/>
      <c r="I1" s="3701"/>
      <c r="J1" s="3701"/>
      <c r="K1" s="3701"/>
      <c r="L1" s="3701"/>
      <c r="M1" s="3701"/>
      <c r="N1" s="3701"/>
      <c r="O1" s="3701"/>
      <c r="P1" s="3701"/>
      <c r="Q1" s="3701"/>
      <c r="R1" s="3701"/>
      <c r="S1" s="3702"/>
      <c r="T1" s="2442" t="s">
        <v>2390</v>
      </c>
    </row>
    <row r="2" spans="1:45" s="1115" customFormat="1">
      <c r="A2" s="2443"/>
      <c r="B2" s="1111" t="s">
        <v>2391</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4"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5"/>
      <c r="B3" s="1116"/>
      <c r="C3" s="1117"/>
      <c r="D3" s="1118"/>
      <c r="E3" s="1118"/>
      <c r="F3" s="3213"/>
      <c r="G3" s="3213"/>
      <c r="H3" s="3213"/>
      <c r="I3" s="3213"/>
      <c r="J3" s="3213"/>
      <c r="K3" s="3213"/>
      <c r="L3" s="3214"/>
      <c r="M3" s="3215"/>
      <c r="N3" s="3215"/>
      <c r="O3" s="3213"/>
      <c r="P3" s="3213"/>
      <c r="Q3" s="3213"/>
      <c r="R3" s="3213"/>
      <c r="S3" s="3216"/>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6"/>
      <c r="B4" s="2447"/>
      <c r="C4" s="2448"/>
      <c r="D4" s="2449"/>
      <c r="E4" s="2449"/>
      <c r="F4" s="3217"/>
      <c r="G4" s="3217"/>
      <c r="H4" s="3217"/>
      <c r="I4" s="3217"/>
      <c r="J4" s="3217"/>
      <c r="K4" s="3217"/>
      <c r="L4" s="3217"/>
      <c r="M4" s="3218"/>
      <c r="N4" s="3218"/>
      <c r="O4" s="3217"/>
      <c r="P4" s="3217"/>
      <c r="Q4" s="3217"/>
      <c r="R4" s="3217"/>
      <c r="S4" s="3219"/>
      <c r="T4" s="2452"/>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53"/>
      <c r="B5" s="3309" t="s">
        <v>3038</v>
      </c>
      <c r="C5" s="2454"/>
      <c r="D5" s="2455"/>
      <c r="E5" s="2455"/>
      <c r="F5" s="3220"/>
      <c r="G5" s="3220"/>
      <c r="H5" s="3220"/>
      <c r="I5" s="3220"/>
      <c r="J5" s="3220"/>
      <c r="K5" s="3220"/>
      <c r="L5" s="3221"/>
      <c r="M5" s="3222"/>
      <c r="N5" s="3222"/>
      <c r="O5" s="3220"/>
      <c r="P5" s="3220"/>
      <c r="Q5" s="3220"/>
      <c r="R5" s="3220"/>
      <c r="S5" s="3223"/>
      <c r="T5" s="2457"/>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53"/>
      <c r="B6" s="2204"/>
      <c r="C6" s="2210">
        <v>100</v>
      </c>
      <c r="D6" s="2207">
        <f>C6-$T5</f>
        <v>100</v>
      </c>
      <c r="E6" s="2207">
        <f t="shared" ref="E6:S6" si="7">D6-$T5</f>
        <v>100</v>
      </c>
      <c r="F6" s="3224">
        <f t="shared" si="7"/>
        <v>100</v>
      </c>
      <c r="G6" s="3224">
        <f t="shared" si="7"/>
        <v>100</v>
      </c>
      <c r="H6" s="3224">
        <f t="shared" si="7"/>
        <v>100</v>
      </c>
      <c r="I6" s="3224">
        <f t="shared" si="7"/>
        <v>100</v>
      </c>
      <c r="J6" s="3224">
        <f t="shared" si="7"/>
        <v>100</v>
      </c>
      <c r="K6" s="3224">
        <f t="shared" si="7"/>
        <v>100</v>
      </c>
      <c r="L6" s="3224">
        <f t="shared" si="7"/>
        <v>100</v>
      </c>
      <c r="M6" s="3224">
        <f t="shared" si="7"/>
        <v>100</v>
      </c>
      <c r="N6" s="3224">
        <f t="shared" si="7"/>
        <v>100</v>
      </c>
      <c r="O6" s="3224">
        <f t="shared" si="7"/>
        <v>100</v>
      </c>
      <c r="P6" s="3224">
        <f t="shared" si="7"/>
        <v>100</v>
      </c>
      <c r="Q6" s="3224">
        <f t="shared" si="7"/>
        <v>100</v>
      </c>
      <c r="R6" s="3224">
        <f t="shared" si="7"/>
        <v>100</v>
      </c>
      <c r="S6" s="3224">
        <f t="shared" si="7"/>
        <v>100</v>
      </c>
      <c r="T6" s="220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53"/>
      <c r="B7" s="3310" t="s">
        <v>3037</v>
      </c>
      <c r="C7" s="2209"/>
      <c r="D7" s="2203"/>
      <c r="E7" s="2203"/>
      <c r="F7" s="3225"/>
      <c r="G7" s="3225"/>
      <c r="H7" s="3225"/>
      <c r="I7" s="3225"/>
      <c r="J7" s="3225"/>
      <c r="K7" s="3225"/>
      <c r="L7" s="3225"/>
      <c r="M7" s="3226"/>
      <c r="N7" s="3227"/>
      <c r="O7" s="3228"/>
      <c r="P7" s="3229"/>
      <c r="Q7" s="3230"/>
      <c r="R7" s="3231"/>
      <c r="S7" s="3232"/>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53"/>
      <c r="B8" s="2204"/>
      <c r="C8" s="2210">
        <v>100</v>
      </c>
      <c r="D8" s="2207">
        <f>C8-$T7</f>
        <v>100</v>
      </c>
      <c r="E8" s="2207">
        <f t="shared" ref="E8:S8" si="8">D8-$T7</f>
        <v>100</v>
      </c>
      <c r="F8" s="3224">
        <f t="shared" si="8"/>
        <v>100</v>
      </c>
      <c r="G8" s="3224">
        <f t="shared" si="8"/>
        <v>100</v>
      </c>
      <c r="H8" s="3224">
        <f t="shared" si="8"/>
        <v>100</v>
      </c>
      <c r="I8" s="3224">
        <f t="shared" si="8"/>
        <v>100</v>
      </c>
      <c r="J8" s="3224">
        <f t="shared" si="8"/>
        <v>100</v>
      </c>
      <c r="K8" s="3224">
        <f t="shared" si="8"/>
        <v>100</v>
      </c>
      <c r="L8" s="3224">
        <f t="shared" si="8"/>
        <v>100</v>
      </c>
      <c r="M8" s="3224">
        <f t="shared" si="8"/>
        <v>100</v>
      </c>
      <c r="N8" s="3224">
        <f t="shared" si="8"/>
        <v>100</v>
      </c>
      <c r="O8" s="3224">
        <f t="shared" si="8"/>
        <v>100</v>
      </c>
      <c r="P8" s="3224">
        <f t="shared" si="8"/>
        <v>100</v>
      </c>
      <c r="Q8" s="3224">
        <f t="shared" si="8"/>
        <v>100</v>
      </c>
      <c r="R8" s="3224">
        <f t="shared" si="8"/>
        <v>100</v>
      </c>
      <c r="S8" s="3224">
        <f t="shared" si="8"/>
        <v>100</v>
      </c>
      <c r="T8" s="220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53"/>
      <c r="B9" s="3310" t="s">
        <v>3036</v>
      </c>
      <c r="C9" s="2209"/>
      <c r="D9" s="2203"/>
      <c r="E9" s="2203"/>
      <c r="F9" s="3225"/>
      <c r="G9" s="3225"/>
      <c r="H9" s="3225"/>
      <c r="I9" s="3225"/>
      <c r="J9" s="3225"/>
      <c r="K9" s="3225"/>
      <c r="L9" s="3233"/>
      <c r="M9" s="3226"/>
      <c r="N9" s="3227"/>
      <c r="O9" s="3228"/>
      <c r="P9" s="3229"/>
      <c r="Q9" s="3230"/>
      <c r="R9" s="3231"/>
      <c r="S9" s="3232"/>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53"/>
      <c r="B10" s="2447"/>
      <c r="C10" s="2458">
        <v>100</v>
      </c>
      <c r="D10" s="2459">
        <f>C10-$T9</f>
        <v>100</v>
      </c>
      <c r="E10" s="2459">
        <f t="shared" ref="E10:S10" si="9">D10-$T9</f>
        <v>100</v>
      </c>
      <c r="F10" s="3234">
        <f t="shared" si="9"/>
        <v>100</v>
      </c>
      <c r="G10" s="3234">
        <f t="shared" si="9"/>
        <v>100</v>
      </c>
      <c r="H10" s="3234">
        <f t="shared" si="9"/>
        <v>100</v>
      </c>
      <c r="I10" s="3234">
        <f t="shared" si="9"/>
        <v>100</v>
      </c>
      <c r="J10" s="3234">
        <f t="shared" si="9"/>
        <v>100</v>
      </c>
      <c r="K10" s="3234">
        <f t="shared" si="9"/>
        <v>100</v>
      </c>
      <c r="L10" s="3234">
        <f t="shared" si="9"/>
        <v>100</v>
      </c>
      <c r="M10" s="3234">
        <f t="shared" si="9"/>
        <v>100</v>
      </c>
      <c r="N10" s="3234">
        <f t="shared" si="9"/>
        <v>100</v>
      </c>
      <c r="O10" s="3234">
        <f t="shared" si="9"/>
        <v>100</v>
      </c>
      <c r="P10" s="3234">
        <f t="shared" si="9"/>
        <v>100</v>
      </c>
      <c r="Q10" s="3234">
        <f t="shared" si="9"/>
        <v>100</v>
      </c>
      <c r="R10" s="3234">
        <f t="shared" si="9"/>
        <v>100</v>
      </c>
      <c r="S10" s="3234">
        <f t="shared" si="9"/>
        <v>100</v>
      </c>
      <c r="T10" s="245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53"/>
      <c r="B11" s="3309" t="s">
        <v>3035</v>
      </c>
      <c r="C11" s="2454"/>
      <c r="D11" s="2455"/>
      <c r="E11" s="2455"/>
      <c r="F11" s="2455"/>
      <c r="G11" s="2455"/>
      <c r="H11" s="2455"/>
      <c r="I11" s="2455"/>
      <c r="J11" s="2455"/>
      <c r="K11" s="2455"/>
      <c r="L11" s="2455"/>
      <c r="M11" s="2456"/>
      <c r="N11" s="2460"/>
      <c r="O11" s="2461"/>
      <c r="P11" s="2462"/>
      <c r="Q11" s="2463"/>
      <c r="R11" s="2464"/>
      <c r="S11" s="2465"/>
      <c r="T11" s="2457"/>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53"/>
      <c r="B13" s="3309" t="s">
        <v>3034</v>
      </c>
      <c r="C13" s="2454"/>
      <c r="D13" s="2455"/>
      <c r="E13" s="2455"/>
      <c r="F13" s="2455"/>
      <c r="G13" s="2455"/>
      <c r="H13" s="2455"/>
      <c r="I13" s="2455"/>
      <c r="J13" s="2455"/>
      <c r="K13" s="2455"/>
      <c r="L13" s="2455"/>
      <c r="M13" s="2456"/>
      <c r="N13" s="2460"/>
      <c r="O13" s="2461"/>
      <c r="P13" s="2462"/>
      <c r="Q13" s="2463"/>
      <c r="R13" s="2464"/>
      <c r="S13" s="2465"/>
      <c r="T13" s="2466"/>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53"/>
      <c r="B15" s="3309" t="s">
        <v>3033</v>
      </c>
      <c r="C15" s="2454"/>
      <c r="D15" s="2455"/>
      <c r="E15" s="2455"/>
      <c r="F15" s="2455"/>
      <c r="G15" s="2455"/>
      <c r="H15" s="2455"/>
      <c r="I15" s="2455"/>
      <c r="J15" s="2455"/>
      <c r="K15" s="2455"/>
      <c r="L15" s="2455"/>
      <c r="M15" s="2456"/>
      <c r="N15" s="2460"/>
      <c r="O15" s="2461"/>
      <c r="P15" s="2462"/>
      <c r="Q15" s="2463"/>
      <c r="R15" s="2464"/>
      <c r="S15" s="2465"/>
      <c r="T15" s="2466"/>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5" t="s">
        <v>2392</v>
      </c>
      <c r="B17" s="2486" t="s">
        <v>2393</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3"/>
      <c r="AS17" s="1463"/>
    </row>
    <row r="18" spans="1:45" s="1115"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3"/>
      <c r="AS18" s="1463"/>
    </row>
    <row r="19" spans="1:45">
      <c r="A19" s="469"/>
      <c r="B19" s="500"/>
      <c r="C19" s="500"/>
      <c r="D19" s="500"/>
      <c r="E19" s="500"/>
      <c r="F19" s="500"/>
      <c r="G19" s="500"/>
      <c r="H19" s="500"/>
      <c r="I19" s="500"/>
      <c r="J19" s="500"/>
      <c r="K19" s="500"/>
      <c r="L19" s="500"/>
      <c r="M19" s="500"/>
      <c r="N19" s="500"/>
      <c r="O19" s="500"/>
      <c r="P19" s="500"/>
      <c r="Q19" s="500"/>
      <c r="R19" s="1415"/>
      <c r="S19" s="469"/>
    </row>
    <row r="20" spans="1:45" ht="15.75">
      <c r="A20" s="1123" t="s">
        <v>522</v>
      </c>
      <c r="B20" s="673">
        <f>S22</f>
        <v>100</v>
      </c>
      <c r="C20" s="500"/>
      <c r="D20" s="500"/>
      <c r="E20" s="500"/>
      <c r="F20" s="500"/>
      <c r="G20" s="500"/>
      <c r="H20" s="500"/>
      <c r="I20" s="500"/>
      <c r="J20" s="500"/>
      <c r="K20" s="500"/>
      <c r="L20" s="500"/>
      <c r="M20" s="500"/>
      <c r="N20" s="500"/>
      <c r="O20" s="500"/>
      <c r="P20" s="500"/>
      <c r="Q20" s="500"/>
      <c r="R20" s="1415"/>
      <c r="S20" s="469"/>
    </row>
    <row r="21" spans="1:45" ht="15.75">
      <c r="A21" s="1123" t="s">
        <v>523</v>
      </c>
      <c r="B21" s="673">
        <f>R22</f>
        <v>10000</v>
      </c>
      <c r="C21" s="500"/>
      <c r="D21" s="500"/>
      <c r="E21" s="500"/>
      <c r="F21" s="500"/>
      <c r="G21" s="500"/>
      <c r="H21" s="500"/>
      <c r="I21" s="500"/>
      <c r="J21" s="500"/>
      <c r="K21" s="500"/>
      <c r="L21" s="500"/>
      <c r="M21" s="500"/>
      <c r="N21" s="500"/>
      <c r="O21" s="500"/>
      <c r="P21" s="500"/>
      <c r="Q21" s="500"/>
      <c r="R21" s="1415"/>
      <c r="S21" s="469"/>
    </row>
    <row r="22" spans="1:45">
      <c r="A22" s="698" t="s">
        <v>524</v>
      </c>
      <c r="B22" s="313">
        <f>SUM(B24:B10000)</f>
        <v>100</v>
      </c>
      <c r="C22" s="3697" t="s">
        <v>169</v>
      </c>
      <c r="D22" s="3698"/>
      <c r="E22" s="3698"/>
      <c r="F22" s="3698"/>
      <c r="G22" s="3698"/>
      <c r="H22" s="3698"/>
      <c r="I22" s="3698"/>
      <c r="J22" s="3698"/>
      <c r="K22" s="3698"/>
      <c r="L22" s="3698"/>
      <c r="M22" s="3698"/>
      <c r="N22" s="3698"/>
      <c r="O22" s="3698"/>
      <c r="P22" s="3698"/>
      <c r="Q22" s="3699"/>
      <c r="R22" s="1124">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5" t="s">
        <v>528</v>
      </c>
      <c r="S23" s="299" t="s">
        <v>529</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530</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1"/>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8">
        <f t="shared" si="11"/>
        <v>0</v>
      </c>
    </row>
    <row r="26" spans="1:45">
      <c r="A26" s="491"/>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8">
        <f t="shared" si="11"/>
        <v>0</v>
      </c>
    </row>
    <row r="27" spans="1:45">
      <c r="A27" s="491"/>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8">
        <f t="shared" si="11"/>
        <v>0</v>
      </c>
    </row>
    <row r="28" spans="1:45">
      <c r="A28" s="491"/>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8">
        <f t="shared" si="11"/>
        <v>0</v>
      </c>
    </row>
    <row r="29" spans="1:45">
      <c r="A29" s="491"/>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8">
        <f t="shared" si="11"/>
        <v>0</v>
      </c>
    </row>
    <row r="30" spans="1:45">
      <c r="A30" s="491"/>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8">
        <f t="shared" si="11"/>
        <v>0</v>
      </c>
    </row>
    <row r="31" spans="1:45">
      <c r="A31" s="491"/>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8">
        <f t="shared" si="11"/>
        <v>0</v>
      </c>
    </row>
    <row r="32" spans="1:45">
      <c r="A32" s="491"/>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8">
        <f t="shared" si="11"/>
        <v>0</v>
      </c>
    </row>
    <row r="33" spans="1:19">
      <c r="A33" s="491"/>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8">
        <f t="shared" si="11"/>
        <v>0</v>
      </c>
    </row>
    <row r="34" spans="1:19">
      <c r="A34" s="491"/>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8">
        <f t="shared" si="11"/>
        <v>0</v>
      </c>
    </row>
    <row r="35" spans="1:19">
      <c r="A35" s="491"/>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8">
        <f t="shared" si="11"/>
        <v>0</v>
      </c>
    </row>
    <row r="36" spans="1:19">
      <c r="A36" s="491"/>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8">
        <f t="shared" si="11"/>
        <v>0</v>
      </c>
    </row>
    <row r="37" spans="1:19">
      <c r="A37" s="491"/>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8">
        <f t="shared" si="11"/>
        <v>0</v>
      </c>
    </row>
    <row r="38" spans="1:19">
      <c r="A38" s="491"/>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8">
        <f t="shared" si="11"/>
        <v>0</v>
      </c>
    </row>
    <row r="39" spans="1:19">
      <c r="A39" s="491"/>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8">
        <f t="shared" si="11"/>
        <v>0</v>
      </c>
    </row>
    <row r="40" spans="1:19">
      <c r="A40" s="491"/>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8">
        <f t="shared" si="11"/>
        <v>0</v>
      </c>
    </row>
    <row r="41" spans="1:19">
      <c r="A41" s="491"/>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8">
        <f t="shared" si="11"/>
        <v>0</v>
      </c>
    </row>
    <row r="42" spans="1:19">
      <c r="A42" s="491"/>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8">
        <f t="shared" si="11"/>
        <v>0</v>
      </c>
    </row>
    <row r="43" spans="1:19">
      <c r="A43" s="491"/>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8">
        <f t="shared" si="11"/>
        <v>0</v>
      </c>
    </row>
    <row r="44" spans="1:19">
      <c r="A44" s="491"/>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8">
        <f t="shared" si="11"/>
        <v>0</v>
      </c>
    </row>
    <row r="45" spans="1:19">
      <c r="A45" s="491"/>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8">
        <f t="shared" si="11"/>
        <v>0</v>
      </c>
    </row>
    <row r="46" spans="1:19">
      <c r="A46" s="491"/>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8">
        <f t="shared" si="11"/>
        <v>0</v>
      </c>
    </row>
    <row r="47" spans="1:19">
      <c r="A47" s="491"/>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8">
        <f t="shared" si="11"/>
        <v>0</v>
      </c>
    </row>
    <row r="48" spans="1:19">
      <c r="A48" s="491"/>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8">
        <f t="shared" si="11"/>
        <v>0</v>
      </c>
    </row>
    <row r="49" spans="1:19">
      <c r="A49" s="491"/>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8">
        <f t="shared" si="11"/>
        <v>0</v>
      </c>
    </row>
    <row r="50" spans="1:19">
      <c r="A50" s="491"/>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8">
        <f t="shared" si="11"/>
        <v>0</v>
      </c>
    </row>
    <row r="51" spans="1:19">
      <c r="A51" s="491"/>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8">
        <f t="shared" si="11"/>
        <v>0</v>
      </c>
    </row>
    <row r="52" spans="1:19">
      <c r="A52" s="491"/>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8">
        <f t="shared" si="11"/>
        <v>0</v>
      </c>
    </row>
    <row r="53" spans="1:19">
      <c r="A53" s="491"/>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8">
        <f t="shared" si="11"/>
        <v>0</v>
      </c>
    </row>
    <row r="54" spans="1:19">
      <c r="A54" s="491"/>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19">
      <c r="A55" s="491"/>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19">
      <c r="A56" s="491"/>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19">
      <c r="A57" s="491"/>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19">
      <c r="A58" s="491"/>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19">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19">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19">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19">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19">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19">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30602</v>
      </c>
      <c r="C2" s="85" t="s">
        <v>867</v>
      </c>
      <c r="D2" s="575"/>
      <c r="E2" s="575"/>
      <c r="F2" s="575"/>
      <c r="G2" s="575"/>
    </row>
    <row r="3" spans="1:7" s="576" customFormat="1" ht="18" customHeight="1" thickBot="1">
      <c r="A3" s="579" t="s">
        <v>819</v>
      </c>
      <c r="B3" s="580">
        <f ca="1">ROUND(B2*10000/'数据-汇总表'!E3,0)</f>
        <v>42811</v>
      </c>
      <c r="C3" s="85" t="s">
        <v>868</v>
      </c>
      <c r="D3" s="575"/>
      <c r="E3" s="575"/>
      <c r="F3" s="575"/>
      <c r="G3" s="575"/>
    </row>
    <row r="4" spans="1:7" s="584" customFormat="1" ht="15.75">
      <c r="A4" s="581" t="s">
        <v>820</v>
      </c>
      <c r="B4" s="582"/>
      <c r="C4" s="582"/>
      <c r="D4" s="582"/>
      <c r="E4" s="582"/>
      <c r="F4" s="582"/>
      <c r="G4" s="583"/>
    </row>
    <row r="5" spans="1:7" s="590" customFormat="1" ht="13.5" customHeight="1">
      <c r="A5" s="631" t="s">
        <v>2510</v>
      </c>
      <c r="B5" s="586" t="s">
        <v>821</v>
      </c>
      <c r="C5" s="587">
        <f>C6+C7+C8</f>
        <v>20610</v>
      </c>
      <c r="D5" s="587" t="s">
        <v>822</v>
      </c>
      <c r="E5" s="588" t="s">
        <v>823</v>
      </c>
      <c r="F5" s="588" t="s">
        <v>824</v>
      </c>
      <c r="G5" s="589"/>
    </row>
    <row r="6" spans="1:7" s="590" customFormat="1" ht="13.5" customHeight="1">
      <c r="A6" s="1804" t="s">
        <v>1923</v>
      </c>
      <c r="B6" s="591" t="s">
        <v>825</v>
      </c>
      <c r="C6" s="592">
        <v>20000</v>
      </c>
      <c r="D6" s="593"/>
      <c r="E6" s="594"/>
      <c r="F6" s="594"/>
      <c r="G6" s="595"/>
    </row>
    <row r="7" spans="1:7" s="590" customFormat="1" ht="13.5" customHeight="1">
      <c r="A7" s="1804" t="s">
        <v>1924</v>
      </c>
      <c r="B7" s="591" t="s">
        <v>348</v>
      </c>
      <c r="C7" s="596">
        <f>ROUND(C6*F7,0)</f>
        <v>610</v>
      </c>
      <c r="D7" s="596"/>
      <c r="E7" s="594"/>
      <c r="F7" s="597">
        <f>'数据-取费表'!B48+'数据-取费表'!B49</f>
        <v>3.0499999999999999E-2</v>
      </c>
      <c r="G7" s="595"/>
    </row>
    <row r="8" spans="1:7" s="599" customFormat="1">
      <c r="A8" s="1804" t="s">
        <v>1925</v>
      </c>
      <c r="B8" s="591" t="s">
        <v>826</v>
      </c>
      <c r="C8" s="596" t="str">
        <f>IF(G8="已包含在土地购买价格中","0",'数据-取费表'!B29)</f>
        <v>0</v>
      </c>
      <c r="D8" s="598"/>
      <c r="E8" s="596"/>
      <c r="F8" s="597"/>
      <c r="G8" s="84" t="s">
        <v>2687</v>
      </c>
    </row>
    <row r="9" spans="1:7" s="590" customFormat="1" ht="13.5" customHeight="1">
      <c r="A9" s="1805" t="s">
        <v>1932</v>
      </c>
      <c r="B9" s="600" t="s">
        <v>827</v>
      </c>
      <c r="C9" s="601">
        <f>ROUND(D9*E9/10000,0)</f>
        <v>0</v>
      </c>
      <c r="D9" s="1909">
        <f>'数据-汇总表'!E5</f>
        <v>0</v>
      </c>
      <c r="E9" s="601">
        <f>'数据-取费表'!B27</f>
        <v>160</v>
      </c>
      <c r="F9" s="597"/>
      <c r="G9" s="602"/>
    </row>
    <row r="10" spans="1:7" s="590" customFormat="1" ht="13.5" customHeight="1">
      <c r="A10" s="1805" t="s">
        <v>1933</v>
      </c>
      <c r="B10" s="600" t="s">
        <v>828</v>
      </c>
      <c r="C10" s="601">
        <f>ROUND(D10*E10/10000,0)</f>
        <v>143</v>
      </c>
      <c r="D10" s="1909">
        <f>'数据-汇总表'!E6</f>
        <v>7148.0899999999992</v>
      </c>
      <c r="E10" s="601">
        <f>'数据-取费表'!B28</f>
        <v>200</v>
      </c>
      <c r="F10" s="597"/>
      <c r="G10" s="602"/>
    </row>
    <row r="11" spans="1:7" s="590" customFormat="1" ht="13.5" hidden="1" customHeight="1">
      <c r="A11" s="603" t="s">
        <v>42</v>
      </c>
      <c r="B11" s="591" t="s">
        <v>829</v>
      </c>
      <c r="C11" s="587"/>
      <c r="D11" s="1911"/>
      <c r="E11" s="594"/>
      <c r="F11" s="594"/>
      <c r="G11" s="595"/>
    </row>
    <row r="12" spans="1:7" s="590" customFormat="1" ht="13.5" hidden="1" customHeight="1">
      <c r="A12" s="603" t="s">
        <v>43</v>
      </c>
      <c r="B12" s="591" t="s">
        <v>830</v>
      </c>
      <c r="C12" s="587">
        <v>0</v>
      </c>
      <c r="D12" s="1911"/>
      <c r="E12" s="604"/>
      <c r="F12" s="597">
        <v>3.0499999999999999E-2</v>
      </c>
      <c r="G12" s="595"/>
    </row>
    <row r="13" spans="1:7" s="590" customFormat="1" ht="13.5" hidden="1" customHeight="1">
      <c r="A13" s="603" t="s">
        <v>44</v>
      </c>
      <c r="B13" s="591" t="s">
        <v>831</v>
      </c>
      <c r="C13" s="587"/>
      <c r="D13" s="1911"/>
      <c r="E13" s="594"/>
      <c r="F13" s="594"/>
      <c r="G13" s="595"/>
    </row>
    <row r="14" spans="1:7" s="590" customFormat="1" ht="13.5" hidden="1" customHeight="1">
      <c r="A14" s="603" t="s">
        <v>45</v>
      </c>
      <c r="B14" s="591" t="s">
        <v>826</v>
      </c>
      <c r="C14" s="587"/>
      <c r="D14" s="1911"/>
      <c r="E14" s="594"/>
      <c r="F14" s="594"/>
      <c r="G14" s="595" t="s">
        <v>832</v>
      </c>
    </row>
    <row r="15" spans="1:7" s="590" customFormat="1" ht="13.5" hidden="1" customHeight="1">
      <c r="A15" s="603" t="s">
        <v>46</v>
      </c>
      <c r="B15" s="591" t="s">
        <v>833</v>
      </c>
      <c r="C15" s="596"/>
      <c r="D15" s="1911"/>
      <c r="E15" s="594"/>
      <c r="F15" s="594"/>
      <c r="G15" s="595" t="s">
        <v>834</v>
      </c>
    </row>
    <row r="16" spans="1:7" s="590" customFormat="1" ht="13.5" hidden="1" customHeight="1">
      <c r="A16" s="603" t="s">
        <v>47</v>
      </c>
      <c r="B16" s="591" t="s">
        <v>826</v>
      </c>
      <c r="C16" s="596"/>
      <c r="D16" s="1911"/>
      <c r="E16" s="594"/>
      <c r="F16" s="594"/>
      <c r="G16" s="595"/>
    </row>
    <row r="17" spans="1:7" s="590" customFormat="1" ht="13.5" hidden="1" customHeight="1">
      <c r="A17" s="603" t="s">
        <v>48</v>
      </c>
      <c r="B17" s="591" t="s">
        <v>835</v>
      </c>
      <c r="C17" s="605"/>
      <c r="D17" s="1912"/>
      <c r="E17" s="605"/>
      <c r="F17" s="605"/>
      <c r="G17" s="595" t="s">
        <v>834</v>
      </c>
    </row>
    <row r="18" spans="1:7" s="590" customFormat="1" ht="13.5" hidden="1" customHeight="1">
      <c r="A18" s="603" t="s">
        <v>49</v>
      </c>
      <c r="B18" s="591" t="s">
        <v>836</v>
      </c>
      <c r="C18" s="596">
        <v>0</v>
      </c>
      <c r="D18" s="1911"/>
      <c r="E18" s="594"/>
      <c r="F18" s="597">
        <v>3.0499999999999999E-2</v>
      </c>
      <c r="G18" s="595" t="s">
        <v>837</v>
      </c>
    </row>
    <row r="19" spans="1:7" s="599" customFormat="1" ht="13.5" customHeight="1">
      <c r="A19" s="1803" t="s">
        <v>2511</v>
      </c>
      <c r="B19" s="586" t="s">
        <v>845</v>
      </c>
      <c r="C19" s="587">
        <f>IF(G19="已包含在土地取得成本中","0",ROUND(D19*E19/10000,0))</f>
        <v>143</v>
      </c>
      <c r="D19" s="1913">
        <f>'数据-汇总表'!E3</f>
        <v>7148.0899999999992</v>
      </c>
      <c r="E19" s="587">
        <f>'数据-取费表'!B31</f>
        <v>200</v>
      </c>
      <c r="F19" s="607"/>
      <c r="G19" s="84" t="s">
        <v>2533</v>
      </c>
    </row>
    <row r="20" spans="1:7" s="590" customFormat="1" ht="13.5" customHeight="1">
      <c r="A20" s="1803" t="s">
        <v>2513</v>
      </c>
      <c r="B20" s="586" t="s">
        <v>838</v>
      </c>
      <c r="C20" s="608">
        <f>ROUND((C5+C19)*F20,0)</f>
        <v>208</v>
      </c>
      <c r="D20" s="608"/>
      <c r="E20" s="608"/>
      <c r="F20" s="609">
        <f>'数据-取费表'!B37</f>
        <v>0.01</v>
      </c>
      <c r="G20" s="2621" t="s">
        <v>2524</v>
      </c>
    </row>
    <row r="21" spans="1:7" s="590" customFormat="1" ht="13.5" customHeight="1">
      <c r="A21" s="1803" t="s">
        <v>2515</v>
      </c>
      <c r="B21" s="586" t="s">
        <v>839</v>
      </c>
      <c r="C21" s="611">
        <f>F21</f>
        <v>0.01</v>
      </c>
      <c r="D21" s="612" t="s">
        <v>860</v>
      </c>
      <c r="E21" s="608"/>
      <c r="F21" s="609">
        <f>'数据-取费表'!B38</f>
        <v>0.01</v>
      </c>
      <c r="G21" s="610" t="s">
        <v>840</v>
      </c>
    </row>
    <row r="22" spans="1:7" s="590" customFormat="1" ht="13.5" customHeight="1">
      <c r="A22" s="1803" t="s">
        <v>1918</v>
      </c>
      <c r="B22" s="586" t="s">
        <v>841</v>
      </c>
      <c r="C22" s="2700">
        <f ca="1">ROUND(SUM(C23:C25),0)</f>
        <v>908</v>
      </c>
      <c r="D22" s="611">
        <f ca="1">C26</f>
        <v>2.0000000000000001E-4</v>
      </c>
      <c r="E22" s="612" t="s">
        <v>860</v>
      </c>
      <c r="F22" s="613">
        <f ca="1">'数据-取费表'!B40</f>
        <v>4.3499999999999997E-2</v>
      </c>
      <c r="G22" s="2621" t="str">
        <f>IF('数据-取费表'!B22&lt;=1,"单利计息","复利计息")</f>
        <v>单利计息</v>
      </c>
    </row>
    <row r="23" spans="1:7" s="590" customFormat="1" ht="13.5" customHeight="1">
      <c r="A23" s="1806" t="s">
        <v>1926</v>
      </c>
      <c r="B23" s="591" t="s">
        <v>2517</v>
      </c>
      <c r="C23" s="2701">
        <f ca="1">ROUND(IF('数据-取费表'!B22&lt;=1,C5*F22*'数据-取费表'!B23,C5*(POWER((1+F22),'数据-取费表'!B23)-1)),0)</f>
        <v>897</v>
      </c>
      <c r="D23" s="614"/>
      <c r="E23" s="614"/>
      <c r="F23" s="615"/>
      <c r="G23" s="616" t="s">
        <v>842</v>
      </c>
    </row>
    <row r="24" spans="1:7" s="590" customFormat="1" ht="13.5" customHeight="1">
      <c r="A24" s="1806" t="s">
        <v>1924</v>
      </c>
      <c r="B24" s="591" t="s">
        <v>2512</v>
      </c>
      <c r="C24" s="2701">
        <f ca="1">ROUND(IF('数据-取费表'!B22&lt;=1,C19*F22*('数据-取费表'!B19/2+'数据-取费表'!B21),C19*(POWER((1+F22),('数据-取费表'!B19/2+'数据-取费表'!B21))-1)),0)</f>
        <v>6</v>
      </c>
      <c r="D24" s="614"/>
      <c r="E24" s="614"/>
      <c r="F24" s="615"/>
      <c r="G24" s="616" t="s">
        <v>843</v>
      </c>
    </row>
    <row r="25" spans="1:7" s="590" customFormat="1" ht="24">
      <c r="A25" s="1806" t="s">
        <v>1925</v>
      </c>
      <c r="B25" s="591" t="s">
        <v>2514</v>
      </c>
      <c r="C25" s="2701">
        <f ca="1">ROUND(IF('数据-取费表'!B22&lt;=1,C20*F22*'数据-取费表'!B23/2,C20*(POWER((1+F22),'数据-取费表'!B23/2)-1)),0)</f>
        <v>5</v>
      </c>
      <c r="D25" s="614"/>
      <c r="E25" s="617"/>
      <c r="F25" s="615"/>
      <c r="G25" s="618" t="s">
        <v>844</v>
      </c>
    </row>
    <row r="26" spans="1:7" s="590" customFormat="1">
      <c r="A26" s="1806" t="s">
        <v>1927</v>
      </c>
      <c r="B26" s="591" t="s">
        <v>2516</v>
      </c>
      <c r="C26" s="614">
        <f ca="1">ROUND(IF('数据-取费表'!B22&lt;=1,F21*F22*'数据-取费表'!B23/2,F21*(POWER((1+F22),'数据-取费表'!B23/2)-1)),4)</f>
        <v>2.0000000000000001E-4</v>
      </c>
      <c r="D26" s="614"/>
      <c r="E26" s="617"/>
      <c r="F26" s="615"/>
      <c r="G26" s="619"/>
    </row>
    <row r="27" spans="1:7" s="590" customFormat="1" ht="24.75">
      <c r="A27" s="1803" t="s">
        <v>1919</v>
      </c>
      <c r="B27" s="620" t="s">
        <v>846</v>
      </c>
      <c r="C27" s="621">
        <f>C28</f>
        <v>5240</v>
      </c>
      <c r="D27" s="611">
        <f>C29</f>
        <v>2.5000000000000001E-3</v>
      </c>
      <c r="E27" s="612" t="s">
        <v>860</v>
      </c>
      <c r="F27" s="622">
        <f>'数据-取费表'!Q16</f>
        <v>0.25</v>
      </c>
      <c r="G27" s="623" t="s">
        <v>2525</v>
      </c>
    </row>
    <row r="28" spans="1:7" s="590" customFormat="1" ht="13.5" customHeight="1">
      <c r="A28" s="1806" t="s">
        <v>1926</v>
      </c>
      <c r="B28" s="624" t="s">
        <v>2518</v>
      </c>
      <c r="C28" s="625">
        <f>ROUND((C5+C19+C20)*F27*'数据-取费表'!B21/'数据-取费表'!B20,0)</f>
        <v>5240</v>
      </c>
      <c r="D28" s="611"/>
      <c r="E28" s="612"/>
      <c r="F28" s="622"/>
      <c r="G28" s="623"/>
    </row>
    <row r="29" spans="1:7" s="590" customFormat="1" ht="13.5" customHeight="1">
      <c r="A29" s="1806" t="s">
        <v>1924</v>
      </c>
      <c r="B29" s="624" t="s">
        <v>2519</v>
      </c>
      <c r="C29" s="614">
        <f>ROUND(C21*F27*'数据-取费表'!B21/'数据-取费表'!B20,4)</f>
        <v>2.5000000000000001E-3</v>
      </c>
      <c r="D29" s="611"/>
      <c r="E29" s="612"/>
      <c r="F29" s="622"/>
      <c r="G29" s="623"/>
    </row>
    <row r="30" spans="1:7" s="590" customFormat="1" ht="13.5" customHeight="1">
      <c r="A30" s="1803" t="s">
        <v>1920</v>
      </c>
      <c r="B30" s="586" t="s">
        <v>349</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29026</v>
      </c>
      <c r="D31" s="606"/>
      <c r="E31" s="587"/>
      <c r="F31" s="626"/>
      <c r="G31" s="610" t="s">
        <v>2526</v>
      </c>
    </row>
    <row r="32" spans="1:7" s="584" customFormat="1" ht="15.75">
      <c r="A32" s="628" t="s">
        <v>848</v>
      </c>
      <c r="B32" s="629"/>
      <c r="C32" s="629"/>
      <c r="D32" s="629"/>
      <c r="E32" s="629"/>
      <c r="F32" s="629"/>
      <c r="G32" s="630"/>
    </row>
    <row r="33" spans="1:7" s="590" customFormat="1" ht="13.5" customHeight="1">
      <c r="A33" s="631" t="s">
        <v>1914</v>
      </c>
      <c r="B33" s="586" t="s">
        <v>849</v>
      </c>
      <c r="C33" s="632">
        <f>SUM(C34:C38)</f>
        <v>1637</v>
      </c>
      <c r="D33" s="608"/>
      <c r="E33" s="588"/>
      <c r="F33" s="617"/>
      <c r="G33" s="610"/>
    </row>
    <row r="34" spans="1:7" s="634" customFormat="1" ht="13.5" customHeight="1">
      <c r="A34" s="1806" t="s">
        <v>1926</v>
      </c>
      <c r="B34" s="591" t="s">
        <v>350</v>
      </c>
      <c r="C34" s="596">
        <f>IF(F34=100%,'数据-取费表'!M16-SUMIF('数据-取费表'!C:C,"公共配套",'数据-取费表'!M:M),'数据-取费表'!O16-SUMIF('数据-取费表'!C:C,"公共配套",'数据-取费表'!O:O))</f>
        <v>1430</v>
      </c>
      <c r="D34" s="593"/>
      <c r="E34" s="596"/>
      <c r="F34" s="633">
        <f>IF('数据-取费表'!B24=0,1,'数据-取费表'!N16)</f>
        <v>1</v>
      </c>
      <c r="G34" s="595" t="s">
        <v>850</v>
      </c>
    </row>
    <row r="35" spans="1:7" ht="13.5" customHeight="1">
      <c r="A35" s="1806" t="s">
        <v>1928</v>
      </c>
      <c r="B35" s="591" t="s">
        <v>351</v>
      </c>
      <c r="C35" s="596">
        <f>ROUND(C34*F35,0)</f>
        <v>43</v>
      </c>
      <c r="D35" s="596"/>
      <c r="E35" s="596"/>
      <c r="F35" s="635">
        <f>'数据-取费表'!B33</f>
        <v>0.03</v>
      </c>
      <c r="G35" s="595" t="s">
        <v>851</v>
      </c>
    </row>
    <row r="36" spans="1:7" ht="24">
      <c r="A36" s="1806" t="s">
        <v>1929</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6" t="s">
        <v>1930</v>
      </c>
      <c r="B37" s="591" t="s">
        <v>852</v>
      </c>
      <c r="C37" s="625">
        <f>ROUND(E37*D37*F34/10000,0)</f>
        <v>143</v>
      </c>
      <c r="D37" s="593">
        <f>'数据-汇总表'!E3</f>
        <v>7148.0899999999992</v>
      </c>
      <c r="E37" s="625">
        <f>'数据-取费表'!B35</f>
        <v>200</v>
      </c>
      <c r="F37" s="635"/>
      <c r="G37" s="637" t="s">
        <v>853</v>
      </c>
    </row>
    <row r="38" spans="1:7" ht="13.5" customHeight="1">
      <c r="A38" s="1806" t="s">
        <v>1931</v>
      </c>
      <c r="B38" s="591" t="s">
        <v>354</v>
      </c>
      <c r="C38" s="596">
        <f>ROUND(C34*F38,0)</f>
        <v>21</v>
      </c>
      <c r="D38" s="596"/>
      <c r="E38" s="596"/>
      <c r="F38" s="635">
        <f>'数据-取费表'!B36</f>
        <v>1.4999999999999999E-2</v>
      </c>
      <c r="G38" s="595" t="s">
        <v>851</v>
      </c>
    </row>
    <row r="39" spans="1:7" s="590" customFormat="1" ht="13.5" customHeight="1">
      <c r="A39" s="1803" t="s">
        <v>1915</v>
      </c>
      <c r="B39" s="586" t="s">
        <v>838</v>
      </c>
      <c r="C39" s="608">
        <f>ROUND(C33*F20,0)</f>
        <v>16</v>
      </c>
      <c r="D39" s="608"/>
      <c r="E39" s="608"/>
      <c r="F39" s="609"/>
      <c r="G39" s="2621" t="s">
        <v>2527</v>
      </c>
    </row>
    <row r="40" spans="1:7" s="590" customFormat="1" ht="13.5" customHeight="1">
      <c r="A40" s="1803" t="s">
        <v>1916</v>
      </c>
      <c r="B40" s="586" t="s">
        <v>839</v>
      </c>
      <c r="C40" s="638">
        <f>F21</f>
        <v>0.01</v>
      </c>
      <c r="D40" s="612" t="s">
        <v>863</v>
      </c>
      <c r="E40" s="608"/>
      <c r="F40" s="609"/>
      <c r="G40" s="610" t="s">
        <v>854</v>
      </c>
    </row>
    <row r="41" spans="1:7" s="590" customFormat="1" ht="13.5" customHeight="1">
      <c r="A41" s="1803" t="s">
        <v>1917</v>
      </c>
      <c r="B41" s="586" t="s">
        <v>841</v>
      </c>
      <c r="C41" s="608">
        <f ca="1">ROUND(SUM(C42:C43),0)</f>
        <v>36</v>
      </c>
      <c r="D41" s="611">
        <f ca="1">C44</f>
        <v>2.0000000000000001E-4</v>
      </c>
      <c r="E41" s="612" t="s">
        <v>863</v>
      </c>
      <c r="F41" s="613"/>
      <c r="G41" s="2621" t="str">
        <f>IF('数据-取费表'!B22&lt;=1,"单利计息","复利计息")</f>
        <v>单利计息</v>
      </c>
    </row>
    <row r="42" spans="1:7" ht="13.5" customHeight="1">
      <c r="A42" s="1806" t="s">
        <v>1926</v>
      </c>
      <c r="B42" s="591" t="s">
        <v>2517</v>
      </c>
      <c r="C42" s="614">
        <f ca="1">ROUND(IF('数据-取费表'!B22&lt;=1,C33*F22*'数据-取费表'!B21/2,C33*(POWER((1+F22),'数据-取费表'!B21/2)-1)),0)</f>
        <v>36</v>
      </c>
      <c r="D42" s="614"/>
      <c r="E42" s="614"/>
      <c r="F42" s="615"/>
      <c r="G42" s="3524" t="s">
        <v>855</v>
      </c>
    </row>
    <row r="43" spans="1:7" ht="13.5" customHeight="1">
      <c r="A43" s="1806" t="s">
        <v>1924</v>
      </c>
      <c r="B43" s="591" t="s">
        <v>2520</v>
      </c>
      <c r="C43" s="614">
        <f ca="1">ROUND(IF('数据-取费表'!B22&lt;=1,C39*F22*'数据-取费表'!B21/2,C39*(POWER((1+F22),'数据-取费表'!B21/2)-1)),0)</f>
        <v>0</v>
      </c>
      <c r="D43" s="614"/>
      <c r="E43" s="614"/>
      <c r="F43" s="615"/>
      <c r="G43" s="3525"/>
    </row>
    <row r="44" spans="1:7" ht="13.5" customHeight="1">
      <c r="A44" s="1806" t="s">
        <v>1925</v>
      </c>
      <c r="B44" s="591" t="s">
        <v>2522</v>
      </c>
      <c r="C44" s="614">
        <f ca="1">ROUND(IF('数据-取费表'!B22&lt;=1,C40*F22*'数据-取费表'!B21/2,C40*(POWER((1+F22),'数据-取费表'!B21/2)-1)),4)</f>
        <v>2.0000000000000001E-4</v>
      </c>
      <c r="D44" s="614"/>
      <c r="E44" s="614"/>
      <c r="F44" s="615"/>
      <c r="G44" s="3526"/>
    </row>
    <row r="45" spans="1:7" s="590" customFormat="1" ht="13.5" customHeight="1">
      <c r="A45" s="1803" t="s">
        <v>1918</v>
      </c>
      <c r="B45" s="620" t="s">
        <v>846</v>
      </c>
      <c r="C45" s="621">
        <f>C46</f>
        <v>413</v>
      </c>
      <c r="D45" s="611">
        <f>C47</f>
        <v>2.5000000000000001E-3</v>
      </c>
      <c r="E45" s="612" t="s">
        <v>863</v>
      </c>
      <c r="F45" s="622"/>
      <c r="G45" s="623" t="s">
        <v>2528</v>
      </c>
    </row>
    <row r="46" spans="1:7" s="590" customFormat="1" ht="13.5" customHeight="1">
      <c r="A46" s="1806" t="s">
        <v>1926</v>
      </c>
      <c r="B46" s="624" t="s">
        <v>2521</v>
      </c>
      <c r="C46" s="625">
        <f>ROUND((C33+C39)*F27,0)</f>
        <v>413</v>
      </c>
      <c r="D46" s="639"/>
      <c r="E46" s="612"/>
      <c r="F46" s="622"/>
      <c r="G46" s="623"/>
    </row>
    <row r="47" spans="1:7" s="590" customFormat="1" ht="13.5" customHeight="1">
      <c r="A47" s="1806" t="s">
        <v>1924</v>
      </c>
      <c r="B47" s="624" t="s">
        <v>2523</v>
      </c>
      <c r="C47" s="614">
        <f>ROUND(C40*F27,4)</f>
        <v>2.5000000000000001E-3</v>
      </c>
      <c r="D47" s="639"/>
      <c r="E47" s="612"/>
      <c r="F47" s="622"/>
      <c r="G47" s="623"/>
    </row>
    <row r="48" spans="1:7" s="590" customFormat="1" ht="13.5" customHeight="1">
      <c r="A48" s="1803" t="s">
        <v>1919</v>
      </c>
      <c r="B48" s="586" t="s">
        <v>856</v>
      </c>
      <c r="C48" s="638">
        <f>F30</f>
        <v>5.6000000000000001E-2</v>
      </c>
      <c r="D48" s="612" t="s">
        <v>864</v>
      </c>
      <c r="E48" s="608"/>
      <c r="F48" s="613"/>
      <c r="G48" s="610" t="s">
        <v>857</v>
      </c>
    </row>
    <row r="49" spans="1:7" ht="16.5" customHeight="1">
      <c r="A49" s="1803" t="s">
        <v>1920</v>
      </c>
      <c r="B49" s="586" t="s">
        <v>865</v>
      </c>
      <c r="C49" s="608">
        <f ca="1">ROUND((C33+C39+C41+C45)/(1-C40-D41-D45-C48/(1+'数据-取费表'!B42)),0)</f>
        <v>2251</v>
      </c>
      <c r="D49" s="608"/>
      <c r="E49" s="608"/>
      <c r="F49" s="640"/>
      <c r="G49" s="610" t="s">
        <v>2529</v>
      </c>
    </row>
    <row r="50" spans="1:7" s="634" customFormat="1" ht="24">
      <c r="A50" s="1803" t="s">
        <v>1921</v>
      </c>
      <c r="B50" s="586" t="s">
        <v>858</v>
      </c>
      <c r="C50" s="608"/>
      <c r="D50" s="608"/>
      <c r="E50" s="608"/>
      <c r="F50" s="640">
        <f>IF('数据-取费表'!B24=0,'数据-取费表'!N16,1)</f>
        <v>0.7</v>
      </c>
      <c r="G50" s="623" t="s">
        <v>859</v>
      </c>
    </row>
    <row r="51" spans="1:7" ht="16.5" customHeight="1">
      <c r="A51" s="1803" t="s">
        <v>1922</v>
      </c>
      <c r="B51" s="586" t="s">
        <v>866</v>
      </c>
      <c r="C51" s="608">
        <f ca="1">ROUND(C49*F50,0)</f>
        <v>1576</v>
      </c>
      <c r="D51" s="608"/>
      <c r="E51" s="608"/>
      <c r="F51" s="640"/>
      <c r="G51" s="610" t="s">
        <v>355</v>
      </c>
    </row>
    <row r="52" spans="1:7" s="584" customFormat="1" ht="16.5" thickBot="1">
      <c r="A52" s="641" t="s">
        <v>356</v>
      </c>
      <c r="B52" s="642"/>
      <c r="C52" s="643">
        <f ca="1">C31+C51</f>
        <v>30602</v>
      </c>
      <c r="D52" s="642"/>
      <c r="E52" s="642"/>
      <c r="F52" s="642"/>
      <c r="G52" s="644"/>
    </row>
    <row r="55" spans="1:7" ht="15">
      <c r="B55" s="646" t="s">
        <v>357</v>
      </c>
      <c r="C55" s="647"/>
    </row>
    <row r="56" spans="1:7">
      <c r="B56" s="649" t="s">
        <v>358</v>
      </c>
      <c r="C56" s="650">
        <f ca="1">ROUND(C51/C52,3)</f>
        <v>5.0999999999999997E-2</v>
      </c>
    </row>
    <row r="57" spans="1:7">
      <c r="B57" s="649" t="s">
        <v>359</v>
      </c>
      <c r="C57" s="651">
        <f ca="1">1-C56</f>
        <v>0.94899999999999995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2033</v>
      </c>
      <c r="B1" s="1964"/>
      <c r="C1" s="1964"/>
      <c r="D1" s="1964"/>
      <c r="E1" s="1964"/>
    </row>
    <row r="2" spans="1:5" ht="78" customHeight="1">
      <c r="A2" s="33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0"/>
      <c r="C2" s="3340"/>
      <c r="D2" s="3340"/>
      <c r="E2" s="3340"/>
    </row>
    <row r="3" spans="1:5" ht="18.75">
      <c r="A3" s="3341" t="s">
        <v>2034</v>
      </c>
      <c r="B3" s="3341"/>
      <c r="C3" s="3341"/>
      <c r="D3" s="3341"/>
      <c r="E3" s="3341"/>
    </row>
    <row r="4" spans="1:5" ht="19.5" thickBot="1">
      <c r="A4" s="1976"/>
      <c r="B4" s="3339" t="s">
        <v>2039</v>
      </c>
      <c r="C4" s="3339"/>
      <c r="D4" s="3339"/>
      <c r="E4" s="1976"/>
    </row>
    <row r="5" spans="1:5" ht="16.5" thickTop="1">
      <c r="A5" s="1964"/>
      <c r="B5" s="3337" t="s">
        <v>2035</v>
      </c>
      <c r="C5" s="1966" t="s">
        <v>2040</v>
      </c>
      <c r="D5" s="1967">
        <f ca="1">结果表!H101</f>
        <v>17005</v>
      </c>
      <c r="E5" s="1964"/>
    </row>
    <row r="6" spans="1:5" ht="15.75">
      <c r="A6" s="1964"/>
      <c r="B6" s="3337"/>
      <c r="C6" s="1966" t="s">
        <v>2879</v>
      </c>
      <c r="D6" s="1967" t="str">
        <f ca="1">NUMBERSTRING(INT(D5*10000),2)&amp;"元整"</f>
        <v>壹亿柒仟零伍万元整</v>
      </c>
      <c r="E6" s="1964"/>
    </row>
    <row r="7" spans="1:5" ht="15.75">
      <c r="A7" s="1964"/>
      <c r="B7" s="3342"/>
      <c r="C7" s="1968" t="s">
        <v>2041</v>
      </c>
      <c r="D7" s="1969">
        <f ca="1">结果表!H102</f>
        <v>23790</v>
      </c>
      <c r="E7" s="1964"/>
    </row>
    <row r="8" spans="1:5" ht="15.75">
      <c r="A8" s="1964"/>
      <c r="B8" s="3343" t="str">
        <f>结果表!E103</f>
        <v>2.估价师知悉的法定优先受偿款</v>
      </c>
      <c r="C8" s="1970" t="s">
        <v>2042</v>
      </c>
      <c r="D8" s="1969">
        <f>结果表!H103</f>
        <v>0</v>
      </c>
      <c r="E8" s="1964"/>
    </row>
    <row r="9" spans="1:5" ht="15.75">
      <c r="A9" s="1964"/>
      <c r="B9" s="3345"/>
      <c r="C9" s="1966" t="s">
        <v>2879</v>
      </c>
      <c r="D9" s="1967" t="str">
        <f>NUMBERSTRING(INT(D8*10000),2)&amp;"元整"</f>
        <v>零元整</v>
      </c>
      <c r="E9" s="1964"/>
    </row>
    <row r="10" spans="1:5" ht="15">
      <c r="A10" s="1964"/>
      <c r="B10" s="1971" t="s">
        <v>2036</v>
      </c>
      <c r="C10" s="1972" t="s">
        <v>2042</v>
      </c>
      <c r="D10" s="1973">
        <f>结果表!H104</f>
        <v>0</v>
      </c>
      <c r="E10" s="1964"/>
    </row>
    <row r="11" spans="1:5" ht="15">
      <c r="A11" s="1964"/>
      <c r="B11" s="1971" t="s">
        <v>2037</v>
      </c>
      <c r="C11" s="1972" t="s">
        <v>2042</v>
      </c>
      <c r="D11" s="1973">
        <f>结果表!H105</f>
        <v>0</v>
      </c>
      <c r="E11" s="1964"/>
    </row>
    <row r="12" spans="1:5" ht="15">
      <c r="A12" s="1964"/>
      <c r="B12" s="1971" t="s">
        <v>2038</v>
      </c>
      <c r="C12" s="1972" t="s">
        <v>2042</v>
      </c>
      <c r="D12" s="1973">
        <f>结果表!H106</f>
        <v>0</v>
      </c>
      <c r="E12" s="1964"/>
    </row>
    <row r="13" spans="1:5" ht="15.75">
      <c r="A13" s="1964"/>
      <c r="B13" s="3336" t="str">
        <f>结果表!E107</f>
        <v>3.房地产抵押价值</v>
      </c>
      <c r="C13" s="1974" t="s">
        <v>2040</v>
      </c>
      <c r="D13" s="1977">
        <f ca="1">结果表!H107</f>
        <v>17005</v>
      </c>
      <c r="E13" s="1964"/>
    </row>
    <row r="14" spans="1:5" ht="15.75">
      <c r="A14" s="1964"/>
      <c r="B14" s="3337"/>
      <c r="C14" s="1966" t="s">
        <v>2879</v>
      </c>
      <c r="D14" s="1967" t="str">
        <f ca="1">NUMBERSTRING(INT(D13*10000),2)&amp;"元整"</f>
        <v>壹亿柒仟零伍万元整</v>
      </c>
      <c r="E14" s="1964"/>
    </row>
    <row r="15" spans="1:5" ht="15">
      <c r="A15" s="1964"/>
      <c r="B15" s="3342"/>
      <c r="C15" s="1968" t="s">
        <v>2041</v>
      </c>
      <c r="D15" s="2079">
        <f ca="1">结果表!H108</f>
        <v>23790</v>
      </c>
      <c r="E15" s="1964"/>
    </row>
    <row r="16" spans="1:5" ht="14.25">
      <c r="A16" s="1964"/>
      <c r="B16" s="3343" t="str">
        <f>结果表!E109</f>
        <v>——</v>
      </c>
      <c r="C16" s="1974" t="s">
        <v>2040</v>
      </c>
      <c r="D16" s="2080" t="str">
        <f>结果表!H109</f>
        <v>——</v>
      </c>
      <c r="E16" s="1964"/>
    </row>
    <row r="17" spans="1:5" ht="15.75">
      <c r="A17" s="1964"/>
      <c r="B17" s="3344"/>
      <c r="C17" s="1966" t="s">
        <v>2879</v>
      </c>
      <c r="D17" s="1967" t="e">
        <f>NUMBERSTRING(INT(D16*10000),2)&amp;"元整"</f>
        <v>#VALUE!</v>
      </c>
      <c r="E17" s="1964"/>
    </row>
    <row r="18" spans="1:5" ht="15">
      <c r="A18" s="1964"/>
      <c r="B18" s="3345"/>
      <c r="C18" s="1968" t="s">
        <v>2041</v>
      </c>
      <c r="D18" s="2079" t="str">
        <f>结果表!H110</f>
        <v>——</v>
      </c>
      <c r="E18" s="1964"/>
    </row>
    <row r="19" spans="1:5" ht="15.75">
      <c r="A19" s="1964"/>
      <c r="B19" s="3336" t="str">
        <f>结果表!E111</f>
        <v>——</v>
      </c>
      <c r="C19" s="1974" t="s">
        <v>2040</v>
      </c>
      <c r="D19" s="1969" t="str">
        <f>结果表!H111</f>
        <v>——</v>
      </c>
      <c r="E19" s="1964"/>
    </row>
    <row r="20" spans="1:5" ht="15.75">
      <c r="A20" s="1964"/>
      <c r="B20" s="3337"/>
      <c r="C20" s="1966" t="s">
        <v>2879</v>
      </c>
      <c r="D20" s="1967" t="e">
        <f>NUMBERSTRING(INT(D19*10000),2)&amp;"元整"</f>
        <v>#VALUE!</v>
      </c>
      <c r="E20" s="1964"/>
    </row>
    <row r="21" spans="1:5" ht="15.75" thickBot="1">
      <c r="A21" s="1964"/>
      <c r="B21" s="3338"/>
      <c r="C21" s="2081" t="s">
        <v>2041</v>
      </c>
      <c r="D21" s="2082" t="str">
        <f>结果表!H112</f>
        <v>——</v>
      </c>
      <c r="E21" s="1964"/>
    </row>
    <row r="22" spans="1:5" ht="14.25" thickTop="1">
      <c r="A22" s="1964"/>
      <c r="B22" s="1975" t="s">
        <v>2066</v>
      </c>
      <c r="C22" s="1964"/>
      <c r="D22" s="1964"/>
      <c r="E22" s="1964"/>
    </row>
    <row r="23" spans="1:5">
      <c r="A23" s="1964"/>
      <c r="B23" s="1964"/>
      <c r="C23" s="1964"/>
      <c r="D23" s="1964"/>
      <c r="E23" s="1964"/>
    </row>
    <row r="24" spans="1:5" ht="18.75">
      <c r="A24" s="1995"/>
      <c r="B24" s="1996" t="s">
        <v>2048</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03" t="s">
        <v>1172</v>
      </c>
      <c r="B1" s="3703"/>
      <c r="C1" s="3703"/>
      <c r="D1" s="3703"/>
      <c r="E1" s="3703"/>
      <c r="F1" s="3703"/>
      <c r="H1" s="1520" t="s">
        <v>1173</v>
      </c>
      <c r="I1" s="1521" t="s">
        <v>1174</v>
      </c>
      <c r="J1" s="1521" t="s">
        <v>1175</v>
      </c>
      <c r="K1" s="1521" t="s">
        <v>1176</v>
      </c>
      <c r="L1" s="1521" t="s">
        <v>1177</v>
      </c>
      <c r="M1" s="1521" t="s">
        <v>1178</v>
      </c>
      <c r="N1" s="1521" t="s">
        <v>1179</v>
      </c>
      <c r="O1" s="1521" t="s">
        <v>1180</v>
      </c>
      <c r="P1" s="1521" t="s">
        <v>1181</v>
      </c>
      <c r="Q1" s="1521" t="s">
        <v>1182</v>
      </c>
      <c r="R1" s="1521" t="s">
        <v>1183</v>
      </c>
      <c r="S1" s="1522" t="s">
        <v>1184</v>
      </c>
    </row>
    <row r="2" spans="1:19" ht="14.25" thickBot="1">
      <c r="A2" s="3704" t="s">
        <v>1185</v>
      </c>
      <c r="B2" s="3704"/>
      <c r="C2" s="3704"/>
      <c r="D2" s="3704"/>
      <c r="E2" s="3704"/>
      <c r="F2" s="3704"/>
      <c r="H2" s="1523" t="s">
        <v>1186</v>
      </c>
      <c r="I2" s="1524" t="s">
        <v>1187</v>
      </c>
      <c r="J2" s="1524" t="s">
        <v>1188</v>
      </c>
      <c r="K2" s="1524" t="s">
        <v>1189</v>
      </c>
      <c r="L2" s="1524" t="s">
        <v>1190</v>
      </c>
      <c r="M2" s="1524" t="s">
        <v>1191</v>
      </c>
      <c r="N2" s="1524" t="s">
        <v>1192</v>
      </c>
      <c r="O2" s="1524" t="s">
        <v>1193</v>
      </c>
      <c r="P2" s="1524" t="s">
        <v>1194</v>
      </c>
      <c r="Q2" s="1524" t="s">
        <v>1195</v>
      </c>
      <c r="R2" s="1524" t="s">
        <v>1196</v>
      </c>
      <c r="S2" s="1524" t="s">
        <v>1197</v>
      </c>
    </row>
    <row r="3" spans="1:19" s="1519" customFormat="1" ht="19.5" customHeight="1">
      <c r="A3" s="3705" t="s">
        <v>1198</v>
      </c>
      <c r="B3" s="1525"/>
      <c r="C3" s="1526" t="s">
        <v>1199</v>
      </c>
      <c r="D3" s="1526" t="s">
        <v>1200</v>
      </c>
      <c r="E3" s="1526" t="s">
        <v>1847</v>
      </c>
      <c r="F3" s="1526" t="s">
        <v>1202</v>
      </c>
      <c r="G3" s="1527"/>
      <c r="H3" s="1523" t="s">
        <v>1203</v>
      </c>
      <c r="I3" s="1524" t="s">
        <v>1204</v>
      </c>
      <c r="J3" s="1524" t="s">
        <v>1205</v>
      </c>
      <c r="K3" s="1524" t="s">
        <v>1206</v>
      </c>
      <c r="L3" s="1524" t="s">
        <v>1207</v>
      </c>
      <c r="M3" s="1524" t="s">
        <v>1208</v>
      </c>
      <c r="N3" s="1524" t="s">
        <v>1209</v>
      </c>
      <c r="O3" s="1524" t="s">
        <v>1210</v>
      </c>
      <c r="P3" s="1524" t="s">
        <v>1211</v>
      </c>
      <c r="Q3" s="1524" t="s">
        <v>1212</v>
      </c>
      <c r="R3" s="1524" t="s">
        <v>1213</v>
      </c>
      <c r="S3" s="1524" t="s">
        <v>1214</v>
      </c>
    </row>
    <row r="4" spans="1:19" s="1519" customFormat="1" ht="19.5" customHeight="1" thickBot="1">
      <c r="A4" s="3706"/>
      <c r="B4" s="1528" t="s">
        <v>1215</v>
      </c>
      <c r="C4" s="1528" t="s">
        <v>1216</v>
      </c>
      <c r="D4" s="1528" t="s">
        <v>1216</v>
      </c>
      <c r="E4" s="1528" t="s">
        <v>1216</v>
      </c>
      <c r="F4" s="1529" t="s">
        <v>1216</v>
      </c>
      <c r="G4" s="1527"/>
      <c r="H4" s="1523" t="s">
        <v>1217</v>
      </c>
      <c r="I4" s="1524" t="s">
        <v>1140</v>
      </c>
      <c r="J4" s="1524" t="s">
        <v>1218</v>
      </c>
      <c r="K4" s="1524" t="s">
        <v>1219</v>
      </c>
      <c r="L4" s="1524" t="s">
        <v>1220</v>
      </c>
      <c r="M4" s="1524" t="s">
        <v>1221</v>
      </c>
      <c r="N4" s="1524" t="s">
        <v>1222</v>
      </c>
      <c r="O4" s="1524" t="s">
        <v>1223</v>
      </c>
      <c r="P4" s="1524" t="s">
        <v>1224</v>
      </c>
      <c r="Q4" s="1524" t="s">
        <v>1225</v>
      </c>
      <c r="R4" s="1524" t="s">
        <v>1226</v>
      </c>
      <c r="S4" s="1524" t="s">
        <v>1227</v>
      </c>
    </row>
    <row r="5" spans="1:19" ht="14.25" customHeight="1" thickBot="1">
      <c r="A5" s="1530" t="s">
        <v>1954</v>
      </c>
      <c r="B5" s="1531" t="s">
        <v>1955</v>
      </c>
      <c r="C5" s="1531">
        <v>29530</v>
      </c>
      <c r="D5" s="1531">
        <v>28130</v>
      </c>
      <c r="E5" s="1531">
        <v>27930</v>
      </c>
      <c r="F5" s="1532">
        <v>11300</v>
      </c>
      <c r="G5" s="1527"/>
      <c r="H5" s="1523" t="s">
        <v>1229</v>
      </c>
      <c r="I5" s="1524" t="s">
        <v>1230</v>
      </c>
      <c r="J5" s="1524" t="s">
        <v>1231</v>
      </c>
      <c r="K5" s="1524" t="s">
        <v>1232</v>
      </c>
      <c r="L5" s="1524" t="s">
        <v>1233</v>
      </c>
      <c r="M5" s="1524" t="s">
        <v>1234</v>
      </c>
      <c r="N5" s="1524" t="s">
        <v>1235</v>
      </c>
      <c r="O5" s="1524" t="s">
        <v>1236</v>
      </c>
      <c r="P5" s="1524" t="s">
        <v>1237</v>
      </c>
      <c r="Q5" s="1524" t="s">
        <v>1238</v>
      </c>
      <c r="R5" s="1524" t="s">
        <v>1239</v>
      </c>
      <c r="S5" s="1524" t="s">
        <v>1240</v>
      </c>
    </row>
    <row r="6" spans="1:19" ht="14.25" customHeight="1" thickBot="1">
      <c r="A6" s="1530" t="s">
        <v>1228</v>
      </c>
      <c r="B6" s="1524" t="s">
        <v>1203</v>
      </c>
      <c r="C6" s="1524">
        <v>30290</v>
      </c>
      <c r="D6" s="1524">
        <v>29210</v>
      </c>
      <c r="E6" s="1524">
        <v>28860</v>
      </c>
      <c r="F6" s="1533">
        <v>12600</v>
      </c>
      <c r="G6" s="1527"/>
      <c r="H6" s="1523" t="s">
        <v>1241</v>
      </c>
      <c r="I6" s="1524" t="s">
        <v>1242</v>
      </c>
      <c r="J6" s="1524" t="s">
        <v>1243</v>
      </c>
      <c r="K6" s="1524" t="s">
        <v>1244</v>
      </c>
      <c r="L6" s="1524" t="s">
        <v>1245</v>
      </c>
      <c r="M6" s="1524" t="s">
        <v>1246</v>
      </c>
      <c r="N6" s="1524" t="s">
        <v>1247</v>
      </c>
      <c r="O6" s="1524" t="s">
        <v>1248</v>
      </c>
      <c r="P6" s="1524" t="s">
        <v>1249</v>
      </c>
      <c r="Q6" s="1524" t="s">
        <v>1250</v>
      </c>
      <c r="R6" s="1524" t="s">
        <v>1251</v>
      </c>
      <c r="S6" s="1524" t="s">
        <v>1252</v>
      </c>
    </row>
    <row r="7" spans="1:19" ht="14.25" customHeight="1" thickBot="1">
      <c r="A7" s="1530" t="s">
        <v>1228</v>
      </c>
      <c r="B7" s="1534" t="s">
        <v>1217</v>
      </c>
      <c r="C7" s="1524">
        <v>29350</v>
      </c>
      <c r="D7" s="1524">
        <v>28410</v>
      </c>
      <c r="E7" s="1524">
        <v>27990</v>
      </c>
      <c r="F7" s="1533">
        <v>12300</v>
      </c>
      <c r="G7" s="1527"/>
      <c r="I7" s="1524" t="s">
        <v>1253</v>
      </c>
      <c r="J7" s="1524" t="s">
        <v>1254</v>
      </c>
      <c r="K7" s="1524" t="s">
        <v>1255</v>
      </c>
      <c r="L7" s="1524" t="s">
        <v>1256</v>
      </c>
      <c r="M7" s="1524" t="s">
        <v>1257</v>
      </c>
      <c r="N7" s="1524" t="s">
        <v>1258</v>
      </c>
      <c r="O7" s="1524" t="s">
        <v>1259</v>
      </c>
      <c r="P7" s="1524" t="s">
        <v>1260</v>
      </c>
      <c r="Q7" s="1524" t="s">
        <v>1261</v>
      </c>
      <c r="R7" s="1524" t="s">
        <v>1262</v>
      </c>
      <c r="S7" s="1534" t="s">
        <v>1263</v>
      </c>
    </row>
    <row r="8" spans="1:19" ht="14.25" customHeight="1" thickBot="1">
      <c r="A8" s="1530" t="s">
        <v>1228</v>
      </c>
      <c r="B8" s="1524" t="s">
        <v>1229</v>
      </c>
      <c r="C8" s="1524">
        <v>30890</v>
      </c>
      <c r="D8" s="1524">
        <v>29780</v>
      </c>
      <c r="E8" s="1524">
        <v>29270</v>
      </c>
      <c r="F8" s="1533">
        <v>11600</v>
      </c>
      <c r="G8" s="1527"/>
      <c r="I8" s="1524" t="s">
        <v>1264</v>
      </c>
      <c r="J8" s="1524" t="s">
        <v>1265</v>
      </c>
      <c r="K8" s="1524" t="s">
        <v>1266</v>
      </c>
      <c r="L8" s="1524" t="s">
        <v>1267</v>
      </c>
      <c r="M8" s="1524" t="s">
        <v>1268</v>
      </c>
      <c r="N8" s="1524" t="s">
        <v>1269</v>
      </c>
      <c r="O8" s="1524" t="s">
        <v>1270</v>
      </c>
      <c r="P8" s="1524" t="s">
        <v>1271</v>
      </c>
      <c r="Q8" s="1524" t="s">
        <v>1272</v>
      </c>
      <c r="R8" s="1524" t="s">
        <v>1273</v>
      </c>
      <c r="S8" s="1524" t="s">
        <v>1274</v>
      </c>
    </row>
    <row r="9" spans="1:19" ht="14.25" customHeight="1" thickBot="1">
      <c r="A9" s="1530" t="s">
        <v>1228</v>
      </c>
      <c r="B9" s="1535" t="s">
        <v>1241</v>
      </c>
      <c r="C9" s="1536">
        <v>28140</v>
      </c>
      <c r="D9" s="1536"/>
      <c r="E9" s="1536"/>
      <c r="F9" s="1537"/>
      <c r="G9" s="1527"/>
      <c r="I9" s="1524" t="s">
        <v>1275</v>
      </c>
      <c r="J9" s="1524" t="s">
        <v>1276</v>
      </c>
      <c r="K9" s="1524" t="s">
        <v>1277</v>
      </c>
      <c r="L9" s="1524" t="s">
        <v>1278</v>
      </c>
      <c r="M9" s="1524" t="s">
        <v>1279</v>
      </c>
      <c r="N9" s="1524" t="s">
        <v>1280</v>
      </c>
      <c r="O9" s="1524" t="s">
        <v>1281</v>
      </c>
      <c r="P9" s="1524" t="s">
        <v>1282</v>
      </c>
      <c r="Q9" s="1524" t="s">
        <v>1283</v>
      </c>
      <c r="R9" s="1524" t="s">
        <v>1284</v>
      </c>
    </row>
    <row r="10" spans="1:19" ht="14.25" customHeight="1" thickBot="1">
      <c r="A10" s="1530" t="s">
        <v>1285</v>
      </c>
      <c r="B10" s="1531" t="s">
        <v>1286</v>
      </c>
      <c r="C10" s="1531">
        <v>27450</v>
      </c>
      <c r="D10" s="1531">
        <v>26180</v>
      </c>
      <c r="E10" s="1531">
        <v>25980</v>
      </c>
      <c r="F10" s="1532">
        <v>8910</v>
      </c>
      <c r="G10" s="1527"/>
      <c r="I10" s="1524" t="s">
        <v>1287</v>
      </c>
      <c r="J10" s="1524" t="s">
        <v>1288</v>
      </c>
      <c r="K10" s="1524" t="s">
        <v>1289</v>
      </c>
      <c r="L10" s="1524" t="s">
        <v>1290</v>
      </c>
      <c r="M10" s="1524" t="s">
        <v>1291</v>
      </c>
      <c r="N10" s="1524" t="s">
        <v>1292</v>
      </c>
      <c r="O10" s="1524" t="s">
        <v>1293</v>
      </c>
      <c r="P10" s="1524" t="s">
        <v>1294</v>
      </c>
      <c r="Q10" s="1524" t="s">
        <v>1295</v>
      </c>
      <c r="R10" s="1524" t="s">
        <v>1296</v>
      </c>
    </row>
    <row r="11" spans="1:19" ht="14.25" customHeight="1" thickBot="1">
      <c r="A11" s="1530" t="s">
        <v>1285</v>
      </c>
      <c r="B11" s="1534" t="s">
        <v>1204</v>
      </c>
      <c r="C11" s="1524">
        <v>22950</v>
      </c>
      <c r="D11" s="1524">
        <v>22630</v>
      </c>
      <c r="E11" s="1524">
        <v>22030</v>
      </c>
      <c r="F11" s="1538">
        <v>8330</v>
      </c>
      <c r="G11" s="1527"/>
      <c r="I11" s="1524" t="s">
        <v>1297</v>
      </c>
      <c r="J11" s="1524" t="s">
        <v>1298</v>
      </c>
      <c r="K11" s="1524" t="s">
        <v>1299</v>
      </c>
      <c r="L11" s="1524" t="s">
        <v>1300</v>
      </c>
      <c r="M11" s="1524" t="s">
        <v>1301</v>
      </c>
      <c r="N11" s="1524" t="s">
        <v>1302</v>
      </c>
      <c r="O11" s="1524" t="s">
        <v>1303</v>
      </c>
      <c r="P11" s="1524" t="s">
        <v>1304</v>
      </c>
      <c r="Q11" s="1524" t="s">
        <v>1305</v>
      </c>
      <c r="R11" s="1524" t="s">
        <v>1306</v>
      </c>
    </row>
    <row r="12" spans="1:19" ht="14.25" customHeight="1" thickBot="1">
      <c r="A12" s="1530" t="s">
        <v>1285</v>
      </c>
      <c r="B12" s="1534" t="s">
        <v>1140</v>
      </c>
      <c r="C12" s="1524">
        <v>24940</v>
      </c>
      <c r="D12" s="1524">
        <v>23180</v>
      </c>
      <c r="E12" s="1524">
        <v>22910</v>
      </c>
      <c r="F12" s="1538">
        <v>7180</v>
      </c>
      <c r="G12" s="1527"/>
      <c r="I12" s="1524" t="s">
        <v>1307</v>
      </c>
      <c r="J12" s="1524" t="s">
        <v>1308</v>
      </c>
      <c r="K12" s="1524" t="s">
        <v>1309</v>
      </c>
      <c r="L12" s="1524" t="s">
        <v>1310</v>
      </c>
      <c r="M12" s="1524" t="s">
        <v>1311</v>
      </c>
      <c r="N12" s="1524" t="s">
        <v>1312</v>
      </c>
      <c r="O12" s="1524" t="s">
        <v>1313</v>
      </c>
      <c r="P12" s="1524" t="s">
        <v>1314</v>
      </c>
      <c r="Q12" s="1524" t="s">
        <v>1315</v>
      </c>
      <c r="R12" s="1524" t="s">
        <v>1316</v>
      </c>
    </row>
    <row r="13" spans="1:19" ht="14.25" customHeight="1" thickBot="1">
      <c r="A13" s="1530" t="s">
        <v>1285</v>
      </c>
      <c r="B13" s="1534" t="s">
        <v>1230</v>
      </c>
      <c r="C13" s="1524">
        <v>24140</v>
      </c>
      <c r="D13" s="1524">
        <v>22270</v>
      </c>
      <c r="E13" s="1524">
        <v>21950</v>
      </c>
      <c r="F13" s="1538">
        <v>7600</v>
      </c>
      <c r="G13" s="1527"/>
      <c r="I13" s="1524" t="s">
        <v>1317</v>
      </c>
      <c r="J13" s="1524" t="s">
        <v>1318</v>
      </c>
      <c r="K13" s="1524" t="s">
        <v>1319</v>
      </c>
      <c r="L13" s="1524" t="s">
        <v>1320</v>
      </c>
      <c r="M13" s="1524" t="s">
        <v>1321</v>
      </c>
      <c r="N13" s="1524" t="s">
        <v>1322</v>
      </c>
      <c r="O13" s="1524" t="s">
        <v>1323</v>
      </c>
      <c r="P13" s="1524" t="s">
        <v>1324</v>
      </c>
      <c r="Q13" s="1524" t="s">
        <v>1325</v>
      </c>
      <c r="R13" s="1524" t="s">
        <v>1326</v>
      </c>
    </row>
    <row r="14" spans="1:19" ht="14.25" customHeight="1" thickBot="1">
      <c r="A14" s="1530" t="s">
        <v>1285</v>
      </c>
      <c r="B14" s="1534" t="s">
        <v>1242</v>
      </c>
      <c r="C14" s="1524">
        <v>25600</v>
      </c>
      <c r="D14" s="1524">
        <v>22260</v>
      </c>
      <c r="E14" s="1524">
        <v>22110</v>
      </c>
      <c r="F14" s="1538">
        <v>7630</v>
      </c>
      <c r="G14" s="1527"/>
      <c r="I14" s="1524" t="s">
        <v>1327</v>
      </c>
      <c r="J14" s="1524" t="s">
        <v>1328</v>
      </c>
      <c r="K14" s="1524" t="s">
        <v>1329</v>
      </c>
      <c r="L14" s="1524" t="s">
        <v>1330</v>
      </c>
      <c r="M14" s="1524" t="s">
        <v>1331</v>
      </c>
      <c r="N14" s="1524" t="s">
        <v>1332</v>
      </c>
      <c r="O14" s="1524" t="s">
        <v>1333</v>
      </c>
      <c r="P14" s="1524" t="s">
        <v>1334</v>
      </c>
      <c r="Q14" s="1524" t="s">
        <v>1335</v>
      </c>
      <c r="R14" s="1524" t="s">
        <v>1336</v>
      </c>
    </row>
    <row r="15" spans="1:19" ht="14.25" customHeight="1" thickBot="1">
      <c r="A15" s="1530" t="s">
        <v>1285</v>
      </c>
      <c r="B15" s="1534" t="s">
        <v>1253</v>
      </c>
      <c r="C15" s="1524">
        <v>24760</v>
      </c>
      <c r="D15" s="1524">
        <v>24440</v>
      </c>
      <c r="E15" s="1524">
        <v>24130</v>
      </c>
      <c r="F15" s="1538">
        <v>9480</v>
      </c>
      <c r="G15" s="1527"/>
      <c r="I15" s="1524" t="s">
        <v>1338</v>
      </c>
      <c r="J15" s="1524" t="s">
        <v>1339</v>
      </c>
      <c r="K15" s="1524" t="s">
        <v>1340</v>
      </c>
      <c r="L15" s="1524" t="s">
        <v>1341</v>
      </c>
      <c r="M15" s="1524" t="s">
        <v>1342</v>
      </c>
      <c r="N15" s="1524" t="s">
        <v>1343</v>
      </c>
      <c r="O15" s="1524" t="s">
        <v>1344</v>
      </c>
      <c r="P15" s="1524" t="s">
        <v>1345</v>
      </c>
      <c r="Q15" s="1524" t="s">
        <v>1346</v>
      </c>
      <c r="R15" s="1524" t="s">
        <v>1347</v>
      </c>
    </row>
    <row r="16" spans="1:19" ht="14.25" customHeight="1" thickBot="1">
      <c r="A16" s="1530" t="s">
        <v>1285</v>
      </c>
      <c r="B16" s="1534" t="s">
        <v>1264</v>
      </c>
      <c r="C16" s="1524">
        <v>22220</v>
      </c>
      <c r="D16" s="1524">
        <v>22310</v>
      </c>
      <c r="E16" s="1524">
        <v>22000</v>
      </c>
      <c r="F16" s="1538">
        <v>8900</v>
      </c>
      <c r="G16" s="1527"/>
      <c r="I16" s="1524" t="s">
        <v>1349</v>
      </c>
      <c r="J16" s="1524" t="s">
        <v>1350</v>
      </c>
      <c r="K16" s="1524" t="s">
        <v>1351</v>
      </c>
      <c r="L16" s="1524" t="s">
        <v>1352</v>
      </c>
      <c r="M16" s="1524" t="s">
        <v>1353</v>
      </c>
      <c r="N16" s="1524" t="s">
        <v>1354</v>
      </c>
      <c r="O16" s="1524" t="s">
        <v>1355</v>
      </c>
      <c r="P16" s="1524" t="s">
        <v>1356</v>
      </c>
      <c r="Q16" s="1524" t="s">
        <v>1357</v>
      </c>
      <c r="R16" s="1524" t="s">
        <v>1358</v>
      </c>
    </row>
    <row r="17" spans="1:18" ht="14.25" customHeight="1" thickBot="1">
      <c r="A17" s="1530" t="s">
        <v>1285</v>
      </c>
      <c r="B17" s="1534" t="s">
        <v>1275</v>
      </c>
      <c r="C17" s="1524">
        <v>24700</v>
      </c>
      <c r="D17" s="1524">
        <v>25150</v>
      </c>
      <c r="E17" s="1524">
        <v>24700</v>
      </c>
      <c r="F17" s="1539"/>
      <c r="G17" s="1527"/>
      <c r="I17" s="1524" t="s">
        <v>1359</v>
      </c>
      <c r="J17" s="1524" t="s">
        <v>1360</v>
      </c>
      <c r="K17" s="1524" t="s">
        <v>1361</v>
      </c>
      <c r="L17" s="1524" t="s">
        <v>1362</v>
      </c>
      <c r="M17" s="1524" t="s">
        <v>1363</v>
      </c>
      <c r="N17" s="1524" t="s">
        <v>1364</v>
      </c>
      <c r="O17" s="1524" t="s">
        <v>1365</v>
      </c>
      <c r="P17" s="1524" t="s">
        <v>1366</v>
      </c>
      <c r="Q17" s="1524" t="s">
        <v>1367</v>
      </c>
      <c r="R17" s="1524" t="s">
        <v>1368</v>
      </c>
    </row>
    <row r="18" spans="1:18" ht="14.25" customHeight="1" thickBot="1">
      <c r="A18" s="1530" t="s">
        <v>1285</v>
      </c>
      <c r="B18" s="1534" t="s">
        <v>1287</v>
      </c>
      <c r="C18" s="1524">
        <v>22350</v>
      </c>
      <c r="D18" s="1524">
        <v>24340</v>
      </c>
      <c r="E18" s="1524">
        <v>24100</v>
      </c>
      <c r="F18" s="1539"/>
      <c r="G18" s="1527"/>
      <c r="I18" s="1524" t="s">
        <v>1369</v>
      </c>
      <c r="J18" s="1524" t="s">
        <v>1370</v>
      </c>
      <c r="K18" s="1524" t="s">
        <v>1371</v>
      </c>
      <c r="L18" s="1524" t="s">
        <v>1372</v>
      </c>
      <c r="M18" s="1524" t="s">
        <v>1373</v>
      </c>
      <c r="N18" s="1524" t="s">
        <v>1374</v>
      </c>
      <c r="O18" s="1524" t="s">
        <v>1375</v>
      </c>
      <c r="P18" s="1524" t="s">
        <v>1376</v>
      </c>
      <c r="Q18" s="1524" t="s">
        <v>1377</v>
      </c>
      <c r="R18" s="1524" t="s">
        <v>1378</v>
      </c>
    </row>
    <row r="19" spans="1:18" ht="14.25" customHeight="1" thickBot="1">
      <c r="A19" s="1530" t="s">
        <v>1285</v>
      </c>
      <c r="B19" s="1534" t="s">
        <v>1297</v>
      </c>
      <c r="C19" s="1524">
        <v>23430</v>
      </c>
      <c r="D19" s="1524">
        <v>21580</v>
      </c>
      <c r="E19" s="1524">
        <v>21350</v>
      </c>
      <c r="F19" s="1539"/>
      <c r="G19" s="1527"/>
      <c r="I19" s="1524" t="s">
        <v>1379</v>
      </c>
      <c r="J19" s="1524" t="s">
        <v>1380</v>
      </c>
      <c r="K19" s="1524" t="s">
        <v>1381</v>
      </c>
      <c r="L19" s="1524" t="s">
        <v>1382</v>
      </c>
      <c r="M19" s="1524" t="s">
        <v>1383</v>
      </c>
      <c r="N19" s="1524" t="s">
        <v>1384</v>
      </c>
      <c r="O19" s="1524" t="s">
        <v>1385</v>
      </c>
      <c r="P19" s="1524" t="s">
        <v>1386</v>
      </c>
      <c r="Q19" s="1524" t="s">
        <v>1387</v>
      </c>
      <c r="R19" s="1524" t="s">
        <v>1388</v>
      </c>
    </row>
    <row r="20" spans="1:18" ht="14.25" customHeight="1" thickBot="1">
      <c r="A20" s="1530" t="s">
        <v>1285</v>
      </c>
      <c r="B20" s="1534" t="s">
        <v>1307</v>
      </c>
      <c r="C20" s="1524">
        <v>27660</v>
      </c>
      <c r="D20" s="1524">
        <v>24240</v>
      </c>
      <c r="E20" s="1524">
        <v>24020</v>
      </c>
      <c r="F20" s="1539"/>
      <c r="I20" s="1524" t="s">
        <v>1389</v>
      </c>
      <c r="J20" s="1524" t="s">
        <v>1390</v>
      </c>
      <c r="K20" s="1524" t="s">
        <v>1391</v>
      </c>
      <c r="L20" s="1524" t="s">
        <v>1392</v>
      </c>
      <c r="M20" s="1524" t="s">
        <v>1393</v>
      </c>
      <c r="N20" s="1524" t="s">
        <v>1394</v>
      </c>
      <c r="O20" s="1524" t="s">
        <v>1395</v>
      </c>
      <c r="P20" s="1524" t="s">
        <v>1396</v>
      </c>
      <c r="Q20" s="1524" t="s">
        <v>1397</v>
      </c>
      <c r="R20" s="1524" t="s">
        <v>1398</v>
      </c>
    </row>
    <row r="21" spans="1:18" ht="14.25" customHeight="1" thickBot="1">
      <c r="A21" s="1530" t="s">
        <v>1285</v>
      </c>
      <c r="B21" s="1534" t="s">
        <v>1317</v>
      </c>
      <c r="C21" s="1524">
        <v>24720</v>
      </c>
      <c r="D21" s="1524">
        <v>21670</v>
      </c>
      <c r="E21" s="1524">
        <v>21510</v>
      </c>
      <c r="F21" s="1539"/>
      <c r="J21" s="1524" t="s">
        <v>1399</v>
      </c>
      <c r="K21" s="1524" t="s">
        <v>1400</v>
      </c>
      <c r="L21" s="1524" t="s">
        <v>1401</v>
      </c>
      <c r="M21" s="1524" t="s">
        <v>1402</v>
      </c>
      <c r="N21" s="1524" t="s">
        <v>1403</v>
      </c>
      <c r="O21" s="1524" t="s">
        <v>1404</v>
      </c>
      <c r="P21" s="1524" t="s">
        <v>1405</v>
      </c>
      <c r="Q21" s="1524" t="s">
        <v>1406</v>
      </c>
      <c r="R21" s="1524" t="s">
        <v>1407</v>
      </c>
    </row>
    <row r="22" spans="1:18" ht="14.25" customHeight="1" thickBot="1">
      <c r="A22" s="1530" t="s">
        <v>1285</v>
      </c>
      <c r="B22" s="1534" t="s">
        <v>1408</v>
      </c>
      <c r="C22" s="1524">
        <v>26530</v>
      </c>
      <c r="D22" s="1524">
        <v>22980</v>
      </c>
      <c r="E22" s="1524">
        <v>22650</v>
      </c>
      <c r="F22" s="1539"/>
      <c r="K22" s="1524" t="s">
        <v>1409</v>
      </c>
      <c r="L22" s="1524" t="s">
        <v>1410</v>
      </c>
      <c r="M22" s="1524" t="s">
        <v>1411</v>
      </c>
      <c r="N22" s="1524" t="s">
        <v>1412</v>
      </c>
      <c r="O22" s="1524" t="s">
        <v>1413</v>
      </c>
      <c r="P22" s="1524" t="s">
        <v>1414</v>
      </c>
      <c r="Q22" s="1524" t="s">
        <v>1415</v>
      </c>
      <c r="R22" s="1534" t="s">
        <v>1416</v>
      </c>
    </row>
    <row r="23" spans="1:18" ht="14.25" customHeight="1" thickBot="1">
      <c r="A23" s="1530" t="s">
        <v>1285</v>
      </c>
      <c r="B23" s="1534" t="s">
        <v>1338</v>
      </c>
      <c r="C23" s="1524">
        <v>24700</v>
      </c>
      <c r="D23" s="1524">
        <v>27290</v>
      </c>
      <c r="E23" s="1524">
        <v>26710</v>
      </c>
      <c r="F23" s="1539"/>
      <c r="K23" s="1524" t="s">
        <v>1417</v>
      </c>
      <c r="L23" s="1524" t="s">
        <v>1418</v>
      </c>
      <c r="M23" s="1524" t="s">
        <v>1419</v>
      </c>
      <c r="N23" s="1524" t="s">
        <v>1420</v>
      </c>
      <c r="O23" s="1524" t="s">
        <v>1421</v>
      </c>
      <c r="P23" s="1524" t="s">
        <v>1422</v>
      </c>
      <c r="Q23" s="1524" t="s">
        <v>1423</v>
      </c>
    </row>
    <row r="24" spans="1:18" ht="14.25" customHeight="1" thickBot="1">
      <c r="A24" s="1530" t="s">
        <v>1285</v>
      </c>
      <c r="B24" s="1534" t="s">
        <v>1349</v>
      </c>
      <c r="C24" s="1524">
        <v>23070</v>
      </c>
      <c r="D24" s="1524">
        <v>24130</v>
      </c>
      <c r="E24" s="1524">
        <v>23860</v>
      </c>
      <c r="F24" s="1539"/>
      <c r="K24" s="1524" t="s">
        <v>1424</v>
      </c>
      <c r="L24" s="1524" t="s">
        <v>1425</v>
      </c>
      <c r="M24" s="1524" t="s">
        <v>1426</v>
      </c>
      <c r="N24" s="1524" t="s">
        <v>1427</v>
      </c>
      <c r="O24" s="1524" t="s">
        <v>1428</v>
      </c>
      <c r="P24" s="1524" t="s">
        <v>1429</v>
      </c>
      <c r="Q24" s="1524" t="s">
        <v>1430</v>
      </c>
    </row>
    <row r="25" spans="1:18" ht="14.25" customHeight="1" thickBot="1">
      <c r="A25" s="1530" t="s">
        <v>1285</v>
      </c>
      <c r="B25" s="1534" t="s">
        <v>1359</v>
      </c>
      <c r="C25" s="1524">
        <v>27550</v>
      </c>
      <c r="D25" s="1524">
        <v>25850</v>
      </c>
      <c r="E25" s="1524">
        <v>25340</v>
      </c>
      <c r="F25" s="1539"/>
      <c r="K25" s="1524" t="s">
        <v>1431</v>
      </c>
      <c r="L25" s="1524" t="s">
        <v>1432</v>
      </c>
      <c r="M25" s="1524" t="s">
        <v>1433</v>
      </c>
      <c r="N25" s="1524" t="s">
        <v>1434</v>
      </c>
      <c r="O25" s="1524" t="s">
        <v>1435</v>
      </c>
      <c r="P25" s="1524" t="s">
        <v>1436</v>
      </c>
      <c r="Q25" s="1524" t="s">
        <v>1437</v>
      </c>
    </row>
    <row r="26" spans="1:18" ht="14.25" customHeight="1" thickBot="1">
      <c r="A26" s="1530" t="s">
        <v>1285</v>
      </c>
      <c r="B26" s="1534" t="s">
        <v>1369</v>
      </c>
      <c r="C26" s="1524"/>
      <c r="D26" s="1524">
        <v>23900</v>
      </c>
      <c r="E26" s="1524">
        <v>23590</v>
      </c>
      <c r="F26" s="1539"/>
      <c r="K26" s="1524" t="s">
        <v>1438</v>
      </c>
      <c r="L26" s="1524" t="s">
        <v>1439</v>
      </c>
      <c r="M26" s="1524" t="s">
        <v>1440</v>
      </c>
      <c r="N26" s="1524" t="s">
        <v>1441</v>
      </c>
      <c r="O26" s="1524" t="s">
        <v>1442</v>
      </c>
      <c r="P26" s="1524" t="s">
        <v>1443</v>
      </c>
      <c r="Q26" s="1524" t="s">
        <v>1444</v>
      </c>
    </row>
    <row r="27" spans="1:18" ht="14.25" customHeight="1" thickBot="1">
      <c r="A27" s="1530" t="s">
        <v>1285</v>
      </c>
      <c r="B27" s="1534" t="s">
        <v>1379</v>
      </c>
      <c r="C27" s="1524"/>
      <c r="D27" s="1524">
        <v>22850</v>
      </c>
      <c r="E27" s="1524">
        <v>21920</v>
      </c>
      <c r="F27" s="1539"/>
      <c r="K27" s="1524" t="s">
        <v>1445</v>
      </c>
      <c r="L27" s="1524" t="s">
        <v>1446</v>
      </c>
      <c r="M27" s="1524" t="s">
        <v>1447</v>
      </c>
      <c r="N27" s="1524" t="s">
        <v>1448</v>
      </c>
      <c r="O27" s="1524" t="s">
        <v>1449</v>
      </c>
      <c r="P27" s="1524" t="s">
        <v>1450</v>
      </c>
      <c r="Q27" s="1524" t="s">
        <v>1451</v>
      </c>
    </row>
    <row r="28" spans="1:18" ht="14.25" customHeight="1" thickBot="1">
      <c r="A28" s="1540" t="s">
        <v>1285</v>
      </c>
      <c r="B28" s="1535" t="s">
        <v>1389</v>
      </c>
      <c r="C28" s="1536"/>
      <c r="D28" s="1536">
        <v>26610</v>
      </c>
      <c r="E28" s="1536">
        <v>26370</v>
      </c>
      <c r="F28" s="1537"/>
      <c r="K28" s="1524" t="s">
        <v>1452</v>
      </c>
      <c r="L28" s="1524" t="s">
        <v>1453</v>
      </c>
      <c r="M28" s="1524" t="s">
        <v>1454</v>
      </c>
      <c r="N28" s="1524" t="s">
        <v>1455</v>
      </c>
      <c r="O28" s="1524" t="s">
        <v>1456</v>
      </c>
      <c r="P28" s="1524" t="s">
        <v>1457</v>
      </c>
    </row>
    <row r="29" spans="1:18" ht="14.25" customHeight="1" thickBot="1">
      <c r="A29" s="1530" t="s">
        <v>1458</v>
      </c>
      <c r="B29" s="1531" t="s">
        <v>1459</v>
      </c>
      <c r="C29" s="1531">
        <v>22090</v>
      </c>
      <c r="D29" s="1531">
        <v>21860</v>
      </c>
      <c r="E29" s="1531">
        <v>19380</v>
      </c>
      <c r="F29" s="1532">
        <v>6610</v>
      </c>
      <c r="L29" s="1524" t="s">
        <v>1460</v>
      </c>
      <c r="M29" s="1524" t="s">
        <v>1461</v>
      </c>
      <c r="N29" s="1524" t="s">
        <v>1462</v>
      </c>
      <c r="O29" s="1524" t="s">
        <v>1463</v>
      </c>
      <c r="P29" s="1524" t="s">
        <v>1464</v>
      </c>
    </row>
    <row r="30" spans="1:18" ht="14.25" customHeight="1" thickBot="1">
      <c r="A30" s="1530" t="s">
        <v>1458</v>
      </c>
      <c r="B30" s="1534" t="s">
        <v>1205</v>
      </c>
      <c r="C30" s="1524">
        <v>21380</v>
      </c>
      <c r="D30" s="1524">
        <v>19930</v>
      </c>
      <c r="E30" s="1524">
        <v>19860</v>
      </c>
      <c r="F30" s="1538">
        <v>6010</v>
      </c>
      <c r="L30" s="1524" t="s">
        <v>1465</v>
      </c>
      <c r="M30" s="1524" t="s">
        <v>1466</v>
      </c>
      <c r="N30" s="1524" t="s">
        <v>1467</v>
      </c>
      <c r="O30" s="1524" t="s">
        <v>2502</v>
      </c>
      <c r="P30" s="1524" t="s">
        <v>1468</v>
      </c>
    </row>
    <row r="31" spans="1:18" ht="14.25" customHeight="1" thickBot="1">
      <c r="A31" s="1530" t="s">
        <v>1458</v>
      </c>
      <c r="B31" s="1534" t="s">
        <v>1218</v>
      </c>
      <c r="C31" s="1524">
        <v>21670</v>
      </c>
      <c r="D31" s="1524">
        <v>20660</v>
      </c>
      <c r="E31" s="1524">
        <v>20290</v>
      </c>
      <c r="F31" s="1538">
        <v>5840</v>
      </c>
      <c r="L31" s="1524" t="s">
        <v>1469</v>
      </c>
      <c r="M31" s="1524" t="s">
        <v>1470</v>
      </c>
      <c r="N31" s="1524" t="s">
        <v>1471</v>
      </c>
      <c r="O31" s="1524" t="s">
        <v>1472</v>
      </c>
      <c r="P31" s="1524" t="s">
        <v>1473</v>
      </c>
    </row>
    <row r="32" spans="1:18" ht="14.25" customHeight="1" thickBot="1">
      <c r="A32" s="1530" t="s">
        <v>1458</v>
      </c>
      <c r="B32" s="1534" t="s">
        <v>1231</v>
      </c>
      <c r="C32" s="1524">
        <v>22280</v>
      </c>
      <c r="D32" s="1524">
        <v>21800</v>
      </c>
      <c r="E32" s="1524">
        <v>17650</v>
      </c>
      <c r="F32" s="1538">
        <v>4690</v>
      </c>
      <c r="L32" s="1524" t="s">
        <v>1474</v>
      </c>
      <c r="M32" s="1524" t="s">
        <v>1475</v>
      </c>
      <c r="N32" s="1524" t="s">
        <v>1476</v>
      </c>
      <c r="O32" s="1524" t="s">
        <v>1477</v>
      </c>
      <c r="P32" s="1524" t="s">
        <v>1478</v>
      </c>
    </row>
    <row r="33" spans="1:16" ht="14.25" customHeight="1" thickBot="1">
      <c r="A33" s="1530" t="s">
        <v>1458</v>
      </c>
      <c r="B33" s="1534" t="s">
        <v>1243</v>
      </c>
      <c r="C33" s="1524">
        <v>22130</v>
      </c>
      <c r="D33" s="1524">
        <v>20460</v>
      </c>
      <c r="E33" s="1524">
        <v>18500</v>
      </c>
      <c r="F33" s="1538">
        <v>5340</v>
      </c>
      <c r="L33" s="1524" t="s">
        <v>1479</v>
      </c>
      <c r="M33" s="1524" t="s">
        <v>1480</v>
      </c>
      <c r="N33" s="1524" t="s">
        <v>1481</v>
      </c>
      <c r="O33" s="1524" t="s">
        <v>1482</v>
      </c>
      <c r="P33" s="1524" t="s">
        <v>1483</v>
      </c>
    </row>
    <row r="34" spans="1:16" ht="14.25" customHeight="1" thickBot="1">
      <c r="A34" s="1530" t="s">
        <v>1458</v>
      </c>
      <c r="B34" s="1534" t="s">
        <v>1254</v>
      </c>
      <c r="C34" s="1524">
        <v>22070</v>
      </c>
      <c r="D34" s="1524">
        <v>20110</v>
      </c>
      <c r="E34" s="1524">
        <v>18830</v>
      </c>
      <c r="F34" s="1538">
        <v>5190</v>
      </c>
      <c r="L34" s="1524" t="s">
        <v>1484</v>
      </c>
      <c r="M34" s="1524" t="s">
        <v>1485</v>
      </c>
      <c r="N34" s="1524" t="s">
        <v>1486</v>
      </c>
      <c r="O34" s="1524" t="s">
        <v>1487</v>
      </c>
      <c r="P34" s="1524" t="s">
        <v>1488</v>
      </c>
    </row>
    <row r="35" spans="1:16" ht="14.25" customHeight="1" thickBot="1">
      <c r="A35" s="1530" t="s">
        <v>1458</v>
      </c>
      <c r="B35" s="1534" t="s">
        <v>1265</v>
      </c>
      <c r="C35" s="1524">
        <v>22240</v>
      </c>
      <c r="D35" s="1524">
        <v>19550</v>
      </c>
      <c r="E35" s="1524">
        <v>19220</v>
      </c>
      <c r="F35" s="1538">
        <v>5800</v>
      </c>
      <c r="L35" s="1524" t="s">
        <v>1489</v>
      </c>
      <c r="M35" s="1524" t="s">
        <v>1490</v>
      </c>
      <c r="N35" s="1524" t="s">
        <v>1491</v>
      </c>
      <c r="O35" s="1524" t="s">
        <v>1492</v>
      </c>
      <c r="P35" s="1524" t="s">
        <v>1493</v>
      </c>
    </row>
    <row r="36" spans="1:16" ht="14.25" customHeight="1" thickBot="1">
      <c r="A36" s="1530" t="s">
        <v>1458</v>
      </c>
      <c r="B36" s="1534" t="s">
        <v>1276</v>
      </c>
      <c r="C36" s="1524">
        <v>19750</v>
      </c>
      <c r="D36" s="1524">
        <v>19790</v>
      </c>
      <c r="E36" s="1524">
        <v>18510</v>
      </c>
      <c r="F36" s="1538">
        <v>6520</v>
      </c>
      <c r="M36" s="1524" t="s">
        <v>1494</v>
      </c>
      <c r="N36" s="1524" t="s">
        <v>1495</v>
      </c>
      <c r="O36" s="1524" t="s">
        <v>1496</v>
      </c>
      <c r="P36" s="1524" t="s">
        <v>1497</v>
      </c>
    </row>
    <row r="37" spans="1:16" ht="14.25" customHeight="1" thickBot="1">
      <c r="A37" s="1530" t="s">
        <v>1458</v>
      </c>
      <c r="B37" s="1534" t="s">
        <v>1288</v>
      </c>
      <c r="C37" s="1524">
        <v>22380</v>
      </c>
      <c r="D37" s="1524">
        <v>18530</v>
      </c>
      <c r="E37" s="1524">
        <v>17930</v>
      </c>
      <c r="F37" s="1538">
        <v>6270</v>
      </c>
      <c r="M37" s="1524" t="s">
        <v>1498</v>
      </c>
      <c r="N37" s="1524" t="s">
        <v>1499</v>
      </c>
      <c r="O37" s="1524" t="s">
        <v>1500</v>
      </c>
      <c r="P37" s="1524" t="s">
        <v>1501</v>
      </c>
    </row>
    <row r="38" spans="1:16" ht="14.25" customHeight="1" thickBot="1">
      <c r="A38" s="1530" t="s">
        <v>1458</v>
      </c>
      <c r="B38" s="1534" t="s">
        <v>1298</v>
      </c>
      <c r="C38" s="1524">
        <v>20200</v>
      </c>
      <c r="D38" s="1524">
        <v>20070</v>
      </c>
      <c r="E38" s="1524">
        <v>19950</v>
      </c>
      <c r="F38" s="1538"/>
      <c r="M38" s="1524" t="s">
        <v>1502</v>
      </c>
      <c r="N38" s="1524" t="s">
        <v>1503</v>
      </c>
      <c r="O38" s="1524" t="s">
        <v>1504</v>
      </c>
      <c r="P38" s="1524" t="s">
        <v>1505</v>
      </c>
    </row>
    <row r="39" spans="1:16" ht="14.25" customHeight="1" thickBot="1">
      <c r="A39" s="1530" t="s">
        <v>1458</v>
      </c>
      <c r="B39" s="1534" t="s">
        <v>1308</v>
      </c>
      <c r="C39" s="1524">
        <v>19300</v>
      </c>
      <c r="D39" s="1524">
        <v>20360</v>
      </c>
      <c r="E39" s="1524">
        <v>20230</v>
      </c>
      <c r="F39" s="1538"/>
      <c r="M39" s="1524" t="s">
        <v>1506</v>
      </c>
      <c r="N39" s="1524" t="s">
        <v>1507</v>
      </c>
      <c r="O39" s="1524" t="s">
        <v>1508</v>
      </c>
      <c r="P39" s="1524" t="s">
        <v>1509</v>
      </c>
    </row>
    <row r="40" spans="1:16" ht="14.25" customHeight="1" thickBot="1">
      <c r="A40" s="1530" t="s">
        <v>1458</v>
      </c>
      <c r="B40" s="1534" t="s">
        <v>1318</v>
      </c>
      <c r="C40" s="1524">
        <v>20210</v>
      </c>
      <c r="D40" s="1524">
        <v>19060</v>
      </c>
      <c r="E40" s="1524">
        <v>18890</v>
      </c>
      <c r="F40" s="1538"/>
      <c r="M40" s="1524" t="s">
        <v>1510</v>
      </c>
      <c r="N40" s="1524" t="s">
        <v>1511</v>
      </c>
      <c r="O40" s="1524" t="s">
        <v>1512</v>
      </c>
      <c r="P40" s="1524" t="s">
        <v>1513</v>
      </c>
    </row>
    <row r="41" spans="1:16" ht="14.25" customHeight="1" thickBot="1">
      <c r="A41" s="1530" t="s">
        <v>1458</v>
      </c>
      <c r="B41" s="1534" t="s">
        <v>1328</v>
      </c>
      <c r="C41" s="1524">
        <v>20560</v>
      </c>
      <c r="D41" s="1524">
        <v>21040</v>
      </c>
      <c r="E41" s="1524">
        <v>20740</v>
      </c>
      <c r="F41" s="1538"/>
      <c r="M41" s="1534" t="s">
        <v>1514</v>
      </c>
      <c r="N41" s="1534" t="s">
        <v>1515</v>
      </c>
      <c r="P41" s="1534" t="s">
        <v>1516</v>
      </c>
    </row>
    <row r="42" spans="1:16" ht="14.25" customHeight="1" thickBot="1">
      <c r="A42" s="1530" t="s">
        <v>1458</v>
      </c>
      <c r="B42" s="1534" t="s">
        <v>1339</v>
      </c>
      <c r="C42" s="1524">
        <v>19280</v>
      </c>
      <c r="D42" s="1524">
        <v>22940</v>
      </c>
      <c r="E42" s="1524">
        <v>22500</v>
      </c>
      <c r="F42" s="1538"/>
      <c r="M42" s="1524" t="s">
        <v>1517</v>
      </c>
      <c r="N42" s="1524" t="s">
        <v>1518</v>
      </c>
      <c r="P42" s="1524" t="s">
        <v>1519</v>
      </c>
    </row>
    <row r="43" spans="1:16" ht="14.25" customHeight="1" thickBot="1">
      <c r="A43" s="1530" t="s">
        <v>1458</v>
      </c>
      <c r="B43" s="1534" t="s">
        <v>1350</v>
      </c>
      <c r="C43" s="1524">
        <v>21520</v>
      </c>
      <c r="D43" s="1524">
        <v>19230</v>
      </c>
      <c r="E43" s="1524">
        <v>18540</v>
      </c>
      <c r="F43" s="1538"/>
      <c r="M43" s="1524" t="s">
        <v>1520</v>
      </c>
      <c r="N43" s="1524" t="s">
        <v>1521</v>
      </c>
      <c r="P43" s="1524" t="s">
        <v>1522</v>
      </c>
    </row>
    <row r="44" spans="1:16" ht="14.25" customHeight="1" thickBot="1">
      <c r="A44" s="1530" t="s">
        <v>1458</v>
      </c>
      <c r="B44" s="1534" t="s">
        <v>1360</v>
      </c>
      <c r="C44" s="1524">
        <v>23260</v>
      </c>
      <c r="D44" s="1524">
        <v>21180</v>
      </c>
      <c r="E44" s="1524">
        <v>20730</v>
      </c>
      <c r="F44" s="1538"/>
      <c r="M44" s="1524" t="s">
        <v>1523</v>
      </c>
      <c r="N44" s="1524" t="s">
        <v>1524</v>
      </c>
      <c r="P44" s="1524" t="s">
        <v>1525</v>
      </c>
    </row>
    <row r="45" spans="1:16" ht="14.25" customHeight="1" thickBot="1">
      <c r="A45" s="1530" t="s">
        <v>1458</v>
      </c>
      <c r="B45" s="1534" t="s">
        <v>1370</v>
      </c>
      <c r="C45" s="1524">
        <v>19610</v>
      </c>
      <c r="D45" s="1524">
        <v>18090</v>
      </c>
      <c r="E45" s="1524">
        <v>17970</v>
      </c>
      <c r="F45" s="1538"/>
      <c r="M45" s="1524" t="s">
        <v>1526</v>
      </c>
      <c r="N45" s="1524" t="s">
        <v>1527</v>
      </c>
      <c r="P45" s="1524" t="s">
        <v>1528</v>
      </c>
    </row>
    <row r="46" spans="1:16" ht="14.25" customHeight="1" thickBot="1">
      <c r="A46" s="1530" t="s">
        <v>1458</v>
      </c>
      <c r="B46" s="1534" t="s">
        <v>1380</v>
      </c>
      <c r="C46" s="1524">
        <v>21660</v>
      </c>
      <c r="D46" s="1524">
        <v>19190</v>
      </c>
      <c r="E46" s="1524">
        <v>19790</v>
      </c>
      <c r="F46" s="1538"/>
      <c r="M46" s="1524" t="s">
        <v>1529</v>
      </c>
      <c r="N46" s="1524" t="s">
        <v>1530</v>
      </c>
      <c r="P46" s="1524" t="s">
        <v>1531</v>
      </c>
    </row>
    <row r="47" spans="1:16" ht="14.25" customHeight="1" thickBot="1">
      <c r="A47" s="1530" t="s">
        <v>1458</v>
      </c>
      <c r="B47" s="1534" t="s">
        <v>1390</v>
      </c>
      <c r="C47" s="1524">
        <v>18220</v>
      </c>
      <c r="D47" s="1524"/>
      <c r="E47" s="1524">
        <v>17220</v>
      </c>
      <c r="F47" s="1538"/>
      <c r="M47" s="1524" t="s">
        <v>1532</v>
      </c>
      <c r="N47" s="1524" t="s">
        <v>1533</v>
      </c>
    </row>
    <row r="48" spans="1:16" ht="14.25" customHeight="1" thickBot="1">
      <c r="A48" s="1530" t="s">
        <v>1458</v>
      </c>
      <c r="B48" s="1535" t="s">
        <v>1399</v>
      </c>
      <c r="C48" s="1536">
        <v>19430</v>
      </c>
      <c r="D48" s="1536"/>
      <c r="E48" s="1536">
        <v>17830</v>
      </c>
      <c r="F48" s="1541"/>
      <c r="M48" s="1524" t="s">
        <v>1534</v>
      </c>
      <c r="N48" s="1524" t="s">
        <v>1535</v>
      </c>
    </row>
    <row r="49" spans="1:14" ht="14.25" customHeight="1" thickBot="1">
      <c r="A49" s="1530" t="s">
        <v>1139</v>
      </c>
      <c r="B49" s="1531" t="s">
        <v>1536</v>
      </c>
      <c r="C49" s="1531">
        <v>17090</v>
      </c>
      <c r="D49" s="1531">
        <v>16950</v>
      </c>
      <c r="E49" s="1531">
        <v>16310</v>
      </c>
      <c r="F49" s="1532">
        <v>4540</v>
      </c>
      <c r="M49" s="1524" t="s">
        <v>1537</v>
      </c>
      <c r="N49" s="1524" t="s">
        <v>1538</v>
      </c>
    </row>
    <row r="50" spans="1:14" ht="14.25" customHeight="1" thickBot="1">
      <c r="A50" s="1530" t="s">
        <v>1139</v>
      </c>
      <c r="B50" s="1524" t="s">
        <v>1206</v>
      </c>
      <c r="C50" s="1524">
        <v>19040</v>
      </c>
      <c r="D50" s="1524">
        <v>16960</v>
      </c>
      <c r="E50" s="1524">
        <v>14800</v>
      </c>
      <c r="F50" s="1538">
        <v>3940</v>
      </c>
    </row>
    <row r="51" spans="1:14" ht="14.25" customHeight="1" thickBot="1">
      <c r="A51" s="1530" t="s">
        <v>1139</v>
      </c>
      <c r="B51" s="1524" t="s">
        <v>1219</v>
      </c>
      <c r="C51" s="1524">
        <v>17040</v>
      </c>
      <c r="D51" s="1524">
        <v>16930</v>
      </c>
      <c r="E51" s="1524">
        <v>15030</v>
      </c>
      <c r="F51" s="1538">
        <v>4120</v>
      </c>
    </row>
    <row r="52" spans="1:14" ht="14.25" customHeight="1" thickBot="1">
      <c r="A52" s="1530" t="s">
        <v>1139</v>
      </c>
      <c r="B52" s="1524" t="s">
        <v>1232</v>
      </c>
      <c r="C52" s="1524">
        <v>17110</v>
      </c>
      <c r="D52" s="1524">
        <v>17750</v>
      </c>
      <c r="E52" s="1524">
        <v>17310</v>
      </c>
      <c r="F52" s="1538">
        <v>3220</v>
      </c>
    </row>
    <row r="53" spans="1:14" ht="14.25" customHeight="1" thickBot="1">
      <c r="A53" s="1530" t="s">
        <v>1139</v>
      </c>
      <c r="B53" s="1524" t="s">
        <v>1244</v>
      </c>
      <c r="C53" s="1524">
        <v>17810</v>
      </c>
      <c r="D53" s="1524">
        <v>17260</v>
      </c>
      <c r="E53" s="1524">
        <v>17090</v>
      </c>
      <c r="F53" s="1538">
        <v>3520</v>
      </c>
    </row>
    <row r="54" spans="1:14" ht="14.25" customHeight="1" thickBot="1">
      <c r="A54" s="1530" t="s">
        <v>1139</v>
      </c>
      <c r="B54" s="1524" t="s">
        <v>1255</v>
      </c>
      <c r="C54" s="1524">
        <v>17410</v>
      </c>
      <c r="D54" s="1524">
        <v>16780</v>
      </c>
      <c r="E54" s="1524">
        <v>16370</v>
      </c>
      <c r="F54" s="1538">
        <v>3410</v>
      </c>
    </row>
    <row r="55" spans="1:14" ht="14.25" customHeight="1" thickBot="1">
      <c r="A55" s="1530" t="s">
        <v>1139</v>
      </c>
      <c r="B55" s="1524" t="s">
        <v>1266</v>
      </c>
      <c r="C55" s="1524">
        <v>16930</v>
      </c>
      <c r="D55" s="1524">
        <v>14720</v>
      </c>
      <c r="E55" s="1524">
        <v>15000</v>
      </c>
      <c r="F55" s="1538">
        <v>3710</v>
      </c>
    </row>
    <row r="56" spans="1:14" ht="14.25" customHeight="1" thickBot="1">
      <c r="A56" s="1530" t="s">
        <v>1139</v>
      </c>
      <c r="B56" s="1524" t="s">
        <v>1277</v>
      </c>
      <c r="C56" s="1524">
        <v>14930</v>
      </c>
      <c r="D56" s="1524">
        <v>15850</v>
      </c>
      <c r="E56" s="1524">
        <v>14320</v>
      </c>
      <c r="F56" s="1538">
        <v>3960</v>
      </c>
    </row>
    <row r="57" spans="1:14" ht="14.25" customHeight="1" thickBot="1">
      <c r="A57" s="1530" t="s">
        <v>1139</v>
      </c>
      <c r="B57" s="1524" t="s">
        <v>1289</v>
      </c>
      <c r="C57" s="1524">
        <v>16160</v>
      </c>
      <c r="D57" s="1524">
        <v>16190</v>
      </c>
      <c r="E57" s="1524">
        <v>15650</v>
      </c>
      <c r="F57" s="1538">
        <v>4200</v>
      </c>
    </row>
    <row r="58" spans="1:14" ht="14.25" customHeight="1" thickBot="1">
      <c r="A58" s="1530" t="s">
        <v>1139</v>
      </c>
      <c r="B58" s="1524" t="s">
        <v>1299</v>
      </c>
      <c r="C58" s="1524">
        <v>16360</v>
      </c>
      <c r="D58" s="1524">
        <v>14050</v>
      </c>
      <c r="E58" s="1524">
        <v>16070</v>
      </c>
      <c r="F58" s="1538">
        <v>3990</v>
      </c>
    </row>
    <row r="59" spans="1:14" ht="14.25" customHeight="1" thickBot="1">
      <c r="A59" s="1530" t="s">
        <v>1139</v>
      </c>
      <c r="B59" s="1524" t="s">
        <v>1309</v>
      </c>
      <c r="C59" s="1524">
        <v>14160</v>
      </c>
      <c r="D59" s="1524">
        <v>16620</v>
      </c>
      <c r="E59" s="1524">
        <v>13940</v>
      </c>
      <c r="F59" s="1538">
        <v>4260</v>
      </c>
    </row>
    <row r="60" spans="1:14" ht="14.25" customHeight="1" thickBot="1">
      <c r="A60" s="1530" t="s">
        <v>1139</v>
      </c>
      <c r="B60" s="1524" t="s">
        <v>1319</v>
      </c>
      <c r="C60" s="1524">
        <v>16750</v>
      </c>
      <c r="D60" s="1524">
        <v>13910</v>
      </c>
      <c r="E60" s="1524">
        <v>16550</v>
      </c>
      <c r="F60" s="1538">
        <v>4550</v>
      </c>
    </row>
    <row r="61" spans="1:14" ht="14.25" customHeight="1" thickBot="1">
      <c r="A61" s="1530" t="s">
        <v>1139</v>
      </c>
      <c r="B61" s="1524" t="s">
        <v>1329</v>
      </c>
      <c r="C61" s="1524">
        <v>14000</v>
      </c>
      <c r="D61" s="1524">
        <v>14550</v>
      </c>
      <c r="E61" s="1524">
        <v>13860</v>
      </c>
      <c r="F61" s="1542"/>
    </row>
    <row r="62" spans="1:14" ht="14.25" customHeight="1" thickBot="1">
      <c r="A62" s="1530" t="s">
        <v>1139</v>
      </c>
      <c r="B62" s="1524" t="s">
        <v>1340</v>
      </c>
      <c r="C62" s="1524">
        <v>14660</v>
      </c>
      <c r="D62" s="1524">
        <v>17450</v>
      </c>
      <c r="E62" s="1524">
        <v>14470</v>
      </c>
      <c r="F62" s="1542"/>
    </row>
    <row r="63" spans="1:14" ht="14.25" customHeight="1" thickBot="1">
      <c r="A63" s="1530" t="s">
        <v>1139</v>
      </c>
      <c r="B63" s="1524" t="s">
        <v>1351</v>
      </c>
      <c r="C63" s="1524">
        <v>17610</v>
      </c>
      <c r="D63" s="1524">
        <v>16500</v>
      </c>
      <c r="E63" s="1524">
        <v>17330</v>
      </c>
      <c r="F63" s="1542"/>
    </row>
    <row r="64" spans="1:14" ht="14.25" customHeight="1" thickBot="1">
      <c r="A64" s="1530" t="s">
        <v>1139</v>
      </c>
      <c r="B64" s="1524" t="s">
        <v>1361</v>
      </c>
      <c r="C64" s="1524">
        <v>16590</v>
      </c>
      <c r="D64" s="1524">
        <v>15130</v>
      </c>
      <c r="E64" s="1524">
        <v>16420</v>
      </c>
      <c r="F64" s="1542"/>
    </row>
    <row r="65" spans="1:6" s="1518" customFormat="1" ht="14.25" customHeight="1" thickBot="1">
      <c r="A65" s="1530" t="s">
        <v>1139</v>
      </c>
      <c r="B65" s="1524" t="s">
        <v>1371</v>
      </c>
      <c r="C65" s="1524">
        <v>15220</v>
      </c>
      <c r="D65" s="1524">
        <v>14660</v>
      </c>
      <c r="E65" s="1524">
        <v>15060</v>
      </c>
      <c r="F65" s="1538"/>
    </row>
    <row r="66" spans="1:6" s="1518" customFormat="1" ht="14.25" customHeight="1" thickBot="1">
      <c r="A66" s="1530" t="s">
        <v>1139</v>
      </c>
      <c r="B66" s="1524" t="s">
        <v>1381</v>
      </c>
      <c r="C66" s="1524">
        <v>14720</v>
      </c>
      <c r="D66" s="1524">
        <v>15970</v>
      </c>
      <c r="E66" s="1524">
        <v>14610</v>
      </c>
      <c r="F66" s="1538"/>
    </row>
    <row r="67" spans="1:6" s="1518" customFormat="1" ht="14.25" customHeight="1" thickBot="1">
      <c r="A67" s="1530" t="s">
        <v>1139</v>
      </c>
      <c r="B67" s="1524" t="s">
        <v>1391</v>
      </c>
      <c r="C67" s="1524">
        <v>16080</v>
      </c>
      <c r="D67" s="1524">
        <v>14840</v>
      </c>
      <c r="E67" s="1524">
        <v>15630</v>
      </c>
      <c r="F67" s="1538"/>
    </row>
    <row r="68" spans="1:6" s="1518" customFormat="1" ht="14.25" customHeight="1" thickBot="1">
      <c r="A68" s="1530" t="s">
        <v>1139</v>
      </c>
      <c r="B68" s="1524" t="s">
        <v>1400</v>
      </c>
      <c r="C68" s="1524">
        <v>14940</v>
      </c>
      <c r="D68" s="1524">
        <v>18000</v>
      </c>
      <c r="E68" s="1524">
        <v>14040</v>
      </c>
      <c r="F68" s="1538"/>
    </row>
    <row r="69" spans="1:6" s="1518" customFormat="1" ht="14.25" customHeight="1" thickBot="1">
      <c r="A69" s="1530" t="s">
        <v>1139</v>
      </c>
      <c r="B69" s="1524" t="s">
        <v>1409</v>
      </c>
      <c r="C69" s="1524">
        <v>18810</v>
      </c>
      <c r="D69" s="1524">
        <v>15100</v>
      </c>
      <c r="E69" s="1524">
        <v>14710</v>
      </c>
      <c r="F69" s="1538"/>
    </row>
    <row r="70" spans="1:6" s="1518" customFormat="1" ht="14.25" customHeight="1" thickBot="1">
      <c r="A70" s="1530" t="s">
        <v>1139</v>
      </c>
      <c r="B70" s="1524" t="s">
        <v>1417</v>
      </c>
      <c r="C70" s="1524">
        <v>18270</v>
      </c>
      <c r="D70" s="1524"/>
      <c r="E70" s="1524"/>
      <c r="F70" s="1538"/>
    </row>
    <row r="71" spans="1:6" s="1518" customFormat="1" ht="14.25" customHeight="1" thickBot="1">
      <c r="A71" s="1530" t="s">
        <v>1139</v>
      </c>
      <c r="B71" s="1524" t="s">
        <v>1424</v>
      </c>
      <c r="C71" s="1524">
        <v>15230</v>
      </c>
      <c r="D71" s="1524"/>
      <c r="E71" s="1524"/>
      <c r="F71" s="1538"/>
    </row>
    <row r="72" spans="1:6" s="1518" customFormat="1" ht="14.25" customHeight="1" thickBot="1">
      <c r="A72" s="1530" t="s">
        <v>1139</v>
      </c>
      <c r="B72" s="1524" t="s">
        <v>1431</v>
      </c>
      <c r="C72" s="1524"/>
      <c r="D72" s="1524"/>
      <c r="E72" s="1524"/>
      <c r="F72" s="1538">
        <v>4120</v>
      </c>
    </row>
    <row r="73" spans="1:6" s="1518" customFormat="1" ht="14.25" customHeight="1" thickBot="1">
      <c r="A73" s="1530" t="s">
        <v>1139</v>
      </c>
      <c r="B73" s="1524" t="s">
        <v>1438</v>
      </c>
      <c r="C73" s="1524"/>
      <c r="D73" s="1524"/>
      <c r="E73" s="1524"/>
      <c r="F73" s="1538">
        <v>3930</v>
      </c>
    </row>
    <row r="74" spans="1:6" s="1518" customFormat="1" ht="14.25" customHeight="1" thickBot="1">
      <c r="A74" s="1530" t="s">
        <v>1139</v>
      </c>
      <c r="B74" s="1524" t="s">
        <v>1445</v>
      </c>
      <c r="C74" s="1524"/>
      <c r="D74" s="1524"/>
      <c r="E74" s="1524"/>
      <c r="F74" s="1538">
        <v>4060</v>
      </c>
    </row>
    <row r="75" spans="1:6" s="1518" customFormat="1" ht="14.25" customHeight="1" thickBot="1">
      <c r="A75" s="1530" t="s">
        <v>1139</v>
      </c>
      <c r="B75" s="1536" t="s">
        <v>1452</v>
      </c>
      <c r="C75" s="1536"/>
      <c r="D75" s="1536"/>
      <c r="E75" s="1536"/>
      <c r="F75" s="1541">
        <v>3750</v>
      </c>
    </row>
    <row r="76" spans="1:6" s="1518" customFormat="1" ht="14.25" customHeight="1" thickBot="1">
      <c r="A76" s="1530" t="s">
        <v>1539</v>
      </c>
      <c r="B76" s="1531" t="s">
        <v>1540</v>
      </c>
      <c r="C76" s="1531">
        <v>14690</v>
      </c>
      <c r="D76" s="1531">
        <v>14640</v>
      </c>
      <c r="E76" s="1531">
        <v>14590</v>
      </c>
      <c r="F76" s="1532">
        <v>3060</v>
      </c>
    </row>
    <row r="77" spans="1:6" s="1518" customFormat="1" ht="14.25" customHeight="1" thickBot="1">
      <c r="A77" s="1530" t="s">
        <v>1539</v>
      </c>
      <c r="B77" s="1524" t="s">
        <v>1207</v>
      </c>
      <c r="C77" s="1524">
        <v>12550</v>
      </c>
      <c r="D77" s="1524">
        <v>12480</v>
      </c>
      <c r="E77" s="1524">
        <v>12450</v>
      </c>
      <c r="F77" s="1538">
        <v>2590</v>
      </c>
    </row>
    <row r="78" spans="1:6" s="1518" customFormat="1" ht="14.25" customHeight="1" thickBot="1">
      <c r="A78" s="1530" t="s">
        <v>1539</v>
      </c>
      <c r="B78" s="1524" t="s">
        <v>1220</v>
      </c>
      <c r="C78" s="1524">
        <v>14360</v>
      </c>
      <c r="D78" s="1524">
        <v>14320</v>
      </c>
      <c r="E78" s="1524">
        <v>12510</v>
      </c>
      <c r="F78" s="1538">
        <v>2700</v>
      </c>
    </row>
    <row r="79" spans="1:6" s="1518" customFormat="1" ht="14.25" customHeight="1" thickBot="1">
      <c r="A79" s="1530" t="s">
        <v>1539</v>
      </c>
      <c r="B79" s="1524" t="s">
        <v>1233</v>
      </c>
      <c r="C79" s="1524">
        <v>12590</v>
      </c>
      <c r="D79" s="1524">
        <v>12540</v>
      </c>
      <c r="E79" s="1524">
        <v>12350</v>
      </c>
      <c r="F79" s="1538">
        <v>2740</v>
      </c>
    </row>
    <row r="80" spans="1:6" s="1518" customFormat="1" ht="14.25" customHeight="1" thickBot="1">
      <c r="A80" s="1530" t="s">
        <v>1539</v>
      </c>
      <c r="B80" s="1524" t="s">
        <v>1245</v>
      </c>
      <c r="C80" s="1524">
        <v>12450</v>
      </c>
      <c r="D80" s="1524">
        <v>12370</v>
      </c>
      <c r="E80" s="1524">
        <v>10790</v>
      </c>
      <c r="F80" s="1538">
        <v>2290</v>
      </c>
    </row>
    <row r="81" spans="1:6" s="1518" customFormat="1" ht="14.25" customHeight="1" thickBot="1">
      <c r="A81" s="1530" t="s">
        <v>1539</v>
      </c>
      <c r="B81" s="1524" t="s">
        <v>1256</v>
      </c>
      <c r="C81" s="1524">
        <v>14210</v>
      </c>
      <c r="D81" s="1524">
        <v>14150</v>
      </c>
      <c r="E81" s="1524">
        <v>12730</v>
      </c>
      <c r="F81" s="1538">
        <v>2240</v>
      </c>
    </row>
    <row r="82" spans="1:6" s="1518" customFormat="1" ht="14.25" customHeight="1" thickBot="1">
      <c r="A82" s="1530" t="s">
        <v>1539</v>
      </c>
      <c r="B82" s="1524" t="s">
        <v>1267</v>
      </c>
      <c r="C82" s="1524">
        <v>10860</v>
      </c>
      <c r="D82" s="1524">
        <v>10820</v>
      </c>
      <c r="E82" s="1524">
        <v>14720</v>
      </c>
      <c r="F82" s="1538">
        <v>2490</v>
      </c>
    </row>
    <row r="83" spans="1:6" s="1518" customFormat="1" ht="14.25" customHeight="1" thickBot="1">
      <c r="A83" s="1530" t="s">
        <v>1539</v>
      </c>
      <c r="B83" s="1524" t="s">
        <v>1278</v>
      </c>
      <c r="C83" s="1524">
        <v>12810</v>
      </c>
      <c r="D83" s="1524">
        <v>12760</v>
      </c>
      <c r="E83" s="1524">
        <v>14830</v>
      </c>
      <c r="F83" s="1538">
        <v>2450</v>
      </c>
    </row>
    <row r="84" spans="1:6" s="1518" customFormat="1" ht="14.25" customHeight="1" thickBot="1">
      <c r="A84" s="1530" t="s">
        <v>1539</v>
      </c>
      <c r="B84" s="1524" t="s">
        <v>1290</v>
      </c>
      <c r="C84" s="1524">
        <v>14950</v>
      </c>
      <c r="D84" s="1524">
        <v>14810</v>
      </c>
      <c r="E84" s="1524">
        <v>12590</v>
      </c>
      <c r="F84" s="1538">
        <v>2540</v>
      </c>
    </row>
    <row r="85" spans="1:6" s="1518" customFormat="1" ht="14.25" customHeight="1" thickBot="1">
      <c r="A85" s="1530" t="s">
        <v>1539</v>
      </c>
      <c r="B85" s="1524" t="s">
        <v>1300</v>
      </c>
      <c r="C85" s="1524">
        <v>14960</v>
      </c>
      <c r="D85" s="1524">
        <v>14890</v>
      </c>
      <c r="E85" s="1524">
        <v>12840</v>
      </c>
      <c r="F85" s="1538">
        <v>2840</v>
      </c>
    </row>
    <row r="86" spans="1:6" s="1518" customFormat="1" ht="14.25" customHeight="1" thickBot="1">
      <c r="A86" s="1530" t="s">
        <v>1539</v>
      </c>
      <c r="B86" s="1524" t="s">
        <v>1310</v>
      </c>
      <c r="C86" s="1524">
        <v>12730</v>
      </c>
      <c r="D86" s="1524">
        <v>12660</v>
      </c>
      <c r="E86" s="1524">
        <v>13310</v>
      </c>
      <c r="F86" s="1538">
        <v>3140</v>
      </c>
    </row>
    <row r="87" spans="1:6" s="1518" customFormat="1" ht="14.25" customHeight="1" thickBot="1">
      <c r="A87" s="1530" t="s">
        <v>1539</v>
      </c>
      <c r="B87" s="1524" t="s">
        <v>1320</v>
      </c>
      <c r="C87" s="1524">
        <v>12940</v>
      </c>
      <c r="D87" s="1524">
        <v>12890</v>
      </c>
      <c r="E87" s="1524">
        <v>11580</v>
      </c>
      <c r="F87" s="1542"/>
    </row>
    <row r="88" spans="1:6" s="1518" customFormat="1" ht="14.25" customHeight="1" thickBot="1">
      <c r="A88" s="1530" t="s">
        <v>1539</v>
      </c>
      <c r="B88" s="1524" t="s">
        <v>1330</v>
      </c>
      <c r="C88" s="1524">
        <v>13430</v>
      </c>
      <c r="D88" s="1524">
        <v>13360</v>
      </c>
      <c r="E88" s="1524">
        <v>12790</v>
      </c>
      <c r="F88" s="1542"/>
    </row>
    <row r="89" spans="1:6" s="1518" customFormat="1" ht="14.25" customHeight="1" thickBot="1">
      <c r="A89" s="1530" t="s">
        <v>1539</v>
      </c>
      <c r="B89" s="1524" t="s">
        <v>1341</v>
      </c>
      <c r="C89" s="1524">
        <v>11680</v>
      </c>
      <c r="D89" s="1524">
        <v>11630</v>
      </c>
      <c r="E89" s="1524">
        <v>11320</v>
      </c>
      <c r="F89" s="1542"/>
    </row>
    <row r="90" spans="1:6" s="1518" customFormat="1" ht="14.25" customHeight="1" thickBot="1">
      <c r="A90" s="1530" t="s">
        <v>1539</v>
      </c>
      <c r="B90" s="1524" t="s">
        <v>1352</v>
      </c>
      <c r="C90" s="1524">
        <v>12890</v>
      </c>
      <c r="D90" s="1524">
        <v>12820</v>
      </c>
      <c r="E90" s="1524">
        <v>12710</v>
      </c>
      <c r="F90" s="1542"/>
    </row>
    <row r="91" spans="1:6" s="1518" customFormat="1" ht="14.25" customHeight="1" thickBot="1">
      <c r="A91" s="1530" t="s">
        <v>1539</v>
      </c>
      <c r="B91" s="1524" t="s">
        <v>1362</v>
      </c>
      <c r="C91" s="1524">
        <v>11410</v>
      </c>
      <c r="D91" s="1524">
        <v>11360</v>
      </c>
      <c r="E91" s="1524">
        <v>12670</v>
      </c>
      <c r="F91" s="1542"/>
    </row>
    <row r="92" spans="1:6" s="1518" customFormat="1" ht="14.25" customHeight="1" thickBot="1">
      <c r="A92" s="1530" t="s">
        <v>1539</v>
      </c>
      <c r="B92" s="1524" t="s">
        <v>1372</v>
      </c>
      <c r="C92" s="1524">
        <v>12770</v>
      </c>
      <c r="D92" s="1524">
        <v>12740</v>
      </c>
      <c r="E92" s="1524">
        <v>11970</v>
      </c>
      <c r="F92" s="1542"/>
    </row>
    <row r="93" spans="1:6" s="1518" customFormat="1" ht="14.25" customHeight="1" thickBot="1">
      <c r="A93" s="1530" t="s">
        <v>1539</v>
      </c>
      <c r="B93" s="1524" t="s">
        <v>1382</v>
      </c>
      <c r="C93" s="1524">
        <v>12740</v>
      </c>
      <c r="D93" s="1524">
        <v>12700</v>
      </c>
      <c r="E93" s="1524">
        <v>12540</v>
      </c>
      <c r="F93" s="1542"/>
    </row>
    <row r="94" spans="1:6" s="1518" customFormat="1" ht="14.25" customHeight="1" thickBot="1">
      <c r="A94" s="1530" t="s">
        <v>1539</v>
      </c>
      <c r="B94" s="1524" t="s">
        <v>1392</v>
      </c>
      <c r="C94" s="1524">
        <v>12020</v>
      </c>
      <c r="D94" s="1524">
        <v>11990</v>
      </c>
      <c r="E94" s="1524">
        <v>13110</v>
      </c>
      <c r="F94" s="1542"/>
    </row>
    <row r="95" spans="1:6" s="1518" customFormat="1" ht="14.25" customHeight="1" thickBot="1">
      <c r="A95" s="1530" t="s">
        <v>1539</v>
      </c>
      <c r="B95" s="1524" t="s">
        <v>1401</v>
      </c>
      <c r="C95" s="1524">
        <v>12620</v>
      </c>
      <c r="D95" s="1524">
        <v>12580</v>
      </c>
      <c r="E95" s="1524">
        <v>13160</v>
      </c>
      <c r="F95" s="1538"/>
    </row>
    <row r="96" spans="1:6" s="1518" customFormat="1" ht="14.25" customHeight="1" thickBot="1">
      <c r="A96" s="1530" t="s">
        <v>1539</v>
      </c>
      <c r="B96" s="1524" t="s">
        <v>1410</v>
      </c>
      <c r="C96" s="1524">
        <v>13200</v>
      </c>
      <c r="D96" s="1524">
        <v>13150</v>
      </c>
      <c r="E96" s="1524">
        <v>12900</v>
      </c>
      <c r="F96" s="1538"/>
    </row>
    <row r="97" spans="1:6" s="1518" customFormat="1" ht="14.25" customHeight="1" thickBot="1">
      <c r="A97" s="1530" t="s">
        <v>1539</v>
      </c>
      <c r="B97" s="1524" t="s">
        <v>1418</v>
      </c>
      <c r="C97" s="1524">
        <v>13270</v>
      </c>
      <c r="D97" s="1524">
        <v>13210</v>
      </c>
      <c r="E97" s="1524">
        <v>11080</v>
      </c>
      <c r="F97" s="1538"/>
    </row>
    <row r="98" spans="1:6" s="1518" customFormat="1" ht="14.25" customHeight="1" thickBot="1">
      <c r="A98" s="1530" t="s">
        <v>1539</v>
      </c>
      <c r="B98" s="1524" t="s">
        <v>1425</v>
      </c>
      <c r="C98" s="1524">
        <v>13010</v>
      </c>
      <c r="D98" s="1524">
        <v>12930</v>
      </c>
      <c r="E98" s="1524">
        <v>12840</v>
      </c>
      <c r="F98" s="1538"/>
    </row>
    <row r="99" spans="1:6" s="1518" customFormat="1" ht="14.25" customHeight="1" thickBot="1">
      <c r="A99" s="1530" t="s">
        <v>1539</v>
      </c>
      <c r="B99" s="1524" t="s">
        <v>1432</v>
      </c>
      <c r="C99" s="1524">
        <v>11190</v>
      </c>
      <c r="D99" s="1524">
        <v>11130</v>
      </c>
      <c r="E99" s="1524"/>
      <c r="F99" s="1538"/>
    </row>
    <row r="100" spans="1:6" s="1518" customFormat="1" ht="14.25" customHeight="1" thickBot="1">
      <c r="A100" s="1530" t="s">
        <v>1539</v>
      </c>
      <c r="B100" s="1524" t="s">
        <v>1439</v>
      </c>
      <c r="C100" s="1524">
        <v>14280</v>
      </c>
      <c r="D100" s="1524">
        <v>14180</v>
      </c>
      <c r="E100" s="1524"/>
      <c r="F100" s="1538"/>
    </row>
    <row r="101" spans="1:6" s="1518" customFormat="1" ht="14.25" customHeight="1" thickBot="1">
      <c r="A101" s="1530" t="s">
        <v>1539</v>
      </c>
      <c r="B101" s="1524" t="s">
        <v>1446</v>
      </c>
      <c r="C101" s="1524">
        <v>12960</v>
      </c>
      <c r="D101" s="1524">
        <v>12890</v>
      </c>
      <c r="E101" s="1524"/>
      <c r="F101" s="1538"/>
    </row>
    <row r="102" spans="1:6" s="1518" customFormat="1" ht="14.25" customHeight="1" thickBot="1">
      <c r="A102" s="1530" t="s">
        <v>1539</v>
      </c>
      <c r="B102" s="1524" t="s">
        <v>1453</v>
      </c>
      <c r="C102" s="1524"/>
      <c r="D102" s="1524"/>
      <c r="E102" s="1524"/>
      <c r="F102" s="1538">
        <v>3100</v>
      </c>
    </row>
    <row r="103" spans="1:6" s="1518" customFormat="1" ht="14.25" customHeight="1" thickBot="1">
      <c r="A103" s="1530" t="s">
        <v>1539</v>
      </c>
      <c r="B103" s="1524" t="s">
        <v>1460</v>
      </c>
      <c r="C103" s="1524"/>
      <c r="D103" s="1524"/>
      <c r="E103" s="1524"/>
      <c r="F103" s="1538">
        <v>2320</v>
      </c>
    </row>
    <row r="104" spans="1:6" s="1518" customFormat="1" ht="14.25" customHeight="1" thickBot="1">
      <c r="A104" s="1530" t="s">
        <v>1539</v>
      </c>
      <c r="B104" s="1524" t="s">
        <v>1465</v>
      </c>
      <c r="C104" s="1524"/>
      <c r="D104" s="1524"/>
      <c r="E104" s="1524"/>
      <c r="F104" s="1538">
        <v>2320</v>
      </c>
    </row>
    <row r="105" spans="1:6" s="1518" customFormat="1" ht="14.25" customHeight="1" thickBot="1">
      <c r="A105" s="1530" t="s">
        <v>1539</v>
      </c>
      <c r="B105" s="1524" t="s">
        <v>1469</v>
      </c>
      <c r="C105" s="1524"/>
      <c r="D105" s="1524"/>
      <c r="E105" s="1524"/>
      <c r="F105" s="1538">
        <v>2320</v>
      </c>
    </row>
    <row r="106" spans="1:6" s="1518" customFormat="1" ht="14.25" customHeight="1" thickBot="1">
      <c r="A106" s="1530" t="s">
        <v>1539</v>
      </c>
      <c r="B106" s="1524" t="s">
        <v>1474</v>
      </c>
      <c r="C106" s="1524"/>
      <c r="D106" s="1524"/>
      <c r="E106" s="1524"/>
      <c r="F106" s="1538">
        <v>2320</v>
      </c>
    </row>
    <row r="107" spans="1:6" s="1518" customFormat="1" ht="14.25" customHeight="1" thickBot="1">
      <c r="A107" s="1530" t="s">
        <v>1539</v>
      </c>
      <c r="B107" s="1524" t="s">
        <v>1479</v>
      </c>
      <c r="C107" s="1524"/>
      <c r="D107" s="1524"/>
      <c r="E107" s="1524"/>
      <c r="F107" s="1538">
        <v>2280</v>
      </c>
    </row>
    <row r="108" spans="1:6" s="1518" customFormat="1" ht="14.25" customHeight="1" thickBot="1">
      <c r="A108" s="1530" t="s">
        <v>1539</v>
      </c>
      <c r="B108" s="1524" t="s">
        <v>1484</v>
      </c>
      <c r="C108" s="1524"/>
      <c r="D108" s="1524"/>
      <c r="E108" s="1524"/>
      <c r="F108" s="1538">
        <v>2280</v>
      </c>
    </row>
    <row r="109" spans="1:6" s="1518" customFormat="1" ht="14.25" customHeight="1" thickBot="1">
      <c r="A109" s="1530" t="s">
        <v>1539</v>
      </c>
      <c r="B109" s="1536" t="s">
        <v>1489</v>
      </c>
      <c r="C109" s="1536"/>
      <c r="D109" s="1536"/>
      <c r="E109" s="1536"/>
      <c r="F109" s="1541">
        <v>2280</v>
      </c>
    </row>
    <row r="110" spans="1:6" s="1518" customFormat="1" ht="14.25" customHeight="1" thickBot="1">
      <c r="A110" s="1530" t="s">
        <v>203</v>
      </c>
      <c r="B110" s="1531" t="s">
        <v>1541</v>
      </c>
      <c r="C110" s="1531">
        <v>10520</v>
      </c>
      <c r="D110" s="1531">
        <v>10490</v>
      </c>
      <c r="E110" s="1531">
        <v>10760</v>
      </c>
      <c r="F110" s="1532">
        <v>2160</v>
      </c>
    </row>
    <row r="111" spans="1:6" s="1518" customFormat="1" ht="14.25" customHeight="1" thickBot="1">
      <c r="A111" s="1530" t="s">
        <v>203</v>
      </c>
      <c r="B111" s="1524" t="s">
        <v>1208</v>
      </c>
      <c r="C111" s="1524">
        <v>10090</v>
      </c>
      <c r="D111" s="1524">
        <v>10060</v>
      </c>
      <c r="E111" s="1524">
        <v>10300</v>
      </c>
      <c r="F111" s="1538">
        <v>2010</v>
      </c>
    </row>
    <row r="112" spans="1:6" s="1518" customFormat="1" ht="14.25" customHeight="1" thickBot="1">
      <c r="A112" s="1530" t="s">
        <v>203</v>
      </c>
      <c r="B112" s="1524" t="s">
        <v>1221</v>
      </c>
      <c r="C112" s="1524">
        <v>9910</v>
      </c>
      <c r="D112" s="1524">
        <v>9850</v>
      </c>
      <c r="E112" s="1524">
        <v>9960</v>
      </c>
      <c r="F112" s="1538">
        <v>2090</v>
      </c>
    </row>
    <row r="113" spans="1:6" s="1518" customFormat="1" ht="14.25" customHeight="1" thickBot="1">
      <c r="A113" s="1530" t="s">
        <v>203</v>
      </c>
      <c r="B113" s="1524" t="s">
        <v>1234</v>
      </c>
      <c r="C113" s="1524">
        <v>11430</v>
      </c>
      <c r="D113" s="1524">
        <v>11400</v>
      </c>
      <c r="E113" s="1524">
        <v>11710</v>
      </c>
      <c r="F113" s="1538">
        <v>2050</v>
      </c>
    </row>
    <row r="114" spans="1:6" s="1518" customFormat="1" ht="14.25" customHeight="1" thickBot="1">
      <c r="A114" s="1530" t="s">
        <v>203</v>
      </c>
      <c r="B114" s="1524" t="s">
        <v>1246</v>
      </c>
      <c r="C114" s="1524">
        <v>11390</v>
      </c>
      <c r="D114" s="1524">
        <v>11350</v>
      </c>
      <c r="E114" s="1524">
        <v>11640</v>
      </c>
      <c r="F114" s="1538">
        <v>1620</v>
      </c>
    </row>
    <row r="115" spans="1:6" s="1518" customFormat="1" ht="14.25" customHeight="1" thickBot="1">
      <c r="A115" s="1530" t="s">
        <v>203</v>
      </c>
      <c r="B115" s="1524" t="s">
        <v>1257</v>
      </c>
      <c r="C115" s="1524">
        <v>9930</v>
      </c>
      <c r="D115" s="1524">
        <v>9900</v>
      </c>
      <c r="E115" s="1524">
        <v>10160</v>
      </c>
      <c r="F115" s="1538">
        <v>1580</v>
      </c>
    </row>
    <row r="116" spans="1:6" s="1518" customFormat="1" ht="14.25" customHeight="1" thickBot="1">
      <c r="A116" s="1530" t="s">
        <v>203</v>
      </c>
      <c r="B116" s="1524" t="s">
        <v>1268</v>
      </c>
      <c r="C116" s="1524">
        <v>9150</v>
      </c>
      <c r="D116" s="1524">
        <v>9120</v>
      </c>
      <c r="E116" s="1524">
        <v>9380</v>
      </c>
      <c r="F116" s="1538">
        <v>1750</v>
      </c>
    </row>
    <row r="117" spans="1:6" s="1518" customFormat="1" ht="14.25" customHeight="1" thickBot="1">
      <c r="A117" s="1530" t="s">
        <v>203</v>
      </c>
      <c r="B117" s="1524" t="s">
        <v>1279</v>
      </c>
      <c r="C117" s="1524">
        <v>10680</v>
      </c>
      <c r="D117" s="1524">
        <v>10650</v>
      </c>
      <c r="E117" s="1524">
        <v>10970</v>
      </c>
      <c r="F117" s="1538">
        <v>1730</v>
      </c>
    </row>
    <row r="118" spans="1:6" s="1518" customFormat="1" ht="14.25" customHeight="1" thickBot="1">
      <c r="A118" s="1530" t="s">
        <v>203</v>
      </c>
      <c r="B118" s="1524" t="s">
        <v>1291</v>
      </c>
      <c r="C118" s="1524">
        <v>10080</v>
      </c>
      <c r="D118" s="1524">
        <v>10050</v>
      </c>
      <c r="E118" s="1524">
        <v>10350</v>
      </c>
      <c r="F118" s="1538">
        <v>1920</v>
      </c>
    </row>
    <row r="119" spans="1:6" s="1518" customFormat="1" ht="14.25" customHeight="1" thickBot="1">
      <c r="A119" s="1530" t="s">
        <v>203</v>
      </c>
      <c r="B119" s="1524" t="s">
        <v>1301</v>
      </c>
      <c r="C119" s="1524">
        <v>9450</v>
      </c>
      <c r="D119" s="1524">
        <v>9410</v>
      </c>
      <c r="E119" s="1524">
        <v>9680</v>
      </c>
      <c r="F119" s="1538">
        <v>1880</v>
      </c>
    </row>
    <row r="120" spans="1:6" s="1518" customFormat="1" ht="14.25" customHeight="1" thickBot="1">
      <c r="A120" s="1530" t="s">
        <v>203</v>
      </c>
      <c r="B120" s="1524" t="s">
        <v>1311</v>
      </c>
      <c r="C120" s="1524">
        <v>8730</v>
      </c>
      <c r="D120" s="1524">
        <v>8700</v>
      </c>
      <c r="E120" s="1524">
        <v>8950</v>
      </c>
      <c r="F120" s="1538">
        <v>1830</v>
      </c>
    </row>
    <row r="121" spans="1:6" s="1518" customFormat="1" ht="14.25" customHeight="1" thickBot="1">
      <c r="A121" s="1530" t="s">
        <v>203</v>
      </c>
      <c r="B121" s="1524" t="s">
        <v>1321</v>
      </c>
      <c r="C121" s="1524">
        <v>10070</v>
      </c>
      <c r="D121" s="1524">
        <v>10040</v>
      </c>
      <c r="E121" s="1524">
        <v>10270</v>
      </c>
      <c r="F121" s="1538">
        <v>1960</v>
      </c>
    </row>
    <row r="122" spans="1:6" s="1518" customFormat="1" ht="14.25" customHeight="1" thickBot="1">
      <c r="A122" s="1530" t="s">
        <v>203</v>
      </c>
      <c r="B122" s="1524" t="s">
        <v>1331</v>
      </c>
      <c r="C122" s="1524">
        <v>10500</v>
      </c>
      <c r="D122" s="1524">
        <v>10470</v>
      </c>
      <c r="E122" s="1524">
        <v>10780</v>
      </c>
      <c r="F122" s="1538">
        <v>2180</v>
      </c>
    </row>
    <row r="123" spans="1:6" s="1518" customFormat="1" ht="14.25" customHeight="1" thickBot="1">
      <c r="A123" s="1530" t="s">
        <v>203</v>
      </c>
      <c r="B123" s="1524" t="s">
        <v>1342</v>
      </c>
      <c r="C123" s="1524">
        <v>10390</v>
      </c>
      <c r="D123" s="1524">
        <v>10360</v>
      </c>
      <c r="E123" s="1524">
        <v>10660</v>
      </c>
      <c r="F123" s="1538">
        <v>2040</v>
      </c>
    </row>
    <row r="124" spans="1:6" s="1518" customFormat="1" ht="14.25" customHeight="1" thickBot="1">
      <c r="A124" s="1530" t="s">
        <v>203</v>
      </c>
      <c r="B124" s="1524" t="s">
        <v>1353</v>
      </c>
      <c r="C124" s="1524">
        <v>10390</v>
      </c>
      <c r="D124" s="1524">
        <v>10360</v>
      </c>
      <c r="E124" s="1524">
        <v>10680</v>
      </c>
      <c r="F124" s="1542"/>
    </row>
    <row r="125" spans="1:6" s="1518" customFormat="1" ht="14.25" customHeight="1" thickBot="1">
      <c r="A125" s="1530" t="s">
        <v>203</v>
      </c>
      <c r="B125" s="1524" t="s">
        <v>1363</v>
      </c>
      <c r="C125" s="1524">
        <v>10440</v>
      </c>
      <c r="D125" s="1524">
        <v>10410</v>
      </c>
      <c r="E125" s="1524">
        <v>10710</v>
      </c>
      <c r="F125" s="1542"/>
    </row>
    <row r="126" spans="1:6" s="1518" customFormat="1" ht="14.25" customHeight="1" thickBot="1">
      <c r="A126" s="1530" t="s">
        <v>203</v>
      </c>
      <c r="B126" s="1524" t="s">
        <v>1373</v>
      </c>
      <c r="C126" s="1524">
        <v>10780</v>
      </c>
      <c r="D126" s="1524">
        <v>10750</v>
      </c>
      <c r="E126" s="1524">
        <v>11080</v>
      </c>
      <c r="F126" s="1542"/>
    </row>
    <row r="127" spans="1:6" s="1518" customFormat="1" ht="14.25" customHeight="1" thickBot="1">
      <c r="A127" s="1530" t="s">
        <v>203</v>
      </c>
      <c r="B127" s="1524" t="s">
        <v>1383</v>
      </c>
      <c r="C127" s="1524">
        <v>10100</v>
      </c>
      <c r="D127" s="1524">
        <v>10070</v>
      </c>
      <c r="E127" s="1524">
        <v>10350</v>
      </c>
      <c r="F127" s="1542"/>
    </row>
    <row r="128" spans="1:6" s="1518" customFormat="1" ht="14.25" customHeight="1" thickBot="1">
      <c r="A128" s="1530" t="s">
        <v>203</v>
      </c>
      <c r="B128" s="1524" t="s">
        <v>1393</v>
      </c>
      <c r="C128" s="1524">
        <v>9200</v>
      </c>
      <c r="D128" s="1524">
        <v>9160</v>
      </c>
      <c r="E128" s="1524">
        <v>9660</v>
      </c>
      <c r="F128" s="1542"/>
    </row>
    <row r="129" spans="1:6" s="1518" customFormat="1" ht="14.25" customHeight="1" thickBot="1">
      <c r="A129" s="1530" t="s">
        <v>203</v>
      </c>
      <c r="B129" s="1524" t="s">
        <v>1402</v>
      </c>
      <c r="C129" s="1524">
        <v>10340</v>
      </c>
      <c r="D129" s="1524">
        <v>10310</v>
      </c>
      <c r="E129" s="1524">
        <v>10580</v>
      </c>
      <c r="F129" s="1542"/>
    </row>
    <row r="130" spans="1:6" s="1518" customFormat="1" ht="14.25" customHeight="1" thickBot="1">
      <c r="A130" s="1530" t="s">
        <v>203</v>
      </c>
      <c r="B130" s="1524" t="s">
        <v>1411</v>
      </c>
      <c r="C130" s="1524">
        <v>9680</v>
      </c>
      <c r="D130" s="1524">
        <v>9660</v>
      </c>
      <c r="E130" s="1524">
        <v>9950</v>
      </c>
      <c r="F130" s="1542"/>
    </row>
    <row r="131" spans="1:6" s="1518" customFormat="1" ht="14.25" customHeight="1" thickBot="1">
      <c r="A131" s="1530" t="s">
        <v>203</v>
      </c>
      <c r="B131" s="1524" t="s">
        <v>1419</v>
      </c>
      <c r="C131" s="1524">
        <v>9540</v>
      </c>
      <c r="D131" s="1524">
        <v>9510</v>
      </c>
      <c r="E131" s="1524">
        <v>9790</v>
      </c>
      <c r="F131" s="1542"/>
    </row>
    <row r="132" spans="1:6" s="1518" customFormat="1" ht="14.25" customHeight="1" thickBot="1">
      <c r="A132" s="1530" t="s">
        <v>203</v>
      </c>
      <c r="B132" s="1524" t="s">
        <v>1426</v>
      </c>
      <c r="C132" s="1524">
        <v>9320</v>
      </c>
      <c r="D132" s="1524">
        <v>9290</v>
      </c>
      <c r="E132" s="1524">
        <v>9570</v>
      </c>
      <c r="F132" s="1542"/>
    </row>
    <row r="133" spans="1:6" s="1518" customFormat="1" ht="14.25" customHeight="1" thickBot="1">
      <c r="A133" s="1530" t="s">
        <v>203</v>
      </c>
      <c r="B133" s="1524" t="s">
        <v>1433</v>
      </c>
      <c r="C133" s="1524">
        <v>10310</v>
      </c>
      <c r="D133" s="1524">
        <v>10280</v>
      </c>
      <c r="E133" s="1524">
        <v>10530</v>
      </c>
      <c r="F133" s="1542"/>
    </row>
    <row r="134" spans="1:6" s="1518" customFormat="1" ht="14.25" customHeight="1" thickBot="1">
      <c r="A134" s="1530" t="s">
        <v>203</v>
      </c>
      <c r="B134" s="1524" t="s">
        <v>1440</v>
      </c>
      <c r="C134" s="1524">
        <v>10370</v>
      </c>
      <c r="D134" s="1524">
        <v>10310</v>
      </c>
      <c r="E134" s="1524">
        <v>10240</v>
      </c>
      <c r="F134" s="1538">
        <v>2060</v>
      </c>
    </row>
    <row r="135" spans="1:6" s="1518" customFormat="1" ht="14.25" customHeight="1" thickBot="1">
      <c r="A135" s="1530" t="s">
        <v>203</v>
      </c>
      <c r="B135" s="1524" t="s">
        <v>1447</v>
      </c>
      <c r="C135" s="1524">
        <v>9300</v>
      </c>
      <c r="D135" s="1524">
        <v>9270</v>
      </c>
      <c r="E135" s="1524">
        <v>9350</v>
      </c>
      <c r="F135" s="1542"/>
    </row>
    <row r="136" spans="1:6" s="1518" customFormat="1" ht="14.25" customHeight="1" thickBot="1">
      <c r="A136" s="1530" t="s">
        <v>203</v>
      </c>
      <c r="B136" s="1524" t="s">
        <v>1454</v>
      </c>
      <c r="C136" s="1524">
        <v>10160</v>
      </c>
      <c r="D136" s="1524">
        <v>10110</v>
      </c>
      <c r="E136" s="1524">
        <v>10080</v>
      </c>
      <c r="F136" s="1542"/>
    </row>
    <row r="137" spans="1:6" s="1518" customFormat="1" ht="14.25" customHeight="1" thickBot="1">
      <c r="A137" s="1530" t="s">
        <v>203</v>
      </c>
      <c r="B137" s="1524" t="s">
        <v>1461</v>
      </c>
      <c r="C137" s="1524">
        <v>9200</v>
      </c>
      <c r="D137" s="1524">
        <v>9170</v>
      </c>
      <c r="E137" s="1524">
        <v>9450</v>
      </c>
      <c r="F137" s="1542"/>
    </row>
    <row r="138" spans="1:6" s="1518" customFormat="1" ht="14.25" customHeight="1" thickBot="1">
      <c r="A138" s="1530" t="s">
        <v>203</v>
      </c>
      <c r="B138" s="1524" t="s">
        <v>1466</v>
      </c>
      <c r="C138" s="1524">
        <v>9690</v>
      </c>
      <c r="D138" s="1524">
        <v>9660</v>
      </c>
      <c r="E138" s="1524">
        <v>9840</v>
      </c>
      <c r="F138" s="1542"/>
    </row>
    <row r="139" spans="1:6" s="1518" customFormat="1" ht="14.25" customHeight="1" thickBot="1">
      <c r="A139" s="1530" t="s">
        <v>203</v>
      </c>
      <c r="B139" s="1524" t="s">
        <v>1470</v>
      </c>
      <c r="C139" s="1524">
        <v>10290</v>
      </c>
      <c r="D139" s="1524">
        <v>10260</v>
      </c>
      <c r="E139" s="1524">
        <v>10550</v>
      </c>
      <c r="F139" s="1538">
        <v>1700</v>
      </c>
    </row>
    <row r="140" spans="1:6" s="1518" customFormat="1" ht="14.25" customHeight="1" thickBot="1">
      <c r="A140" s="1530" t="s">
        <v>203</v>
      </c>
      <c r="B140" s="1524" t="s">
        <v>1475</v>
      </c>
      <c r="C140" s="1524">
        <v>9740</v>
      </c>
      <c r="D140" s="1524">
        <v>9710</v>
      </c>
      <c r="E140" s="1524">
        <v>10000</v>
      </c>
      <c r="F140" s="1538">
        <v>2000</v>
      </c>
    </row>
    <row r="141" spans="1:6" s="1518" customFormat="1" ht="14.25" customHeight="1" thickBot="1">
      <c r="A141" s="1530" t="s">
        <v>203</v>
      </c>
      <c r="B141" s="1524" t="s">
        <v>1480</v>
      </c>
      <c r="C141" s="1524">
        <v>9810</v>
      </c>
      <c r="D141" s="1524">
        <v>9770</v>
      </c>
      <c r="E141" s="1524">
        <v>10060</v>
      </c>
      <c r="F141" s="1542"/>
    </row>
    <row r="142" spans="1:6" s="1518" customFormat="1" ht="14.25" customHeight="1" thickBot="1">
      <c r="A142" s="1530" t="s">
        <v>203</v>
      </c>
      <c r="B142" s="1524" t="s">
        <v>1485</v>
      </c>
      <c r="C142" s="1524">
        <v>9300</v>
      </c>
      <c r="D142" s="1524">
        <v>9270</v>
      </c>
      <c r="E142" s="1524">
        <v>9530</v>
      </c>
      <c r="F142" s="1542"/>
    </row>
    <row r="143" spans="1:6" s="1518" customFormat="1" ht="14.25" customHeight="1" thickBot="1">
      <c r="A143" s="1530" t="s">
        <v>203</v>
      </c>
      <c r="B143" s="1524" t="s">
        <v>1490</v>
      </c>
      <c r="C143" s="1524">
        <v>10080</v>
      </c>
      <c r="D143" s="1524">
        <v>10050</v>
      </c>
      <c r="E143" s="1524">
        <v>10340</v>
      </c>
      <c r="F143" s="1542"/>
    </row>
    <row r="144" spans="1:6" s="1518" customFormat="1" ht="14.25" customHeight="1" thickBot="1">
      <c r="A144" s="1530" t="s">
        <v>203</v>
      </c>
      <c r="B144" s="1524" t="s">
        <v>1494</v>
      </c>
      <c r="C144" s="1524">
        <v>9820</v>
      </c>
      <c r="D144" s="1524">
        <v>9750</v>
      </c>
      <c r="E144" s="1524">
        <v>9900</v>
      </c>
      <c r="F144" s="1542"/>
    </row>
    <row r="145" spans="1:6" s="1518" customFormat="1" ht="14.25" customHeight="1" thickBot="1">
      <c r="A145" s="1530" t="s">
        <v>203</v>
      </c>
      <c r="B145" s="1524" t="s">
        <v>1498</v>
      </c>
      <c r="C145" s="1524"/>
      <c r="D145" s="1524"/>
      <c r="E145" s="1524"/>
      <c r="F145" s="1538">
        <v>1740</v>
      </c>
    </row>
    <row r="146" spans="1:6" s="1518" customFormat="1" ht="14.25" customHeight="1" thickBot="1">
      <c r="A146" s="1530" t="s">
        <v>203</v>
      </c>
      <c r="B146" s="1524" t="s">
        <v>1502</v>
      </c>
      <c r="C146" s="1524"/>
      <c r="D146" s="1524"/>
      <c r="E146" s="1524"/>
      <c r="F146" s="1538">
        <v>1740</v>
      </c>
    </row>
    <row r="147" spans="1:6" s="1518" customFormat="1" ht="14.25" customHeight="1" thickBot="1">
      <c r="A147" s="1530" t="s">
        <v>203</v>
      </c>
      <c r="B147" s="1524" t="s">
        <v>1506</v>
      </c>
      <c r="C147" s="1524"/>
      <c r="D147" s="1524"/>
      <c r="E147" s="1524"/>
      <c r="F147" s="1538">
        <v>1740</v>
      </c>
    </row>
    <row r="148" spans="1:6" s="1518" customFormat="1" ht="14.25" customHeight="1" thickBot="1">
      <c r="A148" s="1530" t="s">
        <v>203</v>
      </c>
      <c r="B148" s="1524" t="s">
        <v>1510</v>
      </c>
      <c r="C148" s="1524"/>
      <c r="D148" s="1524"/>
      <c r="E148" s="1524"/>
      <c r="F148" s="1538">
        <v>1740</v>
      </c>
    </row>
    <row r="149" spans="1:6" s="1518" customFormat="1" ht="14.25" customHeight="1" thickBot="1">
      <c r="A149" s="1530" t="s">
        <v>203</v>
      </c>
      <c r="B149" s="1524" t="s">
        <v>1514</v>
      </c>
      <c r="C149" s="1524"/>
      <c r="D149" s="1524"/>
      <c r="E149" s="1524"/>
      <c r="F149" s="1538">
        <v>1740</v>
      </c>
    </row>
    <row r="150" spans="1:6" s="1518" customFormat="1" ht="14.25" customHeight="1" thickBot="1">
      <c r="A150" s="1530" t="s">
        <v>203</v>
      </c>
      <c r="B150" s="1524" t="s">
        <v>1517</v>
      </c>
      <c r="C150" s="1524"/>
      <c r="D150" s="1524"/>
      <c r="E150" s="1524"/>
      <c r="F150" s="1538">
        <v>1610</v>
      </c>
    </row>
    <row r="151" spans="1:6" s="1518" customFormat="1" ht="14.25" customHeight="1" thickBot="1">
      <c r="A151" s="1530" t="s">
        <v>203</v>
      </c>
      <c r="B151" s="1524" t="s">
        <v>1520</v>
      </c>
      <c r="C151" s="1524"/>
      <c r="D151" s="1524"/>
      <c r="E151" s="1524"/>
      <c r="F151" s="1538">
        <v>1610</v>
      </c>
    </row>
    <row r="152" spans="1:6" s="1518" customFormat="1" ht="14.25" customHeight="1" thickBot="1">
      <c r="A152" s="1530" t="s">
        <v>203</v>
      </c>
      <c r="B152" s="1524" t="s">
        <v>1523</v>
      </c>
      <c r="C152" s="1524"/>
      <c r="D152" s="1524"/>
      <c r="E152" s="1524"/>
      <c r="F152" s="1538">
        <v>1610</v>
      </c>
    </row>
    <row r="153" spans="1:6" s="1518" customFormat="1" ht="14.25" customHeight="1" thickBot="1">
      <c r="A153" s="1530" t="s">
        <v>203</v>
      </c>
      <c r="B153" s="1524" t="s">
        <v>1526</v>
      </c>
      <c r="C153" s="1524"/>
      <c r="D153" s="1524"/>
      <c r="E153" s="1524"/>
      <c r="F153" s="1538">
        <v>1610</v>
      </c>
    </row>
    <row r="154" spans="1:6" s="1518" customFormat="1" ht="14.25" customHeight="1" thickBot="1">
      <c r="A154" s="1530" t="s">
        <v>203</v>
      </c>
      <c r="B154" s="1524" t="s">
        <v>1529</v>
      </c>
      <c r="C154" s="1524"/>
      <c r="D154" s="1524"/>
      <c r="E154" s="1524"/>
      <c r="F154" s="1538">
        <v>1610</v>
      </c>
    </row>
    <row r="155" spans="1:6" s="1518" customFormat="1" ht="14.25" customHeight="1" thickBot="1">
      <c r="A155" s="1530" t="s">
        <v>203</v>
      </c>
      <c r="B155" s="1524" t="s">
        <v>1532</v>
      </c>
      <c r="C155" s="1524"/>
      <c r="D155" s="1524"/>
      <c r="E155" s="1524"/>
      <c r="F155" s="1538">
        <v>1800</v>
      </c>
    </row>
    <row r="156" spans="1:6" s="1518" customFormat="1" ht="14.25" customHeight="1" thickBot="1">
      <c r="A156" s="1530" t="s">
        <v>203</v>
      </c>
      <c r="B156" s="1524" t="s">
        <v>1534</v>
      </c>
      <c r="C156" s="1524"/>
      <c r="D156" s="1524"/>
      <c r="E156" s="1524"/>
      <c r="F156" s="1538">
        <v>1910</v>
      </c>
    </row>
    <row r="157" spans="1:6" s="1518" customFormat="1" ht="14.25" customHeight="1" thickBot="1">
      <c r="A157" s="1530" t="s">
        <v>203</v>
      </c>
      <c r="B157" s="1536" t="s">
        <v>1537</v>
      </c>
      <c r="C157" s="1536"/>
      <c r="D157" s="1536"/>
      <c r="E157" s="1536"/>
      <c r="F157" s="1541">
        <v>1500</v>
      </c>
    </row>
    <row r="158" spans="1:6" s="1518" customFormat="1" ht="14.25" customHeight="1" thickBot="1">
      <c r="A158" s="1530" t="s">
        <v>1542</v>
      </c>
      <c r="B158" s="1531" t="s">
        <v>1543</v>
      </c>
      <c r="C158" s="1531">
        <v>8170</v>
      </c>
      <c r="D158" s="1531">
        <v>8140</v>
      </c>
      <c r="E158" s="1531">
        <v>8590</v>
      </c>
      <c r="F158" s="1532">
        <v>1450</v>
      </c>
    </row>
    <row r="159" spans="1:6" s="1518" customFormat="1" ht="14.25" customHeight="1" thickBot="1">
      <c r="A159" s="1530" t="s">
        <v>1542</v>
      </c>
      <c r="B159" s="1524" t="s">
        <v>1209</v>
      </c>
      <c r="C159" s="1524">
        <v>7410</v>
      </c>
      <c r="D159" s="1524">
        <v>7370</v>
      </c>
      <c r="E159" s="1524">
        <v>8030</v>
      </c>
      <c r="F159" s="1538">
        <v>1510</v>
      </c>
    </row>
    <row r="160" spans="1:6" s="1518" customFormat="1" ht="14.25" customHeight="1" thickBot="1">
      <c r="A160" s="1530" t="s">
        <v>1542</v>
      </c>
      <c r="B160" s="1524" t="s">
        <v>1222</v>
      </c>
      <c r="C160" s="1524">
        <v>7240</v>
      </c>
      <c r="D160" s="1524">
        <v>7210</v>
      </c>
      <c r="E160" s="1524">
        <v>7860</v>
      </c>
      <c r="F160" s="1538">
        <v>1370</v>
      </c>
    </row>
    <row r="161" spans="1:6" s="1518" customFormat="1" ht="14.25" customHeight="1" thickBot="1">
      <c r="A161" s="1530" t="s">
        <v>1542</v>
      </c>
      <c r="B161" s="1524" t="s">
        <v>1235</v>
      </c>
      <c r="C161" s="1524">
        <v>7720</v>
      </c>
      <c r="D161" s="1524">
        <v>7690</v>
      </c>
      <c r="E161" s="1524">
        <v>8200</v>
      </c>
      <c r="F161" s="1538">
        <v>1190</v>
      </c>
    </row>
    <row r="162" spans="1:6" s="1518" customFormat="1" ht="14.25" customHeight="1" thickBot="1">
      <c r="A162" s="1530" t="s">
        <v>1542</v>
      </c>
      <c r="B162" s="1524" t="s">
        <v>1247</v>
      </c>
      <c r="C162" s="1524">
        <v>6900</v>
      </c>
      <c r="D162" s="1524">
        <v>6870</v>
      </c>
      <c r="E162" s="1524">
        <v>7500</v>
      </c>
      <c r="F162" s="1538">
        <v>1390</v>
      </c>
    </row>
    <row r="163" spans="1:6" s="1518" customFormat="1" ht="14.25" customHeight="1" thickBot="1">
      <c r="A163" s="1530" t="s">
        <v>1542</v>
      </c>
      <c r="B163" s="1524" t="s">
        <v>1258</v>
      </c>
      <c r="C163" s="1524">
        <v>7120</v>
      </c>
      <c r="D163" s="1524">
        <v>7090</v>
      </c>
      <c r="E163" s="1524">
        <v>7690</v>
      </c>
      <c r="F163" s="1538">
        <v>1230</v>
      </c>
    </row>
    <row r="164" spans="1:6" s="1518" customFormat="1" ht="14.25" customHeight="1" thickBot="1">
      <c r="A164" s="1530" t="s">
        <v>1542</v>
      </c>
      <c r="B164" s="1524" t="s">
        <v>1269</v>
      </c>
      <c r="C164" s="1524">
        <v>6560</v>
      </c>
      <c r="D164" s="1524">
        <v>6530</v>
      </c>
      <c r="E164" s="1524">
        <v>7110</v>
      </c>
      <c r="F164" s="1538">
        <v>1340</v>
      </c>
    </row>
    <row r="165" spans="1:6" s="1518" customFormat="1" ht="14.25" customHeight="1" thickBot="1">
      <c r="A165" s="1530" t="s">
        <v>1542</v>
      </c>
      <c r="B165" s="1524" t="s">
        <v>1280</v>
      </c>
      <c r="C165" s="1524">
        <v>7450</v>
      </c>
      <c r="D165" s="1524">
        <v>7430</v>
      </c>
      <c r="E165" s="1524">
        <v>8110</v>
      </c>
      <c r="F165" s="1538">
        <v>1290</v>
      </c>
    </row>
    <row r="166" spans="1:6" s="1518" customFormat="1" ht="14.25" customHeight="1" thickBot="1">
      <c r="A166" s="1530" t="s">
        <v>1542</v>
      </c>
      <c r="B166" s="1524" t="s">
        <v>1292</v>
      </c>
      <c r="C166" s="1524">
        <v>7490</v>
      </c>
      <c r="D166" s="1524">
        <v>7460</v>
      </c>
      <c r="E166" s="1524">
        <v>8150</v>
      </c>
      <c r="F166" s="1538">
        <v>1350</v>
      </c>
    </row>
    <row r="167" spans="1:6" s="1518" customFormat="1" ht="14.25" customHeight="1" thickBot="1">
      <c r="A167" s="1530" t="s">
        <v>1542</v>
      </c>
      <c r="B167" s="1524" t="s">
        <v>1302</v>
      </c>
      <c r="C167" s="1524">
        <v>7540</v>
      </c>
      <c r="D167" s="1524">
        <v>7510</v>
      </c>
      <c r="E167" s="1524">
        <v>8030</v>
      </c>
      <c r="F167" s="1542"/>
    </row>
    <row r="168" spans="1:6" s="1518" customFormat="1" ht="14.25" customHeight="1" thickBot="1">
      <c r="A168" s="1530" t="s">
        <v>1542</v>
      </c>
      <c r="B168" s="1524" t="s">
        <v>1312</v>
      </c>
      <c r="C168" s="1524">
        <v>7210</v>
      </c>
      <c r="D168" s="1524">
        <v>7180</v>
      </c>
      <c r="E168" s="1524">
        <v>7830</v>
      </c>
      <c r="F168" s="1542"/>
    </row>
    <row r="169" spans="1:6" s="1518" customFormat="1" ht="14.25" customHeight="1" thickBot="1">
      <c r="A169" s="1530" t="s">
        <v>1542</v>
      </c>
      <c r="B169" s="1524" t="s">
        <v>1322</v>
      </c>
      <c r="C169" s="1524">
        <v>7040</v>
      </c>
      <c r="D169" s="1524">
        <v>7020</v>
      </c>
      <c r="E169" s="1524">
        <v>7670</v>
      </c>
      <c r="F169" s="1542"/>
    </row>
    <row r="170" spans="1:6" s="1518" customFormat="1" ht="14.25" customHeight="1" thickBot="1">
      <c r="A170" s="1530" t="s">
        <v>1542</v>
      </c>
      <c r="B170" s="1524" t="s">
        <v>1332</v>
      </c>
      <c r="C170" s="1524">
        <v>8040</v>
      </c>
      <c r="D170" s="1524">
        <v>7190</v>
      </c>
      <c r="E170" s="1524">
        <v>7850</v>
      </c>
      <c r="F170" s="1542"/>
    </row>
    <row r="171" spans="1:6" s="1518" customFormat="1" ht="14.25" customHeight="1" thickBot="1">
      <c r="A171" s="1530" t="s">
        <v>1542</v>
      </c>
      <c r="B171" s="1524" t="s">
        <v>1343</v>
      </c>
      <c r="C171" s="1524">
        <v>7860</v>
      </c>
      <c r="D171" s="1524">
        <v>7720</v>
      </c>
      <c r="E171" s="1524">
        <v>8150</v>
      </c>
      <c r="F171" s="1538">
        <v>1110</v>
      </c>
    </row>
    <row r="172" spans="1:6" s="1518" customFormat="1" ht="14.25" customHeight="1" thickBot="1">
      <c r="A172" s="1530" t="s">
        <v>1542</v>
      </c>
      <c r="B172" s="1524" t="s">
        <v>1354</v>
      </c>
      <c r="C172" s="1524">
        <v>7210</v>
      </c>
      <c r="D172" s="1524">
        <v>7170</v>
      </c>
      <c r="E172" s="1524">
        <v>7320</v>
      </c>
      <c r="F172" s="1542"/>
    </row>
    <row r="173" spans="1:6" s="1518" customFormat="1" ht="14.25" customHeight="1" thickBot="1">
      <c r="A173" s="1530" t="s">
        <v>1542</v>
      </c>
      <c r="B173" s="1524" t="s">
        <v>1364</v>
      </c>
      <c r="C173" s="1524">
        <v>6860</v>
      </c>
      <c r="D173" s="1524">
        <v>6810</v>
      </c>
      <c r="E173" s="1524">
        <v>7440</v>
      </c>
      <c r="F173" s="1542"/>
    </row>
    <row r="174" spans="1:6" s="1518" customFormat="1" ht="14.25" customHeight="1" thickBot="1">
      <c r="A174" s="1530" t="s">
        <v>1542</v>
      </c>
      <c r="B174" s="1524" t="s">
        <v>1374</v>
      </c>
      <c r="C174" s="1524">
        <v>7120</v>
      </c>
      <c r="D174" s="1524">
        <v>7090</v>
      </c>
      <c r="E174" s="1524">
        <v>7500</v>
      </c>
      <c r="F174" s="1538">
        <v>1490</v>
      </c>
    </row>
    <row r="175" spans="1:6" s="1518" customFormat="1" ht="14.25" customHeight="1" thickBot="1">
      <c r="A175" s="1530" t="s">
        <v>1542</v>
      </c>
      <c r="B175" s="1524" t="s">
        <v>1384</v>
      </c>
      <c r="C175" s="1524">
        <v>7850</v>
      </c>
      <c r="D175" s="1524">
        <v>7820</v>
      </c>
      <c r="E175" s="1524">
        <v>8120</v>
      </c>
      <c r="F175" s="1538">
        <v>1530</v>
      </c>
    </row>
    <row r="176" spans="1:6" s="1518" customFormat="1" ht="14.25" customHeight="1" thickBot="1">
      <c r="A176" s="1530" t="s">
        <v>1542</v>
      </c>
      <c r="B176" s="1524" t="s">
        <v>1394</v>
      </c>
      <c r="C176" s="1524">
        <v>7620</v>
      </c>
      <c r="D176" s="1524">
        <v>7570</v>
      </c>
      <c r="E176" s="1524">
        <v>7990</v>
      </c>
      <c r="F176" s="1538">
        <v>1480</v>
      </c>
    </row>
    <row r="177" spans="1:6" s="1518" customFormat="1" ht="14.25" customHeight="1" thickBot="1">
      <c r="A177" s="1530" t="s">
        <v>1542</v>
      </c>
      <c r="B177" s="1524" t="s">
        <v>1403</v>
      </c>
      <c r="C177" s="1524">
        <v>8590</v>
      </c>
      <c r="D177" s="1524">
        <v>8570</v>
      </c>
      <c r="E177" s="1524">
        <v>8740</v>
      </c>
      <c r="F177" s="1538">
        <v>1540</v>
      </c>
    </row>
    <row r="178" spans="1:6" s="1518" customFormat="1" ht="14.25" customHeight="1" thickBot="1">
      <c r="A178" s="1530" t="s">
        <v>1542</v>
      </c>
      <c r="B178" s="1524" t="s">
        <v>1412</v>
      </c>
      <c r="C178" s="1524">
        <v>7510</v>
      </c>
      <c r="D178" s="1524">
        <v>7470</v>
      </c>
      <c r="E178" s="1524">
        <v>8090</v>
      </c>
      <c r="F178" s="1538">
        <v>1320</v>
      </c>
    </row>
    <row r="179" spans="1:6" s="1518" customFormat="1" ht="14.25" customHeight="1" thickBot="1">
      <c r="A179" s="1530" t="s">
        <v>1542</v>
      </c>
      <c r="B179" s="1524" t="s">
        <v>1420</v>
      </c>
      <c r="C179" s="1524">
        <v>6380</v>
      </c>
      <c r="D179" s="1524">
        <v>6340</v>
      </c>
      <c r="E179" s="1524">
        <v>6810</v>
      </c>
      <c r="F179" s="1542"/>
    </row>
    <row r="180" spans="1:6" s="1518" customFormat="1" ht="14.25" customHeight="1" thickBot="1">
      <c r="A180" s="1530" t="s">
        <v>1542</v>
      </c>
      <c r="B180" s="1524" t="s">
        <v>1427</v>
      </c>
      <c r="C180" s="1524">
        <v>7830</v>
      </c>
      <c r="D180" s="1524">
        <v>7800</v>
      </c>
      <c r="E180" s="1524">
        <v>7780</v>
      </c>
      <c r="F180" s="1538">
        <v>1440</v>
      </c>
    </row>
    <row r="181" spans="1:6" s="1518" customFormat="1" ht="14.25" customHeight="1" thickBot="1">
      <c r="A181" s="1530" t="s">
        <v>1542</v>
      </c>
      <c r="B181" s="1524" t="s">
        <v>1434</v>
      </c>
      <c r="C181" s="1524">
        <v>7110</v>
      </c>
      <c r="D181" s="1524">
        <v>7080</v>
      </c>
      <c r="E181" s="1524">
        <v>7730</v>
      </c>
      <c r="F181" s="1538">
        <v>1350</v>
      </c>
    </row>
    <row r="182" spans="1:6" s="1518" customFormat="1" ht="14.25" customHeight="1" thickBot="1">
      <c r="A182" s="1530" t="s">
        <v>1542</v>
      </c>
      <c r="B182" s="1524" t="s">
        <v>1441</v>
      </c>
      <c r="C182" s="1524">
        <v>7310</v>
      </c>
      <c r="D182" s="1524">
        <v>7280</v>
      </c>
      <c r="E182" s="1524">
        <v>7950</v>
      </c>
      <c r="F182" s="1538">
        <v>1220</v>
      </c>
    </row>
    <row r="183" spans="1:6" s="1518" customFormat="1" ht="14.25" customHeight="1" thickBot="1">
      <c r="A183" s="1530" t="s">
        <v>1542</v>
      </c>
      <c r="B183" s="1524" t="s">
        <v>1448</v>
      </c>
      <c r="C183" s="1524">
        <v>7470</v>
      </c>
      <c r="D183" s="1524">
        <v>7440</v>
      </c>
      <c r="E183" s="1524">
        <v>7880</v>
      </c>
      <c r="F183" s="1542"/>
    </row>
    <row r="184" spans="1:6" s="1518" customFormat="1" ht="14.25" customHeight="1" thickBot="1">
      <c r="A184" s="1530" t="s">
        <v>1542</v>
      </c>
      <c r="B184" s="1524" t="s">
        <v>1455</v>
      </c>
      <c r="C184" s="1524">
        <v>6960</v>
      </c>
      <c r="D184" s="1524">
        <v>6930</v>
      </c>
      <c r="E184" s="1524">
        <v>7570</v>
      </c>
      <c r="F184" s="1542"/>
    </row>
    <row r="185" spans="1:6" s="1518" customFormat="1" ht="14.25" customHeight="1" thickBot="1">
      <c r="A185" s="1530" t="s">
        <v>1542</v>
      </c>
      <c r="B185" s="1524" t="s">
        <v>1462</v>
      </c>
      <c r="C185" s="1524">
        <v>7260</v>
      </c>
      <c r="D185" s="1524">
        <v>7230</v>
      </c>
      <c r="E185" s="1524">
        <v>7710</v>
      </c>
      <c r="F185" s="1538">
        <v>1360</v>
      </c>
    </row>
    <row r="186" spans="1:6" s="1518" customFormat="1" ht="14.25" customHeight="1" thickBot="1">
      <c r="A186" s="1530" t="s">
        <v>1542</v>
      </c>
      <c r="B186" s="1524" t="s">
        <v>1467</v>
      </c>
      <c r="C186" s="1524"/>
      <c r="D186" s="1524"/>
      <c r="E186" s="1524"/>
      <c r="F186" s="1538">
        <v>1560</v>
      </c>
    </row>
    <row r="187" spans="1:6" s="1518" customFormat="1" ht="14.25" customHeight="1" thickBot="1">
      <c r="A187" s="1530" t="s">
        <v>1542</v>
      </c>
      <c r="B187" s="1524" t="s">
        <v>1471</v>
      </c>
      <c r="C187" s="1524"/>
      <c r="D187" s="1524"/>
      <c r="E187" s="1524"/>
      <c r="F187" s="1538">
        <v>1560</v>
      </c>
    </row>
    <row r="188" spans="1:6" s="1518" customFormat="1" ht="14.25" customHeight="1" thickBot="1">
      <c r="A188" s="1530" t="s">
        <v>1542</v>
      </c>
      <c r="B188" s="1524" t="s">
        <v>1476</v>
      </c>
      <c r="C188" s="1524"/>
      <c r="D188" s="1524"/>
      <c r="E188" s="1524"/>
      <c r="F188" s="1538">
        <v>1560</v>
      </c>
    </row>
    <row r="189" spans="1:6" s="1518" customFormat="1" ht="14.25" customHeight="1" thickBot="1">
      <c r="A189" s="1530" t="s">
        <v>1542</v>
      </c>
      <c r="B189" s="1524" t="s">
        <v>1481</v>
      </c>
      <c r="C189" s="1524"/>
      <c r="D189" s="1524"/>
      <c r="E189" s="1524"/>
      <c r="F189" s="1538">
        <v>1320</v>
      </c>
    </row>
    <row r="190" spans="1:6" s="1518" customFormat="1" ht="14.25" customHeight="1" thickBot="1">
      <c r="A190" s="1530" t="s">
        <v>1542</v>
      </c>
      <c r="B190" s="1524" t="s">
        <v>1486</v>
      </c>
      <c r="C190" s="1524"/>
      <c r="D190" s="1524"/>
      <c r="E190" s="1524"/>
      <c r="F190" s="1538">
        <v>1320</v>
      </c>
    </row>
    <row r="191" spans="1:6" s="1518" customFormat="1" ht="14.25" customHeight="1" thickBot="1">
      <c r="A191" s="1530" t="s">
        <v>1542</v>
      </c>
      <c r="B191" s="1524" t="s">
        <v>1491</v>
      </c>
      <c r="C191" s="1524"/>
      <c r="D191" s="1524"/>
      <c r="E191" s="1524"/>
      <c r="F191" s="1538">
        <v>1320</v>
      </c>
    </row>
    <row r="192" spans="1:6" s="1518" customFormat="1" ht="14.25" customHeight="1" thickBot="1">
      <c r="A192" s="1530" t="s">
        <v>1542</v>
      </c>
      <c r="B192" s="1524" t="s">
        <v>1495</v>
      </c>
      <c r="C192" s="1524"/>
      <c r="D192" s="1524"/>
      <c r="E192" s="1524"/>
      <c r="F192" s="1538">
        <v>1100</v>
      </c>
    </row>
    <row r="193" spans="1:6" s="1518" customFormat="1" ht="14.25" customHeight="1" thickBot="1">
      <c r="A193" s="1530" t="s">
        <v>1542</v>
      </c>
      <c r="B193" s="1524" t="s">
        <v>1499</v>
      </c>
      <c r="C193" s="1524"/>
      <c r="D193" s="1524"/>
      <c r="E193" s="1524"/>
      <c r="F193" s="1538">
        <v>1100</v>
      </c>
    </row>
    <row r="194" spans="1:6" s="1518" customFormat="1" ht="14.25" customHeight="1" thickBot="1">
      <c r="A194" s="1530" t="s">
        <v>1542</v>
      </c>
      <c r="B194" s="1524" t="s">
        <v>1503</v>
      </c>
      <c r="C194" s="1524"/>
      <c r="D194" s="1524"/>
      <c r="E194" s="1524"/>
      <c r="F194" s="1538">
        <v>1080</v>
      </c>
    </row>
    <row r="195" spans="1:6" s="1518" customFormat="1" ht="14.25" customHeight="1" thickBot="1">
      <c r="A195" s="1530" t="s">
        <v>1542</v>
      </c>
      <c r="B195" s="1524" t="s">
        <v>1507</v>
      </c>
      <c r="C195" s="1524"/>
      <c r="D195" s="1524"/>
      <c r="E195" s="1524"/>
      <c r="F195" s="1538">
        <v>1270</v>
      </c>
    </row>
    <row r="196" spans="1:6" s="1518" customFormat="1" ht="14.25" customHeight="1" thickBot="1">
      <c r="A196" s="1530" t="s">
        <v>1542</v>
      </c>
      <c r="B196" s="1524" t="s">
        <v>1511</v>
      </c>
      <c r="C196" s="1524"/>
      <c r="D196" s="1524"/>
      <c r="E196" s="1524"/>
      <c r="F196" s="1538">
        <v>1150</v>
      </c>
    </row>
    <row r="197" spans="1:6" s="1518" customFormat="1" ht="14.25" customHeight="1" thickBot="1">
      <c r="A197" s="1530" t="s">
        <v>1542</v>
      </c>
      <c r="B197" s="1524" t="s">
        <v>1515</v>
      </c>
      <c r="C197" s="1524"/>
      <c r="D197" s="1524"/>
      <c r="E197" s="1524"/>
      <c r="F197" s="1538">
        <v>1330</v>
      </c>
    </row>
    <row r="198" spans="1:6" s="1518" customFormat="1" ht="14.25" customHeight="1" thickBot="1">
      <c r="A198" s="1530" t="s">
        <v>1542</v>
      </c>
      <c r="B198" s="1524" t="s">
        <v>1518</v>
      </c>
      <c r="C198" s="1524"/>
      <c r="D198" s="1524"/>
      <c r="E198" s="1524"/>
      <c r="F198" s="1538">
        <v>1170</v>
      </c>
    </row>
    <row r="199" spans="1:6" s="1518" customFormat="1" ht="14.25" customHeight="1" thickBot="1">
      <c r="A199" s="1530" t="s">
        <v>1542</v>
      </c>
      <c r="B199" s="1524" t="s">
        <v>1521</v>
      </c>
      <c r="C199" s="1524"/>
      <c r="D199" s="1524"/>
      <c r="E199" s="1524"/>
      <c r="F199" s="1538">
        <v>1120</v>
      </c>
    </row>
    <row r="200" spans="1:6" s="1518" customFormat="1" ht="14.25" customHeight="1" thickBot="1">
      <c r="A200" s="1530" t="s">
        <v>1542</v>
      </c>
      <c r="B200" s="1524" t="s">
        <v>1524</v>
      </c>
      <c r="C200" s="1524"/>
      <c r="D200" s="1524"/>
      <c r="E200" s="1524"/>
      <c r="F200" s="1538">
        <v>1120</v>
      </c>
    </row>
    <row r="201" spans="1:6" s="1518" customFormat="1" ht="14.25" customHeight="1" thickBot="1">
      <c r="A201" s="1530" t="s">
        <v>1542</v>
      </c>
      <c r="B201" s="1524" t="s">
        <v>1527</v>
      </c>
      <c r="C201" s="1524"/>
      <c r="D201" s="1524"/>
      <c r="E201" s="1524"/>
      <c r="F201" s="1538">
        <v>1540</v>
      </c>
    </row>
    <row r="202" spans="1:6" s="1518" customFormat="1" ht="14.25" customHeight="1" thickBot="1">
      <c r="A202" s="1530" t="s">
        <v>1542</v>
      </c>
      <c r="B202" s="1524" t="s">
        <v>1530</v>
      </c>
      <c r="C202" s="1524"/>
      <c r="D202" s="1524"/>
      <c r="E202" s="1524"/>
      <c r="F202" s="1538">
        <v>1310</v>
      </c>
    </row>
    <row r="203" spans="1:6" s="1518" customFormat="1" ht="14.25" customHeight="1" thickBot="1">
      <c r="A203" s="1530" t="s">
        <v>1542</v>
      </c>
      <c r="B203" s="1524" t="s">
        <v>1533</v>
      </c>
      <c r="C203" s="1524"/>
      <c r="D203" s="1524"/>
      <c r="E203" s="1524"/>
      <c r="F203" s="1538">
        <v>1310</v>
      </c>
    </row>
    <row r="204" spans="1:6" s="1518" customFormat="1" ht="14.25" customHeight="1" thickBot="1">
      <c r="A204" s="1530" t="s">
        <v>1542</v>
      </c>
      <c r="B204" s="1524" t="s">
        <v>1535</v>
      </c>
      <c r="C204" s="1524"/>
      <c r="D204" s="1524"/>
      <c r="E204" s="1524"/>
      <c r="F204" s="1538">
        <v>1080</v>
      </c>
    </row>
    <row r="205" spans="1:6" s="1518" customFormat="1" ht="14.25" customHeight="1" thickBot="1">
      <c r="A205" s="1530" t="s">
        <v>1542</v>
      </c>
      <c r="B205" s="1524" t="s">
        <v>1538</v>
      </c>
      <c r="C205" s="1524"/>
      <c r="D205" s="1524"/>
      <c r="E205" s="1524"/>
      <c r="F205" s="1538">
        <v>1080</v>
      </c>
    </row>
    <row r="206" spans="1:6" s="1518" customFormat="1" ht="14.25" customHeight="1" thickBot="1">
      <c r="A206" s="1530" t="s">
        <v>1544</v>
      </c>
      <c r="B206" s="1531" t="s">
        <v>1545</v>
      </c>
      <c r="C206" s="1531">
        <v>5450</v>
      </c>
      <c r="D206" s="1531">
        <v>5430</v>
      </c>
      <c r="E206" s="1531">
        <v>5700</v>
      </c>
      <c r="F206" s="1532">
        <v>1020</v>
      </c>
    </row>
    <row r="207" spans="1:6" s="1518" customFormat="1" ht="14.25" customHeight="1" thickBot="1">
      <c r="A207" s="1530" t="s">
        <v>1544</v>
      </c>
      <c r="B207" s="1524" t="s">
        <v>1210</v>
      </c>
      <c r="C207" s="1524">
        <v>5860</v>
      </c>
      <c r="D207" s="1524">
        <v>5820</v>
      </c>
      <c r="E207" s="1524">
        <v>6050</v>
      </c>
      <c r="F207" s="1538">
        <v>1080</v>
      </c>
    </row>
    <row r="208" spans="1:6" s="1518" customFormat="1" ht="14.25" customHeight="1" thickBot="1">
      <c r="A208" s="1530" t="s">
        <v>1544</v>
      </c>
      <c r="B208" s="1524" t="s">
        <v>1223</v>
      </c>
      <c r="C208" s="1524">
        <v>4630</v>
      </c>
      <c r="D208" s="1524">
        <v>4600</v>
      </c>
      <c r="E208" s="1524">
        <v>4840</v>
      </c>
      <c r="F208" s="1538">
        <v>900</v>
      </c>
    </row>
    <row r="209" spans="1:6" s="1518" customFormat="1" ht="14.25" customHeight="1" thickBot="1">
      <c r="A209" s="1530" t="s">
        <v>1544</v>
      </c>
      <c r="B209" s="1524" t="s">
        <v>1236</v>
      </c>
      <c r="C209" s="1524">
        <v>5320</v>
      </c>
      <c r="D209" s="1524">
        <v>5270</v>
      </c>
      <c r="E209" s="1524">
        <v>5540</v>
      </c>
      <c r="F209" s="1538">
        <v>980</v>
      </c>
    </row>
    <row r="210" spans="1:6" s="1518" customFormat="1" ht="14.25" customHeight="1" thickBot="1">
      <c r="A210" s="1530" t="s">
        <v>1544</v>
      </c>
      <c r="B210" s="1524" t="s">
        <v>1248</v>
      </c>
      <c r="C210" s="1524">
        <v>5760</v>
      </c>
      <c r="D210" s="1524">
        <v>5710</v>
      </c>
      <c r="E210" s="1524">
        <v>6010</v>
      </c>
      <c r="F210" s="1538">
        <v>870</v>
      </c>
    </row>
    <row r="211" spans="1:6" s="1518" customFormat="1" ht="14.25" customHeight="1" thickBot="1">
      <c r="A211" s="1530" t="s">
        <v>1544</v>
      </c>
      <c r="B211" s="1524" t="s">
        <v>1259</v>
      </c>
      <c r="C211" s="1524">
        <v>4160</v>
      </c>
      <c r="D211" s="1524">
        <v>4100</v>
      </c>
      <c r="E211" s="1524">
        <v>4270</v>
      </c>
      <c r="F211" s="1538">
        <v>790</v>
      </c>
    </row>
    <row r="212" spans="1:6" s="1518" customFormat="1" ht="14.25" customHeight="1" thickBot="1">
      <c r="A212" s="1530" t="s">
        <v>1544</v>
      </c>
      <c r="B212" s="1524" t="s">
        <v>1270</v>
      </c>
      <c r="C212" s="1524">
        <v>4880</v>
      </c>
      <c r="D212" s="1524">
        <v>4850</v>
      </c>
      <c r="E212" s="1524">
        <v>5110</v>
      </c>
      <c r="F212" s="1538">
        <v>940</v>
      </c>
    </row>
    <row r="213" spans="1:6" s="1518" customFormat="1" ht="14.25" customHeight="1" thickBot="1">
      <c r="A213" s="1530" t="s">
        <v>1544</v>
      </c>
      <c r="B213" s="1524" t="s">
        <v>1281</v>
      </c>
      <c r="C213" s="1524">
        <v>4640</v>
      </c>
      <c r="D213" s="1524">
        <v>4590</v>
      </c>
      <c r="E213" s="1524">
        <v>4700</v>
      </c>
      <c r="F213" s="1538">
        <v>1030</v>
      </c>
    </row>
    <row r="214" spans="1:6" s="1518" customFormat="1" ht="14.25" customHeight="1" thickBot="1">
      <c r="A214" s="1530" t="s">
        <v>1544</v>
      </c>
      <c r="B214" s="1524" t="s">
        <v>1293</v>
      </c>
      <c r="C214" s="1524">
        <v>4540</v>
      </c>
      <c r="D214" s="1524">
        <v>4490</v>
      </c>
      <c r="E214" s="1524">
        <v>4610</v>
      </c>
      <c r="F214" s="1542"/>
    </row>
    <row r="215" spans="1:6" s="1518" customFormat="1" ht="14.25" customHeight="1" thickBot="1">
      <c r="A215" s="1530" t="s">
        <v>1544</v>
      </c>
      <c r="B215" s="1524" t="s">
        <v>1303</v>
      </c>
      <c r="C215" s="1524">
        <v>5280</v>
      </c>
      <c r="D215" s="1524">
        <v>5250</v>
      </c>
      <c r="E215" s="1524">
        <v>5520</v>
      </c>
      <c r="F215" s="1538">
        <v>1000</v>
      </c>
    </row>
    <row r="216" spans="1:6" s="1518" customFormat="1" ht="14.25" customHeight="1" thickBot="1">
      <c r="A216" s="1530" t="s">
        <v>1544</v>
      </c>
      <c r="B216" s="1524" t="s">
        <v>1313</v>
      </c>
      <c r="C216" s="1524">
        <v>5100</v>
      </c>
      <c r="D216" s="1524">
        <v>5050</v>
      </c>
      <c r="E216" s="1524">
        <v>5300</v>
      </c>
      <c r="F216" s="1538">
        <v>950</v>
      </c>
    </row>
    <row r="217" spans="1:6" s="1518" customFormat="1" ht="14.25" customHeight="1" thickBot="1">
      <c r="A217" s="1530" t="s">
        <v>1544</v>
      </c>
      <c r="B217" s="1524" t="s">
        <v>1323</v>
      </c>
      <c r="C217" s="1524">
        <v>5370</v>
      </c>
      <c r="D217" s="1524">
        <v>5320</v>
      </c>
      <c r="E217" s="1524">
        <v>5410</v>
      </c>
      <c r="F217" s="1538">
        <v>950</v>
      </c>
    </row>
    <row r="218" spans="1:6" s="1518" customFormat="1" ht="14.25" customHeight="1" thickBot="1">
      <c r="A218" s="1530" t="s">
        <v>1544</v>
      </c>
      <c r="B218" s="1524" t="s">
        <v>1333</v>
      </c>
      <c r="C218" s="1524">
        <v>5540</v>
      </c>
      <c r="D218" s="1524">
        <v>5480</v>
      </c>
      <c r="E218" s="1524">
        <v>5740</v>
      </c>
      <c r="F218" s="1538">
        <v>1020</v>
      </c>
    </row>
    <row r="219" spans="1:6" s="1518" customFormat="1" ht="14.25" customHeight="1" thickBot="1">
      <c r="A219" s="1530" t="s">
        <v>1544</v>
      </c>
      <c r="B219" s="1524" t="s">
        <v>1344</v>
      </c>
      <c r="C219" s="1524">
        <v>5140</v>
      </c>
      <c r="D219" s="1524">
        <v>5100</v>
      </c>
      <c r="E219" s="1524">
        <v>5350</v>
      </c>
      <c r="F219" s="1538">
        <v>1120</v>
      </c>
    </row>
    <row r="220" spans="1:6" s="1518" customFormat="1" ht="14.25" customHeight="1" thickBot="1">
      <c r="A220" s="1530" t="s">
        <v>1544</v>
      </c>
      <c r="B220" s="1524" t="s">
        <v>1355</v>
      </c>
      <c r="C220" s="1524">
        <v>5040</v>
      </c>
      <c r="D220" s="1524">
        <v>5000</v>
      </c>
      <c r="E220" s="1524">
        <v>5240</v>
      </c>
      <c r="F220" s="1538">
        <v>980</v>
      </c>
    </row>
    <row r="221" spans="1:6" s="1518" customFormat="1" ht="14.25" customHeight="1" thickBot="1">
      <c r="A221" s="1530" t="s">
        <v>1544</v>
      </c>
      <c r="B221" s="1524" t="s">
        <v>1365</v>
      </c>
      <c r="C221" s="1543"/>
      <c r="D221" s="1543"/>
      <c r="E221" s="1543"/>
      <c r="F221" s="1538">
        <v>1070</v>
      </c>
    </row>
    <row r="222" spans="1:6" s="1518" customFormat="1" ht="14.25" customHeight="1" thickBot="1">
      <c r="A222" s="1530" t="s">
        <v>1544</v>
      </c>
      <c r="B222" s="1524" t="s">
        <v>1375</v>
      </c>
      <c r="C222" s="1543"/>
      <c r="D222" s="1543"/>
      <c r="E222" s="1543"/>
      <c r="F222" s="1538">
        <v>870</v>
      </c>
    </row>
    <row r="223" spans="1:6" s="1518" customFormat="1" ht="14.25" customHeight="1" thickBot="1">
      <c r="A223" s="1530" t="s">
        <v>1544</v>
      </c>
      <c r="B223" s="1524" t="s">
        <v>1385</v>
      </c>
      <c r="C223" s="1543"/>
      <c r="D223" s="1543"/>
      <c r="E223" s="1543"/>
      <c r="F223" s="1538">
        <v>940</v>
      </c>
    </row>
    <row r="224" spans="1:6" s="1518" customFormat="1" ht="14.25" customHeight="1" thickBot="1">
      <c r="A224" s="1530" t="s">
        <v>1544</v>
      </c>
      <c r="B224" s="1524" t="s">
        <v>1395</v>
      </c>
      <c r="C224" s="1543"/>
      <c r="D224" s="1543"/>
      <c r="E224" s="1543"/>
      <c r="F224" s="1538">
        <v>990</v>
      </c>
    </row>
    <row r="225" spans="1:6" s="1518" customFormat="1" ht="14.25" customHeight="1" thickBot="1">
      <c r="A225" s="1530" t="s">
        <v>1544</v>
      </c>
      <c r="B225" s="1524" t="s">
        <v>1404</v>
      </c>
      <c r="C225" s="1524">
        <v>5730</v>
      </c>
      <c r="D225" s="1524">
        <v>5680</v>
      </c>
      <c r="E225" s="1524">
        <v>6020</v>
      </c>
      <c r="F225" s="1538">
        <v>1000</v>
      </c>
    </row>
    <row r="226" spans="1:6" s="1518" customFormat="1" ht="14.25" customHeight="1" thickBot="1">
      <c r="A226" s="1530" t="s">
        <v>1544</v>
      </c>
      <c r="B226" s="1524" t="s">
        <v>1413</v>
      </c>
      <c r="C226" s="1524">
        <v>4970</v>
      </c>
      <c r="D226" s="1524">
        <v>4940</v>
      </c>
      <c r="E226" s="1524">
        <v>5180</v>
      </c>
      <c r="F226" s="1538">
        <v>960</v>
      </c>
    </row>
    <row r="227" spans="1:6" s="1518" customFormat="1" ht="14.25" customHeight="1" thickBot="1">
      <c r="A227" s="1530" t="s">
        <v>1544</v>
      </c>
      <c r="B227" s="1524" t="s">
        <v>1421</v>
      </c>
      <c r="C227" s="1524">
        <v>5550</v>
      </c>
      <c r="D227" s="1524">
        <v>5500</v>
      </c>
      <c r="E227" s="1524">
        <v>5780</v>
      </c>
      <c r="F227" s="1538">
        <v>940</v>
      </c>
    </row>
    <row r="228" spans="1:6" s="1518" customFormat="1" ht="14.25" customHeight="1" thickBot="1">
      <c r="A228" s="1530" t="s">
        <v>1544</v>
      </c>
      <c r="B228" s="1524" t="s">
        <v>1428</v>
      </c>
      <c r="C228" s="1524">
        <v>5460</v>
      </c>
      <c r="D228" s="1524">
        <v>5420</v>
      </c>
      <c r="E228" s="1524">
        <v>5690</v>
      </c>
      <c r="F228" s="1538">
        <v>910</v>
      </c>
    </row>
    <row r="229" spans="1:6" s="1518" customFormat="1" ht="14.25" customHeight="1" thickBot="1">
      <c r="A229" s="1530" t="s">
        <v>1544</v>
      </c>
      <c r="B229" s="1524" t="s">
        <v>1435</v>
      </c>
      <c r="C229" s="1524">
        <v>5310</v>
      </c>
      <c r="D229" s="1524">
        <v>5270</v>
      </c>
      <c r="E229" s="1524">
        <v>5510</v>
      </c>
      <c r="F229" s="1542"/>
    </row>
    <row r="230" spans="1:6" s="1518" customFormat="1" ht="14.25" customHeight="1" thickBot="1">
      <c r="A230" s="1530" t="s">
        <v>1544</v>
      </c>
      <c r="B230" s="1524" t="s">
        <v>1442</v>
      </c>
      <c r="C230" s="1524">
        <v>4540</v>
      </c>
      <c r="D230" s="1524">
        <v>4500</v>
      </c>
      <c r="E230" s="1524">
        <v>4730</v>
      </c>
      <c r="F230" s="1542"/>
    </row>
    <row r="231" spans="1:6" s="1518" customFormat="1" ht="14.25" customHeight="1" thickBot="1">
      <c r="A231" s="1530" t="s">
        <v>1544</v>
      </c>
      <c r="B231" s="1524" t="s">
        <v>1449</v>
      </c>
      <c r="C231" s="1524">
        <v>4480</v>
      </c>
      <c r="D231" s="1524">
        <v>4410</v>
      </c>
      <c r="E231" s="1524">
        <v>4640</v>
      </c>
      <c r="F231" s="1542"/>
    </row>
    <row r="232" spans="1:6" s="1518" customFormat="1" ht="14.25" customHeight="1" thickBot="1">
      <c r="A232" s="1530" t="s">
        <v>1544</v>
      </c>
      <c r="B232" s="1524" t="s">
        <v>1456</v>
      </c>
      <c r="C232" s="1524">
        <v>5670</v>
      </c>
      <c r="D232" s="1524">
        <v>5600</v>
      </c>
      <c r="E232" s="1524">
        <v>5890</v>
      </c>
      <c r="F232" s="1538">
        <v>1150</v>
      </c>
    </row>
    <row r="233" spans="1:6" s="1518" customFormat="1" ht="14.25" customHeight="1" thickBot="1">
      <c r="A233" s="1530" t="s">
        <v>1544</v>
      </c>
      <c r="B233" s="1524" t="s">
        <v>1463</v>
      </c>
      <c r="C233" s="1524">
        <v>4590</v>
      </c>
      <c r="D233" s="1524">
        <v>4500</v>
      </c>
      <c r="E233" s="1524">
        <v>4600</v>
      </c>
      <c r="F233" s="1542"/>
    </row>
    <row r="234" spans="1:6" s="1518" customFormat="1" ht="14.25" customHeight="1" thickBot="1">
      <c r="A234" s="1530" t="s">
        <v>1544</v>
      </c>
      <c r="B234" s="1524" t="s">
        <v>2502</v>
      </c>
      <c r="C234" s="1524">
        <v>3990</v>
      </c>
      <c r="D234" s="1524">
        <v>3950</v>
      </c>
      <c r="E234" s="1524">
        <v>4180</v>
      </c>
      <c r="F234" s="1542"/>
    </row>
    <row r="235" spans="1:6" s="1518" customFormat="1" ht="14.25" customHeight="1" thickBot="1">
      <c r="A235" s="1530" t="s">
        <v>1544</v>
      </c>
      <c r="B235" s="1524" t="s">
        <v>1472</v>
      </c>
      <c r="C235" s="1524">
        <v>5590</v>
      </c>
      <c r="D235" s="1524">
        <v>5540</v>
      </c>
      <c r="E235" s="1524">
        <v>5810</v>
      </c>
      <c r="F235" s="1538">
        <v>970</v>
      </c>
    </row>
    <row r="236" spans="1:6" s="1518" customFormat="1" ht="14.25" customHeight="1" thickBot="1">
      <c r="A236" s="1530" t="s">
        <v>1544</v>
      </c>
      <c r="B236" s="1524" t="s">
        <v>1477</v>
      </c>
      <c r="C236" s="1524"/>
      <c r="D236" s="1524"/>
      <c r="E236" s="1524"/>
      <c r="F236" s="1538">
        <v>1020</v>
      </c>
    </row>
    <row r="237" spans="1:6" s="1518" customFormat="1" ht="14.25" customHeight="1" thickBot="1">
      <c r="A237" s="1530" t="s">
        <v>1544</v>
      </c>
      <c r="B237" s="1524" t="s">
        <v>1482</v>
      </c>
      <c r="C237" s="1524"/>
      <c r="D237" s="1524"/>
      <c r="E237" s="1524"/>
      <c r="F237" s="1538">
        <v>960</v>
      </c>
    </row>
    <row r="238" spans="1:6" s="1518" customFormat="1" ht="14.25" customHeight="1" thickBot="1">
      <c r="A238" s="1530" t="s">
        <v>1544</v>
      </c>
      <c r="B238" s="1524" t="s">
        <v>1487</v>
      </c>
      <c r="C238" s="1524"/>
      <c r="D238" s="1524"/>
      <c r="E238" s="1524"/>
      <c r="F238" s="1538">
        <v>960</v>
      </c>
    </row>
    <row r="239" spans="1:6" s="1518" customFormat="1" ht="14.25" customHeight="1" thickBot="1">
      <c r="A239" s="1530" t="s">
        <v>1544</v>
      </c>
      <c r="B239" s="1524" t="s">
        <v>1492</v>
      </c>
      <c r="C239" s="1524"/>
      <c r="D239" s="1524"/>
      <c r="E239" s="1524"/>
      <c r="F239" s="1538">
        <v>960</v>
      </c>
    </row>
    <row r="240" spans="1:6" s="1518" customFormat="1" ht="14.25" customHeight="1" thickBot="1">
      <c r="A240" s="1530" t="s">
        <v>1544</v>
      </c>
      <c r="B240" s="1524" t="s">
        <v>1496</v>
      </c>
      <c r="C240" s="1524"/>
      <c r="D240" s="1524"/>
      <c r="E240" s="1524"/>
      <c r="F240" s="1538">
        <v>990</v>
      </c>
    </row>
    <row r="241" spans="1:6" s="1518" customFormat="1" ht="14.25" customHeight="1" thickBot="1">
      <c r="A241" s="1530" t="s">
        <v>1544</v>
      </c>
      <c r="B241" s="1524" t="s">
        <v>1500</v>
      </c>
      <c r="C241" s="1524"/>
      <c r="D241" s="1524"/>
      <c r="E241" s="1524"/>
      <c r="F241" s="1538">
        <v>1000</v>
      </c>
    </row>
    <row r="242" spans="1:6" s="1518" customFormat="1" ht="14.25" customHeight="1" thickBot="1">
      <c r="A242" s="1530" t="s">
        <v>1544</v>
      </c>
      <c r="B242" s="1524" t="s">
        <v>1504</v>
      </c>
      <c r="C242" s="1524"/>
      <c r="D242" s="1524"/>
      <c r="E242" s="1524"/>
      <c r="F242" s="1538">
        <v>980</v>
      </c>
    </row>
    <row r="243" spans="1:6" s="1518" customFormat="1" ht="14.25" customHeight="1" thickBot="1">
      <c r="A243" s="1530" t="s">
        <v>1544</v>
      </c>
      <c r="B243" s="1524" t="s">
        <v>1508</v>
      </c>
      <c r="C243" s="1524"/>
      <c r="D243" s="1524"/>
      <c r="E243" s="1524"/>
      <c r="F243" s="1538">
        <v>970</v>
      </c>
    </row>
    <row r="244" spans="1:6" s="1518" customFormat="1" ht="14.25" customHeight="1" thickBot="1">
      <c r="A244" s="1530" t="s">
        <v>1544</v>
      </c>
      <c r="B244" s="1536" t="s">
        <v>1512</v>
      </c>
      <c r="C244" s="1536"/>
      <c r="D244" s="1536"/>
      <c r="E244" s="1536"/>
      <c r="F244" s="1541">
        <v>970</v>
      </c>
    </row>
    <row r="245" spans="1:6" s="1518" customFormat="1" ht="14.25" customHeight="1" thickBot="1">
      <c r="A245" s="1530" t="s">
        <v>1546</v>
      </c>
      <c r="B245" s="1531" t="s">
        <v>1547</v>
      </c>
      <c r="C245" s="1531">
        <v>4050</v>
      </c>
      <c r="D245" s="1531">
        <v>4020</v>
      </c>
      <c r="E245" s="1531">
        <v>4160</v>
      </c>
      <c r="F245" s="1532">
        <v>840</v>
      </c>
    </row>
    <row r="246" spans="1:6" s="1518" customFormat="1" ht="14.25" customHeight="1" thickBot="1">
      <c r="A246" s="1530" t="s">
        <v>1546</v>
      </c>
      <c r="B246" s="1524" t="s">
        <v>1211</v>
      </c>
      <c r="C246" s="1524">
        <v>4010</v>
      </c>
      <c r="D246" s="1524">
        <v>3960</v>
      </c>
      <c r="E246" s="1524">
        <v>4130</v>
      </c>
      <c r="F246" s="1538">
        <v>840</v>
      </c>
    </row>
    <row r="247" spans="1:6" s="1518" customFormat="1" ht="14.25" customHeight="1" thickBot="1">
      <c r="A247" s="1530" t="s">
        <v>1546</v>
      </c>
      <c r="B247" s="1524" t="s">
        <v>1548</v>
      </c>
      <c r="C247" s="1524">
        <v>3170</v>
      </c>
      <c r="D247" s="1524">
        <v>3140</v>
      </c>
      <c r="E247" s="1524">
        <v>3270</v>
      </c>
      <c r="F247" s="1538">
        <v>640</v>
      </c>
    </row>
    <row r="248" spans="1:6" s="1518" customFormat="1" ht="14.25" customHeight="1" thickBot="1">
      <c r="A248" s="1530" t="s">
        <v>1546</v>
      </c>
      <c r="B248" s="1524" t="s">
        <v>1549</v>
      </c>
      <c r="C248" s="1524">
        <v>3140</v>
      </c>
      <c r="D248" s="1524">
        <v>3120</v>
      </c>
      <c r="E248" s="1524">
        <v>3240</v>
      </c>
      <c r="F248" s="1538">
        <v>620</v>
      </c>
    </row>
    <row r="249" spans="1:6" s="1518" customFormat="1" ht="14.25" customHeight="1" thickBot="1">
      <c r="A249" s="1530" t="s">
        <v>1546</v>
      </c>
      <c r="B249" s="1524" t="s">
        <v>1249</v>
      </c>
      <c r="C249" s="1524">
        <v>3200</v>
      </c>
      <c r="D249" s="1524">
        <v>3100</v>
      </c>
      <c r="E249" s="1524">
        <v>3230</v>
      </c>
      <c r="F249" s="1538">
        <v>750</v>
      </c>
    </row>
    <row r="250" spans="1:6" s="1518" customFormat="1" ht="14.25" customHeight="1" thickBot="1">
      <c r="A250" s="1530" t="s">
        <v>1546</v>
      </c>
      <c r="B250" s="1524" t="s">
        <v>1260</v>
      </c>
      <c r="C250" s="1524">
        <v>4060</v>
      </c>
      <c r="D250" s="1524">
        <v>4000</v>
      </c>
      <c r="E250" s="1524">
        <v>4140</v>
      </c>
      <c r="F250" s="1538">
        <v>790</v>
      </c>
    </row>
    <row r="251" spans="1:6" s="1518" customFormat="1" ht="14.25" customHeight="1" thickBot="1">
      <c r="A251" s="1530" t="s">
        <v>1546</v>
      </c>
      <c r="B251" s="1524" t="s">
        <v>1271</v>
      </c>
      <c r="C251" s="1524">
        <v>3990</v>
      </c>
      <c r="D251" s="1524">
        <v>3970</v>
      </c>
      <c r="E251" s="1524">
        <v>4110</v>
      </c>
      <c r="F251" s="1538">
        <v>730</v>
      </c>
    </row>
    <row r="252" spans="1:6" s="1518" customFormat="1" ht="14.25" customHeight="1" thickBot="1">
      <c r="A252" s="1530" t="s">
        <v>1546</v>
      </c>
      <c r="B252" s="1524" t="s">
        <v>1282</v>
      </c>
      <c r="C252" s="1524">
        <v>3560</v>
      </c>
      <c r="D252" s="1524">
        <v>3530</v>
      </c>
      <c r="E252" s="1524">
        <v>3650</v>
      </c>
      <c r="F252" s="1538">
        <v>750</v>
      </c>
    </row>
    <row r="253" spans="1:6" s="1518" customFormat="1" ht="14.25" customHeight="1" thickBot="1">
      <c r="A253" s="1530" t="s">
        <v>1546</v>
      </c>
      <c r="B253" s="1524" t="s">
        <v>1294</v>
      </c>
      <c r="C253" s="1524">
        <v>3780</v>
      </c>
      <c r="D253" s="1524">
        <v>3750</v>
      </c>
      <c r="E253" s="1524">
        <v>3870</v>
      </c>
      <c r="F253" s="1538">
        <v>770</v>
      </c>
    </row>
    <row r="254" spans="1:6" s="1518" customFormat="1" ht="14.25" customHeight="1" thickBot="1">
      <c r="A254" s="1530" t="s">
        <v>1546</v>
      </c>
      <c r="B254" s="1524" t="s">
        <v>1304</v>
      </c>
      <c r="C254" s="1543"/>
      <c r="D254" s="1543"/>
      <c r="E254" s="1543"/>
      <c r="F254" s="1538">
        <v>740</v>
      </c>
    </row>
    <row r="255" spans="1:6" s="1518" customFormat="1" ht="14.25" customHeight="1" thickBot="1">
      <c r="A255" s="1530" t="s">
        <v>1546</v>
      </c>
      <c r="B255" s="1524" t="s">
        <v>1314</v>
      </c>
      <c r="C255" s="1543"/>
      <c r="D255" s="1543"/>
      <c r="E255" s="1543"/>
      <c r="F255" s="1538">
        <v>760</v>
      </c>
    </row>
    <row r="256" spans="1:6" s="1518" customFormat="1" ht="14.25" customHeight="1" thickBot="1">
      <c r="A256" s="1530" t="s">
        <v>1546</v>
      </c>
      <c r="B256" s="1524" t="s">
        <v>1324</v>
      </c>
      <c r="C256" s="1524">
        <v>3760</v>
      </c>
      <c r="D256" s="1524">
        <v>3730</v>
      </c>
      <c r="E256" s="1524">
        <v>3870</v>
      </c>
      <c r="F256" s="1538">
        <v>830</v>
      </c>
    </row>
    <row r="257" spans="1:6" s="1518" customFormat="1" ht="14.25" customHeight="1" thickBot="1">
      <c r="A257" s="1530" t="s">
        <v>1546</v>
      </c>
      <c r="B257" s="1524" t="s">
        <v>1334</v>
      </c>
      <c r="C257" s="1524">
        <v>3570</v>
      </c>
      <c r="D257" s="1524">
        <v>3540</v>
      </c>
      <c r="E257" s="1524">
        <v>3650</v>
      </c>
      <c r="F257" s="1538">
        <v>790</v>
      </c>
    </row>
    <row r="258" spans="1:6" s="1518" customFormat="1" ht="14.25" customHeight="1" thickBot="1">
      <c r="A258" s="1530" t="s">
        <v>1546</v>
      </c>
      <c r="B258" s="1524" t="s">
        <v>1345</v>
      </c>
      <c r="C258" s="1524">
        <v>3410</v>
      </c>
      <c r="D258" s="1524">
        <v>3380</v>
      </c>
      <c r="E258" s="1524">
        <v>3500</v>
      </c>
      <c r="F258" s="1538">
        <v>830</v>
      </c>
    </row>
    <row r="259" spans="1:6" s="1518" customFormat="1" ht="14.25" customHeight="1" thickBot="1">
      <c r="A259" s="1530" t="s">
        <v>1546</v>
      </c>
      <c r="B259" s="1524" t="s">
        <v>1356</v>
      </c>
      <c r="C259" s="1524">
        <v>3870</v>
      </c>
      <c r="D259" s="1524">
        <v>3840</v>
      </c>
      <c r="E259" s="1524">
        <v>3970</v>
      </c>
      <c r="F259" s="1538">
        <v>830</v>
      </c>
    </row>
    <row r="260" spans="1:6" s="1518" customFormat="1" ht="14.25" customHeight="1" thickBot="1">
      <c r="A260" s="1530" t="s">
        <v>1546</v>
      </c>
      <c r="B260" s="1524" t="s">
        <v>1366</v>
      </c>
      <c r="C260" s="1524">
        <v>3700</v>
      </c>
      <c r="D260" s="1524">
        <v>3660</v>
      </c>
      <c r="E260" s="1524">
        <v>3810</v>
      </c>
      <c r="F260" s="1538">
        <v>790</v>
      </c>
    </row>
    <row r="261" spans="1:6" s="1518" customFormat="1" ht="14.25" customHeight="1" thickBot="1">
      <c r="A261" s="1530" t="s">
        <v>1546</v>
      </c>
      <c r="B261" s="1524" t="s">
        <v>1376</v>
      </c>
      <c r="C261" s="1524">
        <v>3470</v>
      </c>
      <c r="D261" s="1524">
        <v>3430</v>
      </c>
      <c r="E261" s="1524">
        <v>3640</v>
      </c>
      <c r="F261" s="1538">
        <v>760</v>
      </c>
    </row>
    <row r="262" spans="1:6" s="1518" customFormat="1" ht="14.25" customHeight="1" thickBot="1">
      <c r="A262" s="1530" t="s">
        <v>1546</v>
      </c>
      <c r="B262" s="1524" t="s">
        <v>1386</v>
      </c>
      <c r="C262" s="1524">
        <v>3510</v>
      </c>
      <c r="D262" s="1524">
        <v>3470</v>
      </c>
      <c r="E262" s="1524">
        <v>3680</v>
      </c>
      <c r="F262" s="1542"/>
    </row>
    <row r="263" spans="1:6" s="1518" customFormat="1" ht="14.25" customHeight="1" thickBot="1">
      <c r="A263" s="1530" t="s">
        <v>1546</v>
      </c>
      <c r="B263" s="1524" t="s">
        <v>1396</v>
      </c>
      <c r="C263" s="1524">
        <v>3960</v>
      </c>
      <c r="D263" s="1524">
        <v>3930</v>
      </c>
      <c r="E263" s="1524">
        <v>4070</v>
      </c>
      <c r="F263" s="1538">
        <v>830</v>
      </c>
    </row>
    <row r="264" spans="1:6" s="1518" customFormat="1" ht="14.25" customHeight="1" thickBot="1">
      <c r="A264" s="1530" t="s">
        <v>1546</v>
      </c>
      <c r="B264" s="1524" t="s">
        <v>1405</v>
      </c>
      <c r="C264" s="1524">
        <v>4010</v>
      </c>
      <c r="D264" s="1524">
        <v>3980</v>
      </c>
      <c r="E264" s="1524">
        <v>4150</v>
      </c>
      <c r="F264" s="1538">
        <v>760</v>
      </c>
    </row>
    <row r="265" spans="1:6" s="1518" customFormat="1" ht="14.25" customHeight="1" thickBot="1">
      <c r="A265" s="1530" t="s">
        <v>1546</v>
      </c>
      <c r="B265" s="1524" t="s">
        <v>1414</v>
      </c>
      <c r="C265" s="1524">
        <v>3910</v>
      </c>
      <c r="D265" s="1524">
        <v>3890</v>
      </c>
      <c r="E265" s="1524">
        <v>4040</v>
      </c>
      <c r="F265" s="1538">
        <v>780</v>
      </c>
    </row>
    <row r="266" spans="1:6" s="1518" customFormat="1" ht="14.25" customHeight="1" thickBot="1">
      <c r="A266" s="1530" t="s">
        <v>1546</v>
      </c>
      <c r="B266" s="1524" t="s">
        <v>1422</v>
      </c>
      <c r="C266" s="1524">
        <v>3930</v>
      </c>
      <c r="D266" s="1524">
        <v>3900</v>
      </c>
      <c r="E266" s="1524">
        <v>4080</v>
      </c>
      <c r="F266" s="1538">
        <v>770</v>
      </c>
    </row>
    <row r="267" spans="1:6" s="1518" customFormat="1" ht="14.25" customHeight="1" thickBot="1">
      <c r="A267" s="1530" t="s">
        <v>1546</v>
      </c>
      <c r="B267" s="1524" t="s">
        <v>1429</v>
      </c>
      <c r="C267" s="1524">
        <v>3800</v>
      </c>
      <c r="D267" s="1524">
        <v>3780</v>
      </c>
      <c r="E267" s="1524">
        <v>3930</v>
      </c>
      <c r="F267" s="1542"/>
    </row>
    <row r="268" spans="1:6" s="1518" customFormat="1" ht="14.25" customHeight="1" thickBot="1">
      <c r="A268" s="1530" t="s">
        <v>1546</v>
      </c>
      <c r="B268" s="1524" t="s">
        <v>1436</v>
      </c>
      <c r="C268" s="1524">
        <v>3460</v>
      </c>
      <c r="D268" s="1524">
        <v>3430</v>
      </c>
      <c r="E268" s="1524">
        <v>3560</v>
      </c>
      <c r="F268" s="1538">
        <v>840</v>
      </c>
    </row>
    <row r="269" spans="1:6" s="1518" customFormat="1" ht="14.25" customHeight="1" thickBot="1">
      <c r="A269" s="1530" t="s">
        <v>1546</v>
      </c>
      <c r="B269" s="1524" t="s">
        <v>1443</v>
      </c>
      <c r="C269" s="1524">
        <v>3210</v>
      </c>
      <c r="D269" s="1524">
        <v>3190</v>
      </c>
      <c r="E269" s="1524">
        <v>3310</v>
      </c>
      <c r="F269" s="1538">
        <v>730</v>
      </c>
    </row>
    <row r="270" spans="1:6" s="1518" customFormat="1" ht="14.25" customHeight="1" thickBot="1">
      <c r="A270" s="1530" t="s">
        <v>1546</v>
      </c>
      <c r="B270" s="1524" t="s">
        <v>1450</v>
      </c>
      <c r="C270" s="1524">
        <v>3240</v>
      </c>
      <c r="D270" s="1524">
        <v>3210</v>
      </c>
      <c r="E270" s="1524">
        <v>3390</v>
      </c>
      <c r="F270" s="1538">
        <v>820</v>
      </c>
    </row>
    <row r="271" spans="1:6" s="1518" customFormat="1" ht="14.25" customHeight="1" thickBot="1">
      <c r="A271" s="1530" t="s">
        <v>1546</v>
      </c>
      <c r="B271" s="1524" t="s">
        <v>1457</v>
      </c>
      <c r="C271" s="1524">
        <v>3300</v>
      </c>
      <c r="D271" s="1524">
        <v>3270</v>
      </c>
      <c r="E271" s="1524">
        <v>3380</v>
      </c>
      <c r="F271" s="1538">
        <v>750</v>
      </c>
    </row>
    <row r="272" spans="1:6" s="1518" customFormat="1" ht="14.25" customHeight="1" thickBot="1">
      <c r="A272" s="1530" t="s">
        <v>1546</v>
      </c>
      <c r="B272" s="1524" t="s">
        <v>1464</v>
      </c>
      <c r="C272" s="1543"/>
      <c r="D272" s="1543"/>
      <c r="E272" s="1543"/>
      <c r="F272" s="1538">
        <v>740</v>
      </c>
    </row>
    <row r="273" spans="1:6" s="1518" customFormat="1" ht="14.25" customHeight="1" thickBot="1">
      <c r="A273" s="1530" t="s">
        <v>1546</v>
      </c>
      <c r="B273" s="1524" t="s">
        <v>1468</v>
      </c>
      <c r="C273" s="1524">
        <v>3130</v>
      </c>
      <c r="D273" s="1524">
        <v>3100</v>
      </c>
      <c r="E273" s="1524">
        <v>3230</v>
      </c>
      <c r="F273" s="1538">
        <v>700</v>
      </c>
    </row>
    <row r="274" spans="1:6" s="1518" customFormat="1" ht="14.25" customHeight="1" thickBot="1">
      <c r="A274" s="1530" t="s">
        <v>1546</v>
      </c>
      <c r="B274" s="1524" t="s">
        <v>1473</v>
      </c>
      <c r="C274" s="1524">
        <v>3460</v>
      </c>
      <c r="D274" s="1524">
        <v>3430</v>
      </c>
      <c r="E274" s="1524">
        <v>3560</v>
      </c>
      <c r="F274" s="1538">
        <v>690</v>
      </c>
    </row>
    <row r="275" spans="1:6" s="1518" customFormat="1" ht="14.25" customHeight="1" thickBot="1">
      <c r="A275" s="1530" t="s">
        <v>1546</v>
      </c>
      <c r="B275" s="1524" t="s">
        <v>1478</v>
      </c>
      <c r="C275" s="1524">
        <v>4040</v>
      </c>
      <c r="D275" s="1524">
        <v>4020</v>
      </c>
      <c r="E275" s="1524">
        <v>4160</v>
      </c>
      <c r="F275" s="1538">
        <v>820</v>
      </c>
    </row>
    <row r="276" spans="1:6" s="1518" customFormat="1" ht="14.25" customHeight="1" thickBot="1">
      <c r="A276" s="1530" t="s">
        <v>1546</v>
      </c>
      <c r="B276" s="1524" t="s">
        <v>1483</v>
      </c>
      <c r="C276" s="1524">
        <v>3270</v>
      </c>
      <c r="D276" s="1524">
        <v>3240</v>
      </c>
      <c r="E276" s="1524">
        <v>3350</v>
      </c>
      <c r="F276" s="1538">
        <v>680</v>
      </c>
    </row>
    <row r="277" spans="1:6" s="1518" customFormat="1" ht="14.25" customHeight="1" thickBot="1">
      <c r="A277" s="1530" t="s">
        <v>1546</v>
      </c>
      <c r="B277" s="1524" t="s">
        <v>1488</v>
      </c>
      <c r="C277" s="1524">
        <v>2930</v>
      </c>
      <c r="D277" s="1524">
        <v>2900</v>
      </c>
      <c r="E277" s="1524">
        <v>3000</v>
      </c>
      <c r="F277" s="1538">
        <v>640</v>
      </c>
    </row>
    <row r="278" spans="1:6" s="1518" customFormat="1" ht="14.25" customHeight="1" thickBot="1">
      <c r="A278" s="1530" t="s">
        <v>1546</v>
      </c>
      <c r="B278" s="1524" t="s">
        <v>1493</v>
      </c>
      <c r="C278" s="1524">
        <v>4080</v>
      </c>
      <c r="D278" s="1524">
        <v>4030</v>
      </c>
      <c r="E278" s="1524">
        <v>4140</v>
      </c>
      <c r="F278" s="1538">
        <v>850</v>
      </c>
    </row>
    <row r="279" spans="1:6" s="1518" customFormat="1" ht="14.25" customHeight="1" thickBot="1">
      <c r="A279" s="1530" t="s">
        <v>1546</v>
      </c>
      <c r="B279" s="1524" t="s">
        <v>1497</v>
      </c>
      <c r="C279" s="1524"/>
      <c r="D279" s="1524"/>
      <c r="E279" s="1524"/>
      <c r="F279" s="1538">
        <v>760</v>
      </c>
    </row>
    <row r="280" spans="1:6" s="1518" customFormat="1" ht="14.25" customHeight="1" thickBot="1">
      <c r="A280" s="1530" t="s">
        <v>1546</v>
      </c>
      <c r="B280" s="1524" t="s">
        <v>1501</v>
      </c>
      <c r="C280" s="1524"/>
      <c r="D280" s="1524"/>
      <c r="E280" s="1524"/>
      <c r="F280" s="1538">
        <v>760</v>
      </c>
    </row>
    <row r="281" spans="1:6" s="1518" customFormat="1" ht="14.25" customHeight="1" thickBot="1">
      <c r="A281" s="1530" t="s">
        <v>1546</v>
      </c>
      <c r="B281" s="1524" t="s">
        <v>1505</v>
      </c>
      <c r="C281" s="1524"/>
      <c r="D281" s="1524"/>
      <c r="E281" s="1524"/>
      <c r="F281" s="1538">
        <v>780</v>
      </c>
    </row>
    <row r="282" spans="1:6" s="1518" customFormat="1" ht="14.25" customHeight="1" thickBot="1">
      <c r="A282" s="1530" t="s">
        <v>1546</v>
      </c>
      <c r="B282" s="1524" t="s">
        <v>1509</v>
      </c>
      <c r="C282" s="1524"/>
      <c r="D282" s="1524"/>
      <c r="E282" s="1524"/>
      <c r="F282" s="1538">
        <v>730</v>
      </c>
    </row>
    <row r="283" spans="1:6" s="1518" customFormat="1" ht="14.25" customHeight="1" thickBot="1">
      <c r="A283" s="1530" t="s">
        <v>1546</v>
      </c>
      <c r="B283" s="1524" t="s">
        <v>1513</v>
      </c>
      <c r="C283" s="1524"/>
      <c r="D283" s="1524"/>
      <c r="E283" s="1524"/>
      <c r="F283" s="1538">
        <v>770</v>
      </c>
    </row>
    <row r="284" spans="1:6" s="1518" customFormat="1" ht="14.25" customHeight="1" thickBot="1">
      <c r="A284" s="1530" t="s">
        <v>1546</v>
      </c>
      <c r="B284" s="1524" t="s">
        <v>1516</v>
      </c>
      <c r="C284" s="1524"/>
      <c r="D284" s="1524"/>
      <c r="E284" s="1524"/>
      <c r="F284" s="1538">
        <v>640</v>
      </c>
    </row>
    <row r="285" spans="1:6" s="1518" customFormat="1" ht="14.25" customHeight="1" thickBot="1">
      <c r="A285" s="1530" t="s">
        <v>1546</v>
      </c>
      <c r="B285" s="1524" t="s">
        <v>1519</v>
      </c>
      <c r="C285" s="1524"/>
      <c r="D285" s="1524"/>
      <c r="E285" s="1524"/>
      <c r="F285" s="1538">
        <v>640</v>
      </c>
    </row>
    <row r="286" spans="1:6" s="1518" customFormat="1" ht="14.25" customHeight="1" thickBot="1">
      <c r="A286" s="1530" t="s">
        <v>1546</v>
      </c>
      <c r="B286" s="1524" t="s">
        <v>1522</v>
      </c>
      <c r="C286" s="1524"/>
      <c r="D286" s="1524"/>
      <c r="E286" s="1524"/>
      <c r="F286" s="1538">
        <v>850</v>
      </c>
    </row>
    <row r="287" spans="1:6" s="1518" customFormat="1" ht="14.25" customHeight="1" thickBot="1">
      <c r="A287" s="1530" t="s">
        <v>1546</v>
      </c>
      <c r="B287" s="1524" t="s">
        <v>1525</v>
      </c>
      <c r="C287" s="1524"/>
      <c r="D287" s="1524"/>
      <c r="E287" s="1524"/>
      <c r="F287" s="1538">
        <v>760</v>
      </c>
    </row>
    <row r="288" spans="1:6" s="1518" customFormat="1" ht="14.25" customHeight="1" thickBot="1">
      <c r="A288" s="1530" t="s">
        <v>1546</v>
      </c>
      <c r="B288" s="1524" t="s">
        <v>1528</v>
      </c>
      <c r="C288" s="1524"/>
      <c r="D288" s="1524"/>
      <c r="E288" s="1524"/>
      <c r="F288" s="1538">
        <v>830</v>
      </c>
    </row>
    <row r="289" spans="1:6" s="1518" customFormat="1" ht="14.25" customHeight="1" thickBot="1">
      <c r="A289" s="1530" t="s">
        <v>1546</v>
      </c>
      <c r="B289" s="1536" t="s">
        <v>1531</v>
      </c>
      <c r="C289" s="1536"/>
      <c r="D289" s="1536"/>
      <c r="E289" s="1536"/>
      <c r="F289" s="1541">
        <v>680</v>
      </c>
    </row>
    <row r="290" spans="1:6" s="1518" customFormat="1" ht="14.25" customHeight="1" thickBot="1">
      <c r="A290" s="1530" t="s">
        <v>1550</v>
      </c>
      <c r="B290" s="1531" t="s">
        <v>1551</v>
      </c>
      <c r="C290" s="1531">
        <v>2770</v>
      </c>
      <c r="D290" s="1531">
        <v>2740</v>
      </c>
      <c r="E290" s="1531">
        <v>2720</v>
      </c>
      <c r="F290" s="1544"/>
    </row>
    <row r="291" spans="1:6" s="1518" customFormat="1" ht="14.25" customHeight="1" thickBot="1">
      <c r="A291" s="1530" t="s">
        <v>1550</v>
      </c>
      <c r="B291" s="1524" t="s">
        <v>1212</v>
      </c>
      <c r="C291" s="1524">
        <v>2670</v>
      </c>
      <c r="D291" s="1524">
        <v>2640</v>
      </c>
      <c r="E291" s="1524">
        <v>2620</v>
      </c>
      <c r="F291" s="1542"/>
    </row>
    <row r="292" spans="1:6" s="1518" customFormat="1" ht="14.25" customHeight="1" thickBot="1">
      <c r="A292" s="1530" t="s">
        <v>1550</v>
      </c>
      <c r="B292" s="1524" t="s">
        <v>1552</v>
      </c>
      <c r="C292" s="1524">
        <v>2180</v>
      </c>
      <c r="D292" s="1524">
        <v>2140</v>
      </c>
      <c r="E292" s="1524">
        <v>2120</v>
      </c>
      <c r="F292" s="1538">
        <v>490</v>
      </c>
    </row>
    <row r="293" spans="1:6" s="1518" customFormat="1" ht="14.25" customHeight="1" thickBot="1">
      <c r="A293" s="1530" t="s">
        <v>1550</v>
      </c>
      <c r="B293" s="1524" t="s">
        <v>1553</v>
      </c>
      <c r="C293" s="1524"/>
      <c r="D293" s="1524"/>
      <c r="E293" s="1524"/>
      <c r="F293" s="1538">
        <v>470</v>
      </c>
    </row>
    <row r="294" spans="1:6" s="1518" customFormat="1" ht="14.25" customHeight="1" thickBot="1">
      <c r="A294" s="1530" t="s">
        <v>1550</v>
      </c>
      <c r="B294" s="1524" t="s">
        <v>1554</v>
      </c>
      <c r="C294" s="1524">
        <v>2730</v>
      </c>
      <c r="D294" s="1524">
        <v>2700</v>
      </c>
      <c r="E294" s="1524">
        <v>2680</v>
      </c>
      <c r="F294" s="1538">
        <v>490</v>
      </c>
    </row>
    <row r="295" spans="1:6" s="1518" customFormat="1" ht="14.25" customHeight="1" thickBot="1">
      <c r="A295" s="1530" t="s">
        <v>1550</v>
      </c>
      <c r="B295" s="1524" t="s">
        <v>1250</v>
      </c>
      <c r="C295" s="1524">
        <v>2380</v>
      </c>
      <c r="D295" s="1524">
        <v>2350</v>
      </c>
      <c r="E295" s="1524">
        <v>2330</v>
      </c>
      <c r="F295" s="1538">
        <v>530</v>
      </c>
    </row>
    <row r="296" spans="1:6" s="1518" customFormat="1" ht="14.25" customHeight="1" thickBot="1">
      <c r="A296" s="1530" t="s">
        <v>1550</v>
      </c>
      <c r="B296" s="1524" t="s">
        <v>1261</v>
      </c>
      <c r="C296" s="1524">
        <v>2650</v>
      </c>
      <c r="D296" s="1524">
        <v>2620</v>
      </c>
      <c r="E296" s="1524">
        <v>2590</v>
      </c>
      <c r="F296" s="1538">
        <v>590</v>
      </c>
    </row>
    <row r="297" spans="1:6" s="1518" customFormat="1" ht="14.25" customHeight="1" thickBot="1">
      <c r="A297" s="1530" t="s">
        <v>1550</v>
      </c>
      <c r="B297" s="1524" t="s">
        <v>1272</v>
      </c>
      <c r="C297" s="1524">
        <v>2700</v>
      </c>
      <c r="D297" s="1524">
        <v>2670</v>
      </c>
      <c r="E297" s="1524">
        <v>2650</v>
      </c>
      <c r="F297" s="1538">
        <v>630</v>
      </c>
    </row>
    <row r="298" spans="1:6" s="1518" customFormat="1" ht="14.25" customHeight="1" thickBot="1">
      <c r="A298" s="1530" t="s">
        <v>1550</v>
      </c>
      <c r="B298" s="1524" t="s">
        <v>1283</v>
      </c>
      <c r="C298" s="1524">
        <v>2650</v>
      </c>
      <c r="D298" s="1524">
        <v>2620</v>
      </c>
      <c r="E298" s="1524">
        <v>2590</v>
      </c>
      <c r="F298" s="1538">
        <v>640</v>
      </c>
    </row>
    <row r="299" spans="1:6" s="1518" customFormat="1" ht="14.25" customHeight="1" thickBot="1">
      <c r="A299" s="1530" t="s">
        <v>1550</v>
      </c>
      <c r="B299" s="1524" t="s">
        <v>1295</v>
      </c>
      <c r="C299" s="1524">
        <v>2500</v>
      </c>
      <c r="D299" s="1524">
        <v>2480</v>
      </c>
      <c r="E299" s="1524">
        <v>2460</v>
      </c>
      <c r="F299" s="1542"/>
    </row>
    <row r="300" spans="1:6" s="1518" customFormat="1" ht="14.25" customHeight="1" thickBot="1">
      <c r="A300" s="1530" t="s">
        <v>1550</v>
      </c>
      <c r="B300" s="1524" t="s">
        <v>1305</v>
      </c>
      <c r="C300" s="1524">
        <v>2760</v>
      </c>
      <c r="D300" s="1524">
        <v>2730</v>
      </c>
      <c r="E300" s="1524">
        <v>2700</v>
      </c>
      <c r="F300" s="1538">
        <v>630</v>
      </c>
    </row>
    <row r="301" spans="1:6" s="1518" customFormat="1" ht="14.25" customHeight="1" thickBot="1">
      <c r="A301" s="1530" t="s">
        <v>1550</v>
      </c>
      <c r="B301" s="1524" t="s">
        <v>1315</v>
      </c>
      <c r="C301" s="1524">
        <v>2510</v>
      </c>
      <c r="D301" s="1524">
        <v>2480</v>
      </c>
      <c r="E301" s="1524">
        <v>2460</v>
      </c>
      <c r="F301" s="1542"/>
    </row>
    <row r="302" spans="1:6" s="1518" customFormat="1" ht="14.25" customHeight="1" thickBot="1">
      <c r="A302" s="1530" t="s">
        <v>1550</v>
      </c>
      <c r="B302" s="1524" t="s">
        <v>1325</v>
      </c>
      <c r="C302" s="1524">
        <v>2480</v>
      </c>
      <c r="D302" s="1524">
        <v>2450</v>
      </c>
      <c r="E302" s="1524">
        <v>2420</v>
      </c>
      <c r="F302" s="1538">
        <v>600</v>
      </c>
    </row>
    <row r="303" spans="1:6" s="1518" customFormat="1" ht="14.25" customHeight="1" thickBot="1">
      <c r="A303" s="1530" t="s">
        <v>1550</v>
      </c>
      <c r="B303" s="1524" t="s">
        <v>1335</v>
      </c>
      <c r="C303" s="1524">
        <v>2270</v>
      </c>
      <c r="D303" s="1524">
        <v>2240</v>
      </c>
      <c r="E303" s="1524">
        <v>2210</v>
      </c>
      <c r="F303" s="1538">
        <v>540</v>
      </c>
    </row>
    <row r="304" spans="1:6" s="1518" customFormat="1" ht="14.25" customHeight="1" thickBot="1">
      <c r="A304" s="1530" t="s">
        <v>1550</v>
      </c>
      <c r="B304" s="1524" t="s">
        <v>1346</v>
      </c>
      <c r="C304" s="1524">
        <v>2310</v>
      </c>
      <c r="D304" s="1524">
        <v>2290</v>
      </c>
      <c r="E304" s="1524">
        <v>2270</v>
      </c>
      <c r="F304" s="1542"/>
    </row>
    <row r="305" spans="1:6" s="1518" customFormat="1" ht="14.25" customHeight="1" thickBot="1">
      <c r="A305" s="1530" t="s">
        <v>1550</v>
      </c>
      <c r="B305" s="1524" t="s">
        <v>1357</v>
      </c>
      <c r="C305" s="1524">
        <v>2490</v>
      </c>
      <c r="D305" s="1524">
        <v>2470</v>
      </c>
      <c r="E305" s="1524">
        <v>2440</v>
      </c>
      <c r="F305" s="1538">
        <v>560</v>
      </c>
    </row>
    <row r="306" spans="1:6" s="1518" customFormat="1" ht="14.25" customHeight="1" thickBot="1">
      <c r="A306" s="1530" t="s">
        <v>1550</v>
      </c>
      <c r="B306" s="1524" t="s">
        <v>1367</v>
      </c>
      <c r="C306" s="1524">
        <v>2420</v>
      </c>
      <c r="D306" s="1524">
        <v>2400</v>
      </c>
      <c r="E306" s="1524">
        <v>2380</v>
      </c>
      <c r="F306" s="1542"/>
    </row>
    <row r="307" spans="1:6" s="1518" customFormat="1" ht="14.25" customHeight="1" thickBot="1">
      <c r="A307" s="1530" t="s">
        <v>1550</v>
      </c>
      <c r="B307" s="1524" t="s">
        <v>1377</v>
      </c>
      <c r="C307" s="1524">
        <v>2770</v>
      </c>
      <c r="D307" s="1524">
        <v>2740</v>
      </c>
      <c r="E307" s="1524">
        <v>2710</v>
      </c>
      <c r="F307" s="1538">
        <v>650</v>
      </c>
    </row>
    <row r="308" spans="1:6" s="1518" customFormat="1" ht="14.25" customHeight="1" thickBot="1">
      <c r="A308" s="1530" t="s">
        <v>1550</v>
      </c>
      <c r="B308" s="1524" t="s">
        <v>1387</v>
      </c>
      <c r="C308" s="1524">
        <v>2610</v>
      </c>
      <c r="D308" s="1524">
        <v>2580</v>
      </c>
      <c r="E308" s="1524">
        <v>2550</v>
      </c>
      <c r="F308" s="1538">
        <v>580</v>
      </c>
    </row>
    <row r="309" spans="1:6" s="1518" customFormat="1" ht="14.25" customHeight="1" thickBot="1">
      <c r="A309" s="1530" t="s">
        <v>1550</v>
      </c>
      <c r="B309" s="1524" t="s">
        <v>1397</v>
      </c>
      <c r="C309" s="1524">
        <v>2690</v>
      </c>
      <c r="D309" s="1524">
        <v>2670</v>
      </c>
      <c r="E309" s="1524">
        <v>2650</v>
      </c>
      <c r="F309" s="1542"/>
    </row>
    <row r="310" spans="1:6" s="1518" customFormat="1" ht="14.25" customHeight="1" thickBot="1">
      <c r="A310" s="1530" t="s">
        <v>1550</v>
      </c>
      <c r="B310" s="1524" t="s">
        <v>1406</v>
      </c>
      <c r="C310" s="1524">
        <v>2360</v>
      </c>
      <c r="D310" s="1524">
        <v>2330</v>
      </c>
      <c r="E310" s="1524">
        <v>2310</v>
      </c>
      <c r="F310" s="1538">
        <v>560</v>
      </c>
    </row>
    <row r="311" spans="1:6" s="1518" customFormat="1" ht="14.25" customHeight="1" thickBot="1">
      <c r="A311" s="1530" t="s">
        <v>1550</v>
      </c>
      <c r="B311" s="1524" t="s">
        <v>1415</v>
      </c>
      <c r="C311" s="1524">
        <v>1970</v>
      </c>
      <c r="D311" s="1524">
        <v>1950</v>
      </c>
      <c r="E311" s="1524">
        <v>1920</v>
      </c>
      <c r="F311" s="1538">
        <v>470</v>
      </c>
    </row>
    <row r="312" spans="1:6" s="1518" customFormat="1" ht="14.25" customHeight="1" thickBot="1">
      <c r="A312" s="1530" t="s">
        <v>1550</v>
      </c>
      <c r="B312" s="1524" t="s">
        <v>1423</v>
      </c>
      <c r="C312" s="1524">
        <v>2230</v>
      </c>
      <c r="D312" s="1524">
        <v>2200</v>
      </c>
      <c r="E312" s="1524">
        <v>2170</v>
      </c>
      <c r="F312" s="1538">
        <v>460</v>
      </c>
    </row>
    <row r="313" spans="1:6" s="1518" customFormat="1" ht="14.25" customHeight="1" thickBot="1">
      <c r="A313" s="1530" t="s">
        <v>1550</v>
      </c>
      <c r="B313" s="1524" t="s">
        <v>1430</v>
      </c>
      <c r="C313" s="1524">
        <v>2770</v>
      </c>
      <c r="D313" s="1524">
        <v>2740</v>
      </c>
      <c r="E313" s="1524">
        <v>2710</v>
      </c>
      <c r="F313" s="1538">
        <v>610</v>
      </c>
    </row>
    <row r="314" spans="1:6" s="1518" customFormat="1" ht="14.25" customHeight="1" thickBot="1">
      <c r="A314" s="1530" t="s">
        <v>1550</v>
      </c>
      <c r="B314" s="1524" t="s">
        <v>1437</v>
      </c>
      <c r="C314" s="1524"/>
      <c r="D314" s="1524"/>
      <c r="E314" s="1524"/>
      <c r="F314" s="1538">
        <v>490</v>
      </c>
    </row>
    <row r="315" spans="1:6" s="1518" customFormat="1" ht="14.25" customHeight="1" thickBot="1">
      <c r="A315" s="1530" t="s">
        <v>1550</v>
      </c>
      <c r="B315" s="1524" t="s">
        <v>1444</v>
      </c>
      <c r="C315" s="1524"/>
      <c r="D315" s="1524"/>
      <c r="E315" s="1524"/>
      <c r="F315" s="1538">
        <v>520</v>
      </c>
    </row>
    <row r="316" spans="1:6" s="1518" customFormat="1" ht="14.25" customHeight="1" thickBot="1">
      <c r="A316" s="1530" t="s">
        <v>1550</v>
      </c>
      <c r="B316" s="1536" t="s">
        <v>1451</v>
      </c>
      <c r="C316" s="1536"/>
      <c r="D316" s="1536"/>
      <c r="E316" s="1536"/>
      <c r="F316" s="1541">
        <v>460</v>
      </c>
    </row>
    <row r="317" spans="1:6" s="1518" customFormat="1" ht="14.25" customHeight="1" thickBot="1">
      <c r="A317" s="1530" t="s">
        <v>1337</v>
      </c>
      <c r="B317" s="1531" t="s">
        <v>1555</v>
      </c>
      <c r="C317" s="1531">
        <v>1200</v>
      </c>
      <c r="D317" s="1531">
        <v>1180</v>
      </c>
      <c r="E317" s="1531">
        <v>1160</v>
      </c>
      <c r="F317" s="1532">
        <v>370</v>
      </c>
    </row>
    <row r="318" spans="1:6" s="1518" customFormat="1" ht="14.25" customHeight="1" thickBot="1">
      <c r="A318" s="1530" t="s">
        <v>1337</v>
      </c>
      <c r="B318" s="1524" t="s">
        <v>1556</v>
      </c>
      <c r="C318" s="1524">
        <v>1090</v>
      </c>
      <c r="D318" s="1524">
        <v>1060</v>
      </c>
      <c r="E318" s="1524">
        <v>1040</v>
      </c>
      <c r="F318" s="1542"/>
    </row>
    <row r="319" spans="1:6" s="1518" customFormat="1" ht="14.25" customHeight="1" thickBot="1">
      <c r="A319" s="1530" t="s">
        <v>1337</v>
      </c>
      <c r="B319" s="1524" t="s">
        <v>1557</v>
      </c>
      <c r="C319" s="1524">
        <v>1520</v>
      </c>
      <c r="D319" s="1524">
        <v>1470</v>
      </c>
      <c r="E319" s="1524">
        <v>1440</v>
      </c>
      <c r="F319" s="1538">
        <v>370</v>
      </c>
    </row>
    <row r="320" spans="1:6" s="1518" customFormat="1" ht="14.25" customHeight="1" thickBot="1">
      <c r="A320" s="1530" t="s">
        <v>1337</v>
      </c>
      <c r="B320" s="1524" t="s">
        <v>1239</v>
      </c>
      <c r="C320" s="1524">
        <v>1360</v>
      </c>
      <c r="D320" s="1524">
        <v>1300</v>
      </c>
      <c r="E320" s="1524">
        <v>1270</v>
      </c>
      <c r="F320" s="1542"/>
    </row>
    <row r="321" spans="1:6" s="1518" customFormat="1" ht="14.25" customHeight="1" thickBot="1">
      <c r="A321" s="1530" t="s">
        <v>1337</v>
      </c>
      <c r="B321" s="1524" t="s">
        <v>1251</v>
      </c>
      <c r="C321" s="1524">
        <v>1750</v>
      </c>
      <c r="D321" s="1524">
        <v>1690</v>
      </c>
      <c r="E321" s="1524">
        <v>1660</v>
      </c>
      <c r="F321" s="1542"/>
    </row>
    <row r="322" spans="1:6" s="1518" customFormat="1" ht="14.25" customHeight="1" thickBot="1">
      <c r="A322" s="1530" t="s">
        <v>1337</v>
      </c>
      <c r="B322" s="1524" t="s">
        <v>1262</v>
      </c>
      <c r="C322" s="1524">
        <v>1650</v>
      </c>
      <c r="D322" s="1524">
        <v>1610</v>
      </c>
      <c r="E322" s="1524">
        <v>1580</v>
      </c>
      <c r="F322" s="1538">
        <v>500</v>
      </c>
    </row>
    <row r="323" spans="1:6" s="1518" customFormat="1" ht="14.25" customHeight="1" thickBot="1">
      <c r="A323" s="1530" t="s">
        <v>1337</v>
      </c>
      <c r="B323" s="1524" t="s">
        <v>1273</v>
      </c>
      <c r="C323" s="1524">
        <v>1780</v>
      </c>
      <c r="D323" s="1524">
        <v>1740</v>
      </c>
      <c r="E323" s="1524">
        <v>1720</v>
      </c>
      <c r="F323" s="1542"/>
    </row>
    <row r="324" spans="1:6" s="1518" customFormat="1" ht="14.25" customHeight="1" thickBot="1">
      <c r="A324" s="1530" t="s">
        <v>1337</v>
      </c>
      <c r="B324" s="1524" t="s">
        <v>1284</v>
      </c>
      <c r="C324" s="1524">
        <v>1650</v>
      </c>
      <c r="D324" s="1524">
        <v>1610</v>
      </c>
      <c r="E324" s="1524">
        <v>1580</v>
      </c>
      <c r="F324" s="1542"/>
    </row>
    <row r="325" spans="1:6" s="1518" customFormat="1" ht="14.25" customHeight="1" thickBot="1">
      <c r="A325" s="1530" t="s">
        <v>1337</v>
      </c>
      <c r="B325" s="1524" t="s">
        <v>1296</v>
      </c>
      <c r="C325" s="1524">
        <v>1330</v>
      </c>
      <c r="D325" s="1524">
        <v>1270</v>
      </c>
      <c r="E325" s="1524">
        <v>1240</v>
      </c>
      <c r="F325" s="1538">
        <v>430</v>
      </c>
    </row>
    <row r="326" spans="1:6" s="1518" customFormat="1" ht="14.25" customHeight="1" thickBot="1">
      <c r="A326" s="1530" t="s">
        <v>1337</v>
      </c>
      <c r="B326" s="1524" t="s">
        <v>1306</v>
      </c>
      <c r="C326" s="1524">
        <v>1470</v>
      </c>
      <c r="D326" s="1524">
        <v>1430</v>
      </c>
      <c r="E326" s="1524">
        <v>1400</v>
      </c>
      <c r="F326" s="1542"/>
    </row>
    <row r="327" spans="1:6" s="1518" customFormat="1" ht="14.25" customHeight="1" thickBot="1">
      <c r="A327" s="1530" t="s">
        <v>1337</v>
      </c>
      <c r="B327" s="1524" t="s">
        <v>1316</v>
      </c>
      <c r="C327" s="1524">
        <v>1420</v>
      </c>
      <c r="D327" s="1524">
        <v>1380</v>
      </c>
      <c r="E327" s="1524">
        <v>1360</v>
      </c>
      <c r="F327" s="1538">
        <v>420</v>
      </c>
    </row>
    <row r="328" spans="1:6" s="1518" customFormat="1" ht="14.25" customHeight="1" thickBot="1">
      <c r="A328" s="1530" t="s">
        <v>1337</v>
      </c>
      <c r="B328" s="1524" t="s">
        <v>1326</v>
      </c>
      <c r="C328" s="1524">
        <v>1400</v>
      </c>
      <c r="D328" s="1524">
        <v>1360</v>
      </c>
      <c r="E328" s="1524">
        <v>1330</v>
      </c>
      <c r="F328" s="1538">
        <v>460</v>
      </c>
    </row>
    <row r="329" spans="1:6" s="1518" customFormat="1" ht="14.25" customHeight="1" thickBot="1">
      <c r="A329" s="1530" t="s">
        <v>1337</v>
      </c>
      <c r="B329" s="1524" t="s">
        <v>1336</v>
      </c>
      <c r="C329" s="1524">
        <v>1640</v>
      </c>
      <c r="D329" s="1524">
        <v>1610</v>
      </c>
      <c r="E329" s="1524">
        <v>1580</v>
      </c>
      <c r="F329" s="1538">
        <v>410</v>
      </c>
    </row>
    <row r="330" spans="1:6" s="1518" customFormat="1" ht="14.25" customHeight="1" thickBot="1">
      <c r="A330" s="1530" t="s">
        <v>1337</v>
      </c>
      <c r="B330" s="1524" t="s">
        <v>1347</v>
      </c>
      <c r="C330" s="1524">
        <v>1260</v>
      </c>
      <c r="D330" s="1524">
        <v>1220</v>
      </c>
      <c r="E330" s="1524">
        <v>1200</v>
      </c>
      <c r="F330" s="1542"/>
    </row>
    <row r="331" spans="1:6" s="1518" customFormat="1" ht="14.25" customHeight="1" thickBot="1">
      <c r="A331" s="1530" t="s">
        <v>1337</v>
      </c>
      <c r="B331" s="1524" t="s">
        <v>1358</v>
      </c>
      <c r="C331" s="1524">
        <v>1620</v>
      </c>
      <c r="D331" s="1524">
        <v>1560</v>
      </c>
      <c r="E331" s="1524">
        <v>1530</v>
      </c>
      <c r="F331" s="1538">
        <v>490</v>
      </c>
    </row>
    <row r="332" spans="1:6" s="1518" customFormat="1" ht="14.25" customHeight="1" thickBot="1">
      <c r="A332" s="1530" t="s">
        <v>1337</v>
      </c>
      <c r="B332" s="1524" t="s">
        <v>1368</v>
      </c>
      <c r="C332" s="1524">
        <v>1520</v>
      </c>
      <c r="D332" s="1524">
        <v>1470</v>
      </c>
      <c r="E332" s="1524">
        <v>1440</v>
      </c>
      <c r="F332" s="1538">
        <v>440</v>
      </c>
    </row>
    <row r="333" spans="1:6" s="1518" customFormat="1" ht="14.25" customHeight="1" thickBot="1">
      <c r="A333" s="1530" t="s">
        <v>1337</v>
      </c>
      <c r="B333" s="1524" t="s">
        <v>1378</v>
      </c>
      <c r="C333" s="1524">
        <v>1370</v>
      </c>
      <c r="D333" s="1524">
        <v>1320</v>
      </c>
      <c r="E333" s="1524">
        <v>1300</v>
      </c>
      <c r="F333" s="1538">
        <v>460</v>
      </c>
    </row>
    <row r="334" spans="1:6" s="1518" customFormat="1" ht="14.25" customHeight="1" thickBot="1">
      <c r="A334" s="1530" t="s">
        <v>1337</v>
      </c>
      <c r="B334" s="1524" t="s">
        <v>1388</v>
      </c>
      <c r="C334" s="1524">
        <v>1410</v>
      </c>
      <c r="D334" s="1524">
        <v>1340</v>
      </c>
      <c r="E334" s="1524">
        <v>1310</v>
      </c>
      <c r="F334" s="1538">
        <v>410</v>
      </c>
    </row>
    <row r="335" spans="1:6" s="1518" customFormat="1" ht="14.25" customHeight="1" thickBot="1">
      <c r="A335" s="1530" t="s">
        <v>1337</v>
      </c>
      <c r="B335" s="1524" t="s">
        <v>1398</v>
      </c>
      <c r="C335" s="1524">
        <v>1260</v>
      </c>
      <c r="D335" s="1524">
        <v>1220</v>
      </c>
      <c r="E335" s="1524">
        <v>1200</v>
      </c>
      <c r="F335" s="1542"/>
    </row>
    <row r="336" spans="1:6" s="1518" customFormat="1" ht="14.25" customHeight="1" thickBot="1">
      <c r="A336" s="1530" t="s">
        <v>1337</v>
      </c>
      <c r="B336" s="1524" t="s">
        <v>1407</v>
      </c>
      <c r="C336" s="1524">
        <v>1160</v>
      </c>
      <c r="D336" s="1524">
        <v>1140</v>
      </c>
      <c r="E336" s="1524">
        <v>1120</v>
      </c>
      <c r="F336" s="1538">
        <v>430</v>
      </c>
    </row>
    <row r="337" spans="1:6" s="1518" customFormat="1" ht="14.25" customHeight="1" thickBot="1">
      <c r="A337" s="1530" t="s">
        <v>1337</v>
      </c>
      <c r="B337" s="1536" t="s">
        <v>1416</v>
      </c>
      <c r="C337" s="1536"/>
      <c r="D337" s="1536"/>
      <c r="E337" s="1536"/>
      <c r="F337" s="1541">
        <v>380</v>
      </c>
    </row>
    <row r="338" spans="1:6" s="1518" customFormat="1" ht="14.25" customHeight="1" thickBot="1">
      <c r="A338" s="1530" t="s">
        <v>1348</v>
      </c>
      <c r="B338" s="1531" t="s">
        <v>1558</v>
      </c>
      <c r="C338" s="1531">
        <v>880</v>
      </c>
      <c r="D338" s="1531">
        <v>850</v>
      </c>
      <c r="E338" s="1531">
        <v>830</v>
      </c>
      <c r="F338" s="1544"/>
    </row>
    <row r="339" spans="1:6" s="1518" customFormat="1" ht="14.25" customHeight="1" thickBot="1">
      <c r="A339" s="1530" t="s">
        <v>1348</v>
      </c>
      <c r="B339" s="1524" t="s">
        <v>1559</v>
      </c>
      <c r="C339" s="1524">
        <v>830</v>
      </c>
      <c r="D339" s="1524">
        <v>800</v>
      </c>
      <c r="E339" s="1524">
        <v>780</v>
      </c>
      <c r="F339" s="1542"/>
    </row>
    <row r="340" spans="1:6" s="1518" customFormat="1" ht="14.25" customHeight="1" thickBot="1">
      <c r="A340" s="1530" t="s">
        <v>1348</v>
      </c>
      <c r="B340" s="1524" t="s">
        <v>1560</v>
      </c>
      <c r="C340" s="1524">
        <v>980</v>
      </c>
      <c r="D340" s="1524">
        <v>950</v>
      </c>
      <c r="E340" s="1524">
        <v>920</v>
      </c>
      <c r="F340" s="1542"/>
    </row>
    <row r="341" spans="1:6" s="1518" customFormat="1" ht="14.25" customHeight="1" thickBot="1">
      <c r="A341" s="1530" t="s">
        <v>1348</v>
      </c>
      <c r="B341" s="1524" t="s">
        <v>1561</v>
      </c>
      <c r="C341" s="1524">
        <v>760</v>
      </c>
      <c r="D341" s="1524">
        <v>720</v>
      </c>
      <c r="E341" s="1524">
        <v>690</v>
      </c>
      <c r="F341" s="1538">
        <v>350</v>
      </c>
    </row>
    <row r="342" spans="1:6" s="1518" customFormat="1" ht="14.25" customHeight="1" thickBot="1">
      <c r="A342" s="1530" t="s">
        <v>1348</v>
      </c>
      <c r="B342" s="1524" t="s">
        <v>1252</v>
      </c>
      <c r="C342" s="1524">
        <v>910</v>
      </c>
      <c r="D342" s="1524">
        <v>870</v>
      </c>
      <c r="E342" s="1524">
        <v>850</v>
      </c>
      <c r="F342" s="1538">
        <v>370</v>
      </c>
    </row>
    <row r="343" spans="1:6" s="1518" customFormat="1" ht="14.25" customHeight="1" thickBot="1">
      <c r="A343" s="1530" t="s">
        <v>1348</v>
      </c>
      <c r="B343" s="1524" t="s">
        <v>1263</v>
      </c>
      <c r="C343" s="1524">
        <v>800</v>
      </c>
      <c r="D343" s="1524">
        <v>760</v>
      </c>
      <c r="E343" s="1524">
        <v>730</v>
      </c>
      <c r="F343" s="1538">
        <v>340</v>
      </c>
    </row>
    <row r="344" spans="1:6" s="1518" customFormat="1" ht="14.25" customHeight="1" thickBot="1">
      <c r="A344" s="1530" t="s">
        <v>1348</v>
      </c>
      <c r="B344" s="1536" t="s">
        <v>1274</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03" t="s">
        <v>2138</v>
      </c>
      <c r="B1" s="3703"/>
    </row>
    <row r="2" spans="1:6" ht="14.25" thickBot="1">
      <c r="A2" s="2113"/>
      <c r="B2" s="2113"/>
    </row>
    <row r="3" spans="1:6" ht="14.25" thickBot="1">
      <c r="A3" s="2113"/>
      <c r="B3" s="2113"/>
      <c r="C3" s="2117" t="s">
        <v>2141</v>
      </c>
      <c r="D3" s="2117" t="s">
        <v>2142</v>
      </c>
      <c r="E3" s="2117" t="s">
        <v>2143</v>
      </c>
      <c r="F3" s="2117" t="s">
        <v>2144</v>
      </c>
    </row>
    <row r="4" spans="1:6" ht="14.25" thickBot="1">
      <c r="A4" s="2115" t="s">
        <v>2139</v>
      </c>
      <c r="B4" s="2116" t="s">
        <v>2140</v>
      </c>
      <c r="C4" s="2117"/>
      <c r="D4" s="2117"/>
      <c r="E4" s="2117"/>
      <c r="F4" s="2117"/>
    </row>
    <row r="5" spans="1:6" ht="14.25" thickBot="1">
      <c r="A5" s="1530" t="s">
        <v>2145</v>
      </c>
      <c r="B5" s="1531" t="s">
        <v>2146</v>
      </c>
      <c r="C5" s="2118">
        <v>8.8999999999999996E-2</v>
      </c>
      <c r="D5" s="2118">
        <v>7.3999999999999996E-2</v>
      </c>
      <c r="E5" s="2118">
        <v>7.4999999999999997E-2</v>
      </c>
      <c r="F5" s="2119">
        <v>0.1</v>
      </c>
    </row>
    <row r="6" spans="1:6" ht="14.25" thickBot="1">
      <c r="A6" s="1530" t="s">
        <v>1228</v>
      </c>
      <c r="B6" s="1524" t="s">
        <v>2147</v>
      </c>
      <c r="C6" s="2120">
        <v>0.1</v>
      </c>
      <c r="D6" s="2120">
        <v>9.0999999999999998E-2</v>
      </c>
      <c r="E6" s="2120">
        <v>9.0999999999999998E-2</v>
      </c>
      <c r="F6" s="2121">
        <v>0.1</v>
      </c>
    </row>
    <row r="7" spans="1:6" ht="14.25" thickBot="1">
      <c r="A7" s="1530" t="s">
        <v>1228</v>
      </c>
      <c r="B7" s="1534" t="s">
        <v>1217</v>
      </c>
      <c r="C7" s="2120">
        <v>8.5999999999999993E-2</v>
      </c>
      <c r="D7" s="2120">
        <v>9.6000000000000002E-2</v>
      </c>
      <c r="E7" s="2120">
        <v>7.5999999999999998E-2</v>
      </c>
      <c r="F7" s="2121">
        <v>0.1</v>
      </c>
    </row>
    <row r="8" spans="1:6" ht="14.25" thickBot="1">
      <c r="A8" s="1530" t="s">
        <v>1228</v>
      </c>
      <c r="B8" s="1524" t="s">
        <v>1229</v>
      </c>
      <c r="C8" s="2120">
        <v>9.9000000000000005E-2</v>
      </c>
      <c r="D8" s="2120">
        <v>9.8000000000000004E-2</v>
      </c>
      <c r="E8" s="2120">
        <v>9.8000000000000004E-2</v>
      </c>
      <c r="F8" s="2121">
        <v>0.1</v>
      </c>
    </row>
    <row r="9" spans="1:6" ht="14.25" thickBot="1">
      <c r="A9" s="1540" t="s">
        <v>1228</v>
      </c>
      <c r="B9" s="1535" t="s">
        <v>1241</v>
      </c>
      <c r="C9" s="2122">
        <v>0.05</v>
      </c>
      <c r="D9" s="2130"/>
      <c r="E9" s="2130"/>
      <c r="F9" s="2131"/>
    </row>
    <row r="10" spans="1:6" ht="14.25" thickBot="1">
      <c r="A10" s="1530" t="s">
        <v>1285</v>
      </c>
      <c r="B10" s="1531" t="s">
        <v>2148</v>
      </c>
      <c r="C10" s="2118">
        <v>8.8999999999999996E-2</v>
      </c>
      <c r="D10" s="2118">
        <v>7.2999999999999995E-2</v>
      </c>
      <c r="E10" s="2118">
        <v>8.2000000000000003E-2</v>
      </c>
      <c r="F10" s="2119">
        <v>0.1</v>
      </c>
    </row>
    <row r="11" spans="1:6" ht="14.25" thickBot="1">
      <c r="A11" s="1530" t="s">
        <v>1285</v>
      </c>
      <c r="B11" s="1534" t="s">
        <v>1204</v>
      </c>
      <c r="C11" s="2120">
        <v>8.8999999999999996E-2</v>
      </c>
      <c r="D11" s="2120">
        <v>7.2999999999999995E-2</v>
      </c>
      <c r="E11" s="2120">
        <v>8.2000000000000003E-2</v>
      </c>
      <c r="F11" s="2121">
        <v>0.1</v>
      </c>
    </row>
    <row r="12" spans="1:6" ht="14.25" thickBot="1">
      <c r="A12" s="1530" t="s">
        <v>1285</v>
      </c>
      <c r="B12" s="1534" t="s">
        <v>1140</v>
      </c>
      <c r="C12" s="2120">
        <v>6.0999999999999999E-2</v>
      </c>
      <c r="D12" s="2120">
        <v>7.0999999999999994E-2</v>
      </c>
      <c r="E12" s="2120">
        <v>9.6000000000000002E-2</v>
      </c>
      <c r="F12" s="2121">
        <v>0.1</v>
      </c>
    </row>
    <row r="13" spans="1:6" ht="14.25" thickBot="1">
      <c r="A13" s="1530" t="s">
        <v>1285</v>
      </c>
      <c r="B13" s="1534" t="s">
        <v>1230</v>
      </c>
      <c r="C13" s="2120">
        <v>6.9000000000000006E-2</v>
      </c>
      <c r="D13" s="2120">
        <v>6.5000000000000002E-2</v>
      </c>
      <c r="E13" s="2120">
        <v>6.6000000000000003E-2</v>
      </c>
      <c r="F13" s="2121">
        <v>0.1</v>
      </c>
    </row>
    <row r="14" spans="1:6" ht="14.25" thickBot="1">
      <c r="A14" s="1530" t="s">
        <v>1285</v>
      </c>
      <c r="B14" s="1534" t="s">
        <v>1242</v>
      </c>
      <c r="C14" s="2120">
        <v>0.1</v>
      </c>
      <c r="D14" s="2120">
        <v>6.5000000000000002E-2</v>
      </c>
      <c r="E14" s="2120">
        <v>7.0000000000000007E-2</v>
      </c>
      <c r="F14" s="2121">
        <v>0.1</v>
      </c>
    </row>
    <row r="15" spans="1:6" ht="14.25" thickBot="1">
      <c r="A15" s="1530" t="s">
        <v>1285</v>
      </c>
      <c r="B15" s="1534" t="s">
        <v>1253</v>
      </c>
      <c r="C15" s="2120">
        <v>9.8000000000000004E-2</v>
      </c>
      <c r="D15" s="2120">
        <v>8.8999999999999996E-2</v>
      </c>
      <c r="E15" s="2120">
        <v>8.8999999999999996E-2</v>
      </c>
      <c r="F15" s="2121">
        <v>0.1</v>
      </c>
    </row>
    <row r="16" spans="1:6" ht="14.25" thickBot="1">
      <c r="A16" s="1530" t="s">
        <v>1285</v>
      </c>
      <c r="B16" s="1534" t="s">
        <v>1264</v>
      </c>
      <c r="C16" s="2120">
        <v>7.0000000000000007E-2</v>
      </c>
      <c r="D16" s="2120">
        <v>9.2999999999999999E-2</v>
      </c>
      <c r="E16" s="2120">
        <v>9.6000000000000002E-2</v>
      </c>
      <c r="F16" s="2121">
        <v>0.1</v>
      </c>
    </row>
    <row r="17" spans="1:6" ht="14.25" thickBot="1">
      <c r="A17" s="1530" t="s">
        <v>1285</v>
      </c>
      <c r="B17" s="1534" t="s">
        <v>1275</v>
      </c>
      <c r="C17" s="2120">
        <v>9.5000000000000001E-2</v>
      </c>
      <c r="D17" s="2120">
        <v>0.1</v>
      </c>
      <c r="E17" s="2120">
        <v>0.1</v>
      </c>
      <c r="F17" s="2132"/>
    </row>
    <row r="18" spans="1:6" ht="14.25" thickBot="1">
      <c r="A18" s="1530" t="s">
        <v>1285</v>
      </c>
      <c r="B18" s="1534" t="s">
        <v>1287</v>
      </c>
      <c r="C18" s="2120">
        <v>7.3999999999999996E-2</v>
      </c>
      <c r="D18" s="2120">
        <v>9.9000000000000005E-2</v>
      </c>
      <c r="E18" s="2120">
        <v>0.1</v>
      </c>
      <c r="F18" s="2132"/>
    </row>
    <row r="19" spans="1:6" ht="14.25" thickBot="1">
      <c r="A19" s="1530" t="s">
        <v>1285</v>
      </c>
      <c r="B19" s="1534" t="s">
        <v>1297</v>
      </c>
      <c r="C19" s="2120">
        <v>9.9000000000000005E-2</v>
      </c>
      <c r="D19" s="2120">
        <v>7.5999999999999998E-2</v>
      </c>
      <c r="E19" s="2120">
        <v>8.6999999999999994E-2</v>
      </c>
      <c r="F19" s="2132"/>
    </row>
    <row r="20" spans="1:6" ht="14.25" thickBot="1">
      <c r="A20" s="1530" t="s">
        <v>1285</v>
      </c>
      <c r="B20" s="1534" t="s">
        <v>1307</v>
      </c>
      <c r="C20" s="2120">
        <v>9.8000000000000004E-2</v>
      </c>
      <c r="D20" s="2120">
        <v>8.5000000000000006E-2</v>
      </c>
      <c r="E20" s="2120">
        <v>8.2000000000000003E-2</v>
      </c>
      <c r="F20" s="2132"/>
    </row>
    <row r="21" spans="1:6" ht="14.25" thickBot="1">
      <c r="A21" s="1530" t="s">
        <v>1285</v>
      </c>
      <c r="B21" s="1534" t="s">
        <v>1317</v>
      </c>
      <c r="C21" s="2120">
        <v>6.6000000000000003E-2</v>
      </c>
      <c r="D21" s="2120">
        <v>6.4000000000000001E-2</v>
      </c>
      <c r="E21" s="2120">
        <v>6.5000000000000002E-2</v>
      </c>
      <c r="F21" s="2132"/>
    </row>
    <row r="22" spans="1:6" ht="14.25" thickBot="1">
      <c r="A22" s="1530" t="s">
        <v>1285</v>
      </c>
      <c r="B22" s="1534" t="s">
        <v>2149</v>
      </c>
      <c r="C22" s="2120">
        <v>0.08</v>
      </c>
      <c r="D22" s="2120">
        <v>9.8000000000000004E-2</v>
      </c>
      <c r="E22" s="2120">
        <v>9.8000000000000004E-2</v>
      </c>
      <c r="F22" s="2132"/>
    </row>
    <row r="23" spans="1:6" ht="14.25" thickBot="1">
      <c r="A23" s="1530" t="s">
        <v>1285</v>
      </c>
      <c r="B23" s="1534" t="s">
        <v>1338</v>
      </c>
      <c r="C23" s="2120">
        <v>9.9000000000000005E-2</v>
      </c>
      <c r="D23" s="2120">
        <v>9.8000000000000004E-2</v>
      </c>
      <c r="E23" s="2120">
        <v>9.0999999999999998E-2</v>
      </c>
      <c r="F23" s="2132"/>
    </row>
    <row r="24" spans="1:6" ht="14.25" thickBot="1">
      <c r="A24" s="1530" t="s">
        <v>1285</v>
      </c>
      <c r="B24" s="1534" t="s">
        <v>1349</v>
      </c>
      <c r="C24" s="2120">
        <v>8.8999999999999996E-2</v>
      </c>
      <c r="D24" s="2120">
        <v>9.7000000000000003E-2</v>
      </c>
      <c r="E24" s="2120">
        <v>7.0000000000000007E-2</v>
      </c>
      <c r="F24" s="2132"/>
    </row>
    <row r="25" spans="1:6" ht="14.25" thickBot="1">
      <c r="A25" s="1530" t="s">
        <v>1285</v>
      </c>
      <c r="B25" s="1534" t="s">
        <v>1359</v>
      </c>
      <c r="C25" s="2120">
        <v>8.8999999999999996E-2</v>
      </c>
      <c r="D25" s="2120">
        <v>0.1</v>
      </c>
      <c r="E25" s="2120">
        <v>8.1000000000000003E-2</v>
      </c>
      <c r="F25" s="2132"/>
    </row>
    <row r="26" spans="1:6" ht="14.25" thickBot="1">
      <c r="A26" s="1530" t="s">
        <v>1285</v>
      </c>
      <c r="B26" s="1534" t="s">
        <v>1369</v>
      </c>
      <c r="C26" s="2133"/>
      <c r="D26" s="2120">
        <v>9.6000000000000002E-2</v>
      </c>
      <c r="E26" s="2120">
        <v>9.2999999999999999E-2</v>
      </c>
      <c r="F26" s="2132"/>
    </row>
    <row r="27" spans="1:6" ht="14.25" thickBot="1">
      <c r="A27" s="1530" t="s">
        <v>1285</v>
      </c>
      <c r="B27" s="1534" t="s">
        <v>1379</v>
      </c>
      <c r="C27" s="2133"/>
      <c r="D27" s="2120">
        <v>7.5999999999999998E-2</v>
      </c>
      <c r="E27" s="2120">
        <v>9.1999999999999998E-2</v>
      </c>
      <c r="F27" s="2132"/>
    </row>
    <row r="28" spans="1:6" ht="14.25" thickBot="1">
      <c r="A28" s="1540" t="s">
        <v>1285</v>
      </c>
      <c r="B28" s="1535" t="s">
        <v>1389</v>
      </c>
      <c r="C28" s="2130"/>
      <c r="D28" s="2122">
        <v>7.5999999999999998E-2</v>
      </c>
      <c r="E28" s="2122">
        <v>9.1999999999999998E-2</v>
      </c>
      <c r="F28" s="2131"/>
    </row>
    <row r="29" spans="1:6" ht="14.25" thickBot="1">
      <c r="A29" s="1530" t="s">
        <v>1458</v>
      </c>
      <c r="B29" s="1531" t="s">
        <v>2150</v>
      </c>
      <c r="C29" s="2118">
        <v>6.4000000000000001E-2</v>
      </c>
      <c r="D29" s="2118">
        <v>6.5000000000000002E-2</v>
      </c>
      <c r="E29" s="2118">
        <v>6.9000000000000006E-2</v>
      </c>
      <c r="F29" s="2119">
        <v>0.1</v>
      </c>
    </row>
    <row r="30" spans="1:6" ht="14.25" thickBot="1">
      <c r="A30" s="1530" t="s">
        <v>1458</v>
      </c>
      <c r="B30" s="1534" t="s">
        <v>1205</v>
      </c>
      <c r="C30" s="2120">
        <v>6.4000000000000001E-2</v>
      </c>
      <c r="D30" s="2120">
        <v>9.9000000000000005E-2</v>
      </c>
      <c r="E30" s="2120">
        <v>0.1</v>
      </c>
      <c r="F30" s="2121">
        <v>0.1</v>
      </c>
    </row>
    <row r="31" spans="1:6" ht="14.25" thickBot="1">
      <c r="A31" s="1530" t="s">
        <v>1458</v>
      </c>
      <c r="B31" s="1534" t="s">
        <v>1218</v>
      </c>
      <c r="C31" s="2120">
        <v>0.1</v>
      </c>
      <c r="D31" s="2120">
        <v>9.5000000000000001E-2</v>
      </c>
      <c r="E31" s="2120">
        <v>8.8999999999999996E-2</v>
      </c>
      <c r="F31" s="2121">
        <v>0.1</v>
      </c>
    </row>
    <row r="32" spans="1:6" ht="14.25" thickBot="1">
      <c r="A32" s="1530" t="s">
        <v>1458</v>
      </c>
      <c r="B32" s="1534" t="s">
        <v>1231</v>
      </c>
      <c r="C32" s="2120">
        <v>0.05</v>
      </c>
      <c r="D32" s="2120">
        <v>0.05</v>
      </c>
      <c r="E32" s="2120">
        <v>8.7999999999999995E-2</v>
      </c>
      <c r="F32" s="2121">
        <v>0.1</v>
      </c>
    </row>
    <row r="33" spans="1:6" ht="14.25" thickBot="1">
      <c r="A33" s="1530" t="s">
        <v>1458</v>
      </c>
      <c r="B33" s="1534" t="s">
        <v>1243</v>
      </c>
      <c r="C33" s="2120">
        <v>7.4999999999999997E-2</v>
      </c>
      <c r="D33" s="2120">
        <v>9.4E-2</v>
      </c>
      <c r="E33" s="2120">
        <v>9.7000000000000003E-2</v>
      </c>
      <c r="F33" s="2121">
        <v>0.1</v>
      </c>
    </row>
    <row r="34" spans="1:6" ht="14.25" thickBot="1">
      <c r="A34" s="1530" t="s">
        <v>1458</v>
      </c>
      <c r="B34" s="1534" t="s">
        <v>1254</v>
      </c>
      <c r="C34" s="2120">
        <v>9.8000000000000004E-2</v>
      </c>
      <c r="D34" s="2120">
        <v>8.5999999999999993E-2</v>
      </c>
      <c r="E34" s="2120">
        <v>9.7000000000000003E-2</v>
      </c>
      <c r="F34" s="2121">
        <v>0.1</v>
      </c>
    </row>
    <row r="35" spans="1:6" ht="14.25" thickBot="1">
      <c r="A35" s="1530" t="s">
        <v>1458</v>
      </c>
      <c r="B35" s="1534" t="s">
        <v>1265</v>
      </c>
      <c r="C35" s="2120">
        <v>5.8999999999999997E-2</v>
      </c>
      <c r="D35" s="2120">
        <v>6.5000000000000002E-2</v>
      </c>
      <c r="E35" s="2120">
        <v>7.0000000000000007E-2</v>
      </c>
      <c r="F35" s="2121">
        <v>0.1</v>
      </c>
    </row>
    <row r="36" spans="1:6" ht="14.25" thickBot="1">
      <c r="A36" s="1530" t="s">
        <v>1458</v>
      </c>
      <c r="B36" s="1534" t="s">
        <v>1276</v>
      </c>
      <c r="C36" s="2120">
        <v>6.3E-2</v>
      </c>
      <c r="D36" s="2120">
        <v>0.1</v>
      </c>
      <c r="E36" s="2120">
        <v>0.1</v>
      </c>
      <c r="F36" s="2121">
        <v>0.1</v>
      </c>
    </row>
    <row r="37" spans="1:6" ht="14.25" thickBot="1">
      <c r="A37" s="1530" t="s">
        <v>1458</v>
      </c>
      <c r="B37" s="1534" t="s">
        <v>1288</v>
      </c>
      <c r="C37" s="2120">
        <v>7.3999999999999996E-2</v>
      </c>
      <c r="D37" s="2120">
        <v>0.1</v>
      </c>
      <c r="E37" s="2120">
        <v>0.1</v>
      </c>
      <c r="F37" s="2121">
        <v>0.1</v>
      </c>
    </row>
    <row r="38" spans="1:6" ht="14.25" thickBot="1">
      <c r="A38" s="1530" t="s">
        <v>1458</v>
      </c>
      <c r="B38" s="1534" t="s">
        <v>1298</v>
      </c>
      <c r="C38" s="2120">
        <v>0.1</v>
      </c>
      <c r="D38" s="2120">
        <v>9.6000000000000002E-2</v>
      </c>
      <c r="E38" s="2120">
        <v>9.6000000000000002E-2</v>
      </c>
      <c r="F38" s="2132"/>
    </row>
    <row r="39" spans="1:6" ht="14.25" thickBot="1">
      <c r="A39" s="1530" t="s">
        <v>1458</v>
      </c>
      <c r="B39" s="1534" t="s">
        <v>1308</v>
      </c>
      <c r="C39" s="2120">
        <v>0.1</v>
      </c>
      <c r="D39" s="2120">
        <v>9.6000000000000002E-2</v>
      </c>
      <c r="E39" s="2120">
        <v>9.6000000000000002E-2</v>
      </c>
      <c r="F39" s="2132"/>
    </row>
    <row r="40" spans="1:6" ht="14.25" thickBot="1">
      <c r="A40" s="1530" t="s">
        <v>1458</v>
      </c>
      <c r="B40" s="1534" t="s">
        <v>1318</v>
      </c>
      <c r="C40" s="2120">
        <v>9.6000000000000002E-2</v>
      </c>
      <c r="D40" s="2120">
        <v>0.1</v>
      </c>
      <c r="E40" s="2120">
        <v>9.9000000000000005E-2</v>
      </c>
      <c r="F40" s="2132"/>
    </row>
    <row r="41" spans="1:6" ht="14.25" thickBot="1">
      <c r="A41" s="1530" t="s">
        <v>1458</v>
      </c>
      <c r="B41" s="1534" t="s">
        <v>1328</v>
      </c>
      <c r="C41" s="2120">
        <v>9.6000000000000002E-2</v>
      </c>
      <c r="D41" s="2120">
        <v>9.8000000000000004E-2</v>
      </c>
      <c r="E41" s="2120">
        <v>9.8000000000000004E-2</v>
      </c>
      <c r="F41" s="2132"/>
    </row>
    <row r="42" spans="1:6" ht="14.25" thickBot="1">
      <c r="A42" s="1530" t="s">
        <v>1458</v>
      </c>
      <c r="B42" s="1534" t="s">
        <v>1339</v>
      </c>
      <c r="C42" s="2120">
        <v>0.1</v>
      </c>
      <c r="D42" s="2120">
        <v>8.7999999999999995E-2</v>
      </c>
      <c r="E42" s="2120">
        <v>0.1</v>
      </c>
      <c r="F42" s="2132"/>
    </row>
    <row r="43" spans="1:6" ht="14.25" thickBot="1">
      <c r="A43" s="1530" t="s">
        <v>1458</v>
      </c>
      <c r="B43" s="1534" t="s">
        <v>1350</v>
      </c>
      <c r="C43" s="2120">
        <v>9.8000000000000004E-2</v>
      </c>
      <c r="D43" s="2120">
        <v>9.7000000000000003E-2</v>
      </c>
      <c r="E43" s="2120">
        <v>9.6000000000000002E-2</v>
      </c>
      <c r="F43" s="2132"/>
    </row>
    <row r="44" spans="1:6" ht="14.25" thickBot="1">
      <c r="A44" s="1530" t="s">
        <v>1458</v>
      </c>
      <c r="B44" s="1534" t="s">
        <v>1360</v>
      </c>
      <c r="C44" s="2120">
        <v>8.5999999999999993E-2</v>
      </c>
      <c r="D44" s="2120">
        <v>7.9000000000000001E-2</v>
      </c>
      <c r="E44" s="2120">
        <v>7.0999999999999994E-2</v>
      </c>
      <c r="F44" s="2132"/>
    </row>
    <row r="45" spans="1:6" ht="14.25" thickBot="1">
      <c r="A45" s="1530" t="s">
        <v>1458</v>
      </c>
      <c r="B45" s="1534" t="s">
        <v>1370</v>
      </c>
      <c r="C45" s="2120">
        <v>9.8000000000000004E-2</v>
      </c>
      <c r="D45" s="2120">
        <v>9.6000000000000002E-2</v>
      </c>
      <c r="E45" s="2120">
        <v>9.6000000000000002E-2</v>
      </c>
      <c r="F45" s="2132"/>
    </row>
    <row r="46" spans="1:6" ht="14.25" thickBot="1">
      <c r="A46" s="1530" t="s">
        <v>1458</v>
      </c>
      <c r="B46" s="1534" t="s">
        <v>1380</v>
      </c>
      <c r="C46" s="2120">
        <v>8.5999999999999993E-2</v>
      </c>
      <c r="D46" s="2120">
        <v>9.8000000000000004E-2</v>
      </c>
      <c r="E46" s="2120">
        <v>8.7999999999999995E-2</v>
      </c>
      <c r="F46" s="2132"/>
    </row>
    <row r="47" spans="1:6" ht="14.25" thickBot="1">
      <c r="A47" s="1530" t="s">
        <v>1458</v>
      </c>
      <c r="B47" s="1534" t="s">
        <v>1390</v>
      </c>
      <c r="C47" s="2120">
        <v>9.6000000000000002E-2</v>
      </c>
      <c r="D47" s="2133"/>
      <c r="E47" s="2120">
        <v>6.9000000000000006E-2</v>
      </c>
      <c r="F47" s="2132"/>
    </row>
    <row r="48" spans="1:6" ht="14.25" thickBot="1">
      <c r="A48" s="1540" t="s">
        <v>1458</v>
      </c>
      <c r="B48" s="1535" t="s">
        <v>1399</v>
      </c>
      <c r="C48" s="2122">
        <v>9.8000000000000004E-2</v>
      </c>
      <c r="D48" s="2130"/>
      <c r="E48" s="2122">
        <v>9.5000000000000001E-2</v>
      </c>
      <c r="F48" s="2131"/>
    </row>
    <row r="49" spans="1:6" ht="14.25" thickBot="1">
      <c r="A49" s="1530" t="s">
        <v>1139</v>
      </c>
      <c r="B49" s="1531" t="s">
        <v>2151</v>
      </c>
      <c r="C49" s="2118">
        <v>9.7000000000000003E-2</v>
      </c>
      <c r="D49" s="2118">
        <v>9.5000000000000001E-2</v>
      </c>
      <c r="E49" s="2118">
        <v>9.7000000000000003E-2</v>
      </c>
      <c r="F49" s="2119">
        <v>0.1</v>
      </c>
    </row>
    <row r="50" spans="1:6" ht="14.25" thickBot="1">
      <c r="A50" s="1530" t="s">
        <v>1139</v>
      </c>
      <c r="B50" s="1524" t="s">
        <v>1206</v>
      </c>
      <c r="C50" s="2120">
        <v>7.4999999999999997E-2</v>
      </c>
      <c r="D50" s="2120">
        <v>9.5000000000000001E-2</v>
      </c>
      <c r="E50" s="2120">
        <v>0.1</v>
      </c>
      <c r="F50" s="2121">
        <v>0.1</v>
      </c>
    </row>
    <row r="51" spans="1:6" ht="14.25" thickBot="1">
      <c r="A51" s="1530" t="s">
        <v>1139</v>
      </c>
      <c r="B51" s="1524" t="s">
        <v>1219</v>
      </c>
      <c r="C51" s="2120">
        <v>9.8000000000000004E-2</v>
      </c>
      <c r="D51" s="2120">
        <v>8.8999999999999996E-2</v>
      </c>
      <c r="E51" s="2120">
        <v>0.1</v>
      </c>
      <c r="F51" s="2121">
        <v>0.1</v>
      </c>
    </row>
    <row r="52" spans="1:6" ht="14.25" thickBot="1">
      <c r="A52" s="1530" t="s">
        <v>1139</v>
      </c>
      <c r="B52" s="1524" t="s">
        <v>1232</v>
      </c>
      <c r="C52" s="2120">
        <v>9.8000000000000004E-2</v>
      </c>
      <c r="D52" s="2120">
        <v>9.7000000000000003E-2</v>
      </c>
      <c r="E52" s="2120">
        <v>8.1000000000000003E-2</v>
      </c>
      <c r="F52" s="2121">
        <v>0.1</v>
      </c>
    </row>
    <row r="53" spans="1:6" ht="14.25" thickBot="1">
      <c r="A53" s="1530" t="s">
        <v>1139</v>
      </c>
      <c r="B53" s="1524" t="s">
        <v>1244</v>
      </c>
      <c r="C53" s="2120">
        <v>9.7000000000000003E-2</v>
      </c>
      <c r="D53" s="2120">
        <v>7.5999999999999998E-2</v>
      </c>
      <c r="E53" s="2120">
        <v>7.0999999999999994E-2</v>
      </c>
      <c r="F53" s="2121">
        <v>0.1</v>
      </c>
    </row>
    <row r="54" spans="1:6" ht="14.25" thickBot="1">
      <c r="A54" s="1530" t="s">
        <v>1139</v>
      </c>
      <c r="B54" s="1524" t="s">
        <v>1255</v>
      </c>
      <c r="C54" s="2120">
        <v>7.5999999999999998E-2</v>
      </c>
      <c r="D54" s="2120">
        <v>0.1</v>
      </c>
      <c r="E54" s="2120">
        <v>9.9000000000000005E-2</v>
      </c>
      <c r="F54" s="2121">
        <v>0.1</v>
      </c>
    </row>
    <row r="55" spans="1:6" ht="14.25" thickBot="1">
      <c r="A55" s="1530" t="s">
        <v>1139</v>
      </c>
      <c r="B55" s="1524" t="s">
        <v>1266</v>
      </c>
      <c r="C55" s="2120">
        <v>0.1</v>
      </c>
      <c r="D55" s="2120">
        <v>0.1</v>
      </c>
      <c r="E55" s="2120">
        <v>9.6000000000000002E-2</v>
      </c>
      <c r="F55" s="2121">
        <v>0.1</v>
      </c>
    </row>
    <row r="56" spans="1:6" ht="14.25" thickBot="1">
      <c r="A56" s="1530" t="s">
        <v>1139</v>
      </c>
      <c r="B56" s="1524" t="s">
        <v>1277</v>
      </c>
      <c r="C56" s="2120">
        <v>0.1</v>
      </c>
      <c r="D56" s="2120">
        <v>9.6000000000000002E-2</v>
      </c>
      <c r="E56" s="2120">
        <v>5.1999999999999998E-2</v>
      </c>
      <c r="F56" s="2121">
        <v>0.1</v>
      </c>
    </row>
    <row r="57" spans="1:6" ht="14.25" thickBot="1">
      <c r="A57" s="1530" t="s">
        <v>1139</v>
      </c>
      <c r="B57" s="1524" t="s">
        <v>1289</v>
      </c>
      <c r="C57" s="2120">
        <v>9.7000000000000003E-2</v>
      </c>
      <c r="D57" s="2120">
        <v>9.6000000000000002E-2</v>
      </c>
      <c r="E57" s="2120">
        <v>9.6000000000000002E-2</v>
      </c>
      <c r="F57" s="2121">
        <v>0.1</v>
      </c>
    </row>
    <row r="58" spans="1:6" ht="14.25" thickBot="1">
      <c r="A58" s="1530" t="s">
        <v>1139</v>
      </c>
      <c r="B58" s="1524" t="s">
        <v>1299</v>
      </c>
      <c r="C58" s="2120">
        <v>9.6000000000000002E-2</v>
      </c>
      <c r="D58" s="2120">
        <v>9.9000000000000005E-2</v>
      </c>
      <c r="E58" s="2120">
        <v>9.6000000000000002E-2</v>
      </c>
      <c r="F58" s="2121">
        <v>0.1</v>
      </c>
    </row>
    <row r="59" spans="1:6" ht="14.25" thickBot="1">
      <c r="A59" s="1530" t="s">
        <v>1139</v>
      </c>
      <c r="B59" s="1524" t="s">
        <v>1309</v>
      </c>
      <c r="C59" s="2120">
        <v>7.1999999999999995E-2</v>
      </c>
      <c r="D59" s="2120">
        <v>9.6000000000000002E-2</v>
      </c>
      <c r="E59" s="2120">
        <v>7.0999999999999994E-2</v>
      </c>
      <c r="F59" s="2121">
        <v>0.1</v>
      </c>
    </row>
    <row r="60" spans="1:6" ht="14.25" thickBot="1">
      <c r="A60" s="1530" t="s">
        <v>1139</v>
      </c>
      <c r="B60" s="1524" t="s">
        <v>1319</v>
      </c>
      <c r="C60" s="2120">
        <v>9.6000000000000002E-2</v>
      </c>
      <c r="D60" s="2120">
        <v>8.8999999999999996E-2</v>
      </c>
      <c r="E60" s="2120">
        <v>9.6000000000000002E-2</v>
      </c>
      <c r="F60" s="2121">
        <v>0.1</v>
      </c>
    </row>
    <row r="61" spans="1:6" ht="14.25" thickBot="1">
      <c r="A61" s="1530" t="s">
        <v>1139</v>
      </c>
      <c r="B61" s="1524" t="s">
        <v>1329</v>
      </c>
      <c r="C61" s="2120">
        <v>8.8999999999999996E-2</v>
      </c>
      <c r="D61" s="2120">
        <v>9.8000000000000004E-2</v>
      </c>
      <c r="E61" s="2120">
        <v>8.7999999999999995E-2</v>
      </c>
      <c r="F61" s="2132"/>
    </row>
    <row r="62" spans="1:6" ht="14.25" thickBot="1">
      <c r="A62" s="1530" t="s">
        <v>1139</v>
      </c>
      <c r="B62" s="1524" t="s">
        <v>1340</v>
      </c>
      <c r="C62" s="2120">
        <v>9.8000000000000004E-2</v>
      </c>
      <c r="D62" s="2120">
        <v>9.2999999999999999E-2</v>
      </c>
      <c r="E62" s="2120">
        <v>9.7000000000000003E-2</v>
      </c>
      <c r="F62" s="2132"/>
    </row>
    <row r="63" spans="1:6" ht="14.25" thickBot="1">
      <c r="A63" s="1530" t="s">
        <v>1139</v>
      </c>
      <c r="B63" s="1524" t="s">
        <v>1351</v>
      </c>
      <c r="C63" s="2120">
        <v>9.6000000000000002E-2</v>
      </c>
      <c r="D63" s="2120">
        <v>9.8000000000000004E-2</v>
      </c>
      <c r="E63" s="2120">
        <v>0.09</v>
      </c>
      <c r="F63" s="2132"/>
    </row>
    <row r="64" spans="1:6" ht="14.25" thickBot="1">
      <c r="A64" s="1530" t="s">
        <v>1139</v>
      </c>
      <c r="B64" s="1524" t="s">
        <v>1361</v>
      </c>
      <c r="C64" s="2120">
        <v>9.9000000000000005E-2</v>
      </c>
      <c r="D64" s="2120">
        <v>9.7000000000000003E-2</v>
      </c>
      <c r="E64" s="2120">
        <v>9.9000000000000005E-2</v>
      </c>
      <c r="F64" s="2132"/>
    </row>
    <row r="65" spans="1:6" ht="14.25" thickBot="1">
      <c r="A65" s="1530" t="s">
        <v>1139</v>
      </c>
      <c r="B65" s="1524" t="s">
        <v>1371</v>
      </c>
      <c r="C65" s="2120">
        <v>9.8000000000000004E-2</v>
      </c>
      <c r="D65" s="2120">
        <v>9.6000000000000002E-2</v>
      </c>
      <c r="E65" s="2120">
        <v>9.6000000000000002E-2</v>
      </c>
      <c r="F65" s="2132"/>
    </row>
    <row r="66" spans="1:6" ht="14.25" thickBot="1">
      <c r="A66" s="1530" t="s">
        <v>1139</v>
      </c>
      <c r="B66" s="1524" t="s">
        <v>1381</v>
      </c>
      <c r="C66" s="2120">
        <v>9.6000000000000002E-2</v>
      </c>
      <c r="D66" s="2120">
        <v>9.1999999999999998E-2</v>
      </c>
      <c r="E66" s="2120">
        <v>9.6000000000000002E-2</v>
      </c>
      <c r="F66" s="2132"/>
    </row>
    <row r="67" spans="1:6" ht="14.25" thickBot="1">
      <c r="A67" s="1530" t="s">
        <v>1139</v>
      </c>
      <c r="B67" s="1524" t="s">
        <v>1391</v>
      </c>
      <c r="C67" s="2120">
        <v>9.4E-2</v>
      </c>
      <c r="D67" s="2120">
        <v>0.1</v>
      </c>
      <c r="E67" s="2120">
        <v>8.7999999999999995E-2</v>
      </c>
      <c r="F67" s="2132"/>
    </row>
    <row r="68" spans="1:6" ht="14.25" thickBot="1">
      <c r="A68" s="1530" t="s">
        <v>1139</v>
      </c>
      <c r="B68" s="1524" t="s">
        <v>1400</v>
      </c>
      <c r="C68" s="2120">
        <v>0.1</v>
      </c>
      <c r="D68" s="2120">
        <v>8.7999999999999995E-2</v>
      </c>
      <c r="E68" s="2120">
        <v>9.7000000000000003E-2</v>
      </c>
      <c r="F68" s="2132"/>
    </row>
    <row r="69" spans="1:6" ht="14.25" thickBot="1">
      <c r="A69" s="1530" t="s">
        <v>1139</v>
      </c>
      <c r="B69" s="1524" t="s">
        <v>1409</v>
      </c>
      <c r="C69" s="2120">
        <v>6.4000000000000001E-2</v>
      </c>
      <c r="D69" s="2120">
        <v>0.1</v>
      </c>
      <c r="E69" s="2120">
        <v>0.1</v>
      </c>
      <c r="F69" s="2132"/>
    </row>
    <row r="70" spans="1:6" ht="14.25" thickBot="1">
      <c r="A70" s="1530" t="s">
        <v>1139</v>
      </c>
      <c r="B70" s="1524" t="s">
        <v>1417</v>
      </c>
      <c r="C70" s="2120">
        <v>9.0999999999999998E-2</v>
      </c>
      <c r="D70" s="2133"/>
      <c r="E70" s="2133"/>
      <c r="F70" s="2132"/>
    </row>
    <row r="71" spans="1:6" ht="14.25" thickBot="1">
      <c r="A71" s="1530" t="s">
        <v>1139</v>
      </c>
      <c r="B71" s="1524" t="s">
        <v>1424</v>
      </c>
      <c r="C71" s="2120">
        <v>0.1</v>
      </c>
      <c r="D71" s="2133"/>
      <c r="E71" s="2133"/>
      <c r="F71" s="2132"/>
    </row>
    <row r="72" spans="1:6" ht="14.25" thickBot="1">
      <c r="A72" s="1530" t="s">
        <v>1139</v>
      </c>
      <c r="B72" s="1524" t="s">
        <v>2152</v>
      </c>
      <c r="C72" s="2133"/>
      <c r="D72" s="2133"/>
      <c r="E72" s="2133"/>
      <c r="F72" s="2121">
        <v>0.05</v>
      </c>
    </row>
    <row r="73" spans="1:6" ht="14.25" thickBot="1">
      <c r="A73" s="1530" t="s">
        <v>1139</v>
      </c>
      <c r="B73" s="1524" t="s">
        <v>2153</v>
      </c>
      <c r="C73" s="2133"/>
      <c r="D73" s="2133"/>
      <c r="E73" s="2133"/>
      <c r="F73" s="2121">
        <v>0.05</v>
      </c>
    </row>
    <row r="74" spans="1:6" ht="14.25" thickBot="1">
      <c r="A74" s="1530" t="s">
        <v>1139</v>
      </c>
      <c r="B74" s="1524" t="s">
        <v>2154</v>
      </c>
      <c r="C74" s="2133"/>
      <c r="D74" s="2133"/>
      <c r="E74" s="2133"/>
      <c r="F74" s="2121">
        <v>0.05</v>
      </c>
    </row>
    <row r="75" spans="1:6" ht="14.25" thickBot="1">
      <c r="A75" s="1540" t="s">
        <v>1139</v>
      </c>
      <c r="B75" s="1536" t="s">
        <v>2155</v>
      </c>
      <c r="C75" s="2130"/>
      <c r="D75" s="2130"/>
      <c r="E75" s="2130"/>
      <c r="F75" s="2123">
        <v>0.05</v>
      </c>
    </row>
    <row r="76" spans="1:6" ht="14.25" thickBot="1">
      <c r="A76" s="1530" t="s">
        <v>1539</v>
      </c>
      <c r="B76" s="1531" t="s">
        <v>2156</v>
      </c>
      <c r="C76" s="2118">
        <v>0.1</v>
      </c>
      <c r="D76" s="2118">
        <v>0.1</v>
      </c>
      <c r="E76" s="2118">
        <v>0.1</v>
      </c>
      <c r="F76" s="2119">
        <v>0.1</v>
      </c>
    </row>
    <row r="77" spans="1:6" ht="14.25" thickBot="1">
      <c r="A77" s="1530" t="s">
        <v>1539</v>
      </c>
      <c r="B77" s="1524" t="s">
        <v>1207</v>
      </c>
      <c r="C77" s="2120">
        <v>8.7999999999999995E-2</v>
      </c>
      <c r="D77" s="2120">
        <v>8.6999999999999994E-2</v>
      </c>
      <c r="E77" s="2120">
        <v>7.9000000000000001E-2</v>
      </c>
      <c r="F77" s="2121">
        <v>0.1</v>
      </c>
    </row>
    <row r="78" spans="1:6" ht="14.25" thickBot="1">
      <c r="A78" s="1530" t="s">
        <v>1539</v>
      </c>
      <c r="B78" s="1524" t="s">
        <v>1220</v>
      </c>
      <c r="C78" s="2120">
        <v>8.6999999999999994E-2</v>
      </c>
      <c r="D78" s="2120">
        <v>8.4000000000000005E-2</v>
      </c>
      <c r="E78" s="2120">
        <v>9.6000000000000002E-2</v>
      </c>
      <c r="F78" s="2121">
        <v>0.1</v>
      </c>
    </row>
    <row r="79" spans="1:6" ht="14.25" thickBot="1">
      <c r="A79" s="1530" t="s">
        <v>1539</v>
      </c>
      <c r="B79" s="1524" t="s">
        <v>1233</v>
      </c>
      <c r="C79" s="2120">
        <v>9.8000000000000004E-2</v>
      </c>
      <c r="D79" s="2120">
        <v>9.8000000000000004E-2</v>
      </c>
      <c r="E79" s="2120">
        <v>9.0999999999999998E-2</v>
      </c>
      <c r="F79" s="2121">
        <v>0.1</v>
      </c>
    </row>
    <row r="80" spans="1:6" ht="14.25" thickBot="1">
      <c r="A80" s="1530" t="s">
        <v>1539</v>
      </c>
      <c r="B80" s="1524" t="s">
        <v>1245</v>
      </c>
      <c r="C80" s="2120">
        <v>9.6000000000000002E-2</v>
      </c>
      <c r="D80" s="2120">
        <v>9.6000000000000002E-2</v>
      </c>
      <c r="E80" s="2120">
        <v>0.1</v>
      </c>
      <c r="F80" s="2121">
        <v>0.1</v>
      </c>
    </row>
    <row r="81" spans="1:6" ht="14.25" thickBot="1">
      <c r="A81" s="1530" t="s">
        <v>1539</v>
      </c>
      <c r="B81" s="1524" t="s">
        <v>1256</v>
      </c>
      <c r="C81" s="2120">
        <v>9.9000000000000005E-2</v>
      </c>
      <c r="D81" s="2120">
        <v>9.9000000000000005E-2</v>
      </c>
      <c r="E81" s="2120">
        <v>9.8000000000000004E-2</v>
      </c>
      <c r="F81" s="2121">
        <v>0.1</v>
      </c>
    </row>
    <row r="82" spans="1:6" ht="14.25" thickBot="1">
      <c r="A82" s="1530" t="s">
        <v>1539</v>
      </c>
      <c r="B82" s="1524" t="s">
        <v>1267</v>
      </c>
      <c r="C82" s="2120">
        <v>9.9000000000000005E-2</v>
      </c>
      <c r="D82" s="2120">
        <v>9.9000000000000005E-2</v>
      </c>
      <c r="E82" s="2120">
        <v>9.7000000000000003E-2</v>
      </c>
      <c r="F82" s="2121">
        <v>0.1</v>
      </c>
    </row>
    <row r="83" spans="1:6" ht="14.25" thickBot="1">
      <c r="A83" s="1530" t="s">
        <v>1539</v>
      </c>
      <c r="B83" s="1524" t="s">
        <v>1278</v>
      </c>
      <c r="C83" s="2120">
        <v>9.8000000000000004E-2</v>
      </c>
      <c r="D83" s="2120">
        <v>9.8000000000000004E-2</v>
      </c>
      <c r="E83" s="2120">
        <v>9.8000000000000004E-2</v>
      </c>
      <c r="F83" s="2121">
        <v>0.1</v>
      </c>
    </row>
    <row r="84" spans="1:6" ht="14.25" thickBot="1">
      <c r="A84" s="1530" t="s">
        <v>1539</v>
      </c>
      <c r="B84" s="1524" t="s">
        <v>1290</v>
      </c>
      <c r="C84" s="2120">
        <v>9.9000000000000005E-2</v>
      </c>
      <c r="D84" s="2120">
        <v>9.9000000000000005E-2</v>
      </c>
      <c r="E84" s="2120">
        <v>9.9000000000000005E-2</v>
      </c>
      <c r="F84" s="2121">
        <v>0.1</v>
      </c>
    </row>
    <row r="85" spans="1:6" ht="14.25" thickBot="1">
      <c r="A85" s="1530" t="s">
        <v>1539</v>
      </c>
      <c r="B85" s="1524" t="s">
        <v>1300</v>
      </c>
      <c r="C85" s="2120">
        <v>9.9000000000000005E-2</v>
      </c>
      <c r="D85" s="2120">
        <v>9.9000000000000005E-2</v>
      </c>
      <c r="E85" s="2120">
        <v>9.9000000000000005E-2</v>
      </c>
      <c r="F85" s="2121">
        <v>0.1</v>
      </c>
    </row>
    <row r="86" spans="1:6" ht="14.25" thickBot="1">
      <c r="A86" s="1530" t="s">
        <v>1539</v>
      </c>
      <c r="B86" s="1524" t="s">
        <v>1310</v>
      </c>
      <c r="C86" s="2120">
        <v>0.1</v>
      </c>
      <c r="D86" s="2120">
        <v>0.1</v>
      </c>
      <c r="E86" s="2120">
        <v>7.6999999999999999E-2</v>
      </c>
      <c r="F86" s="2121">
        <v>0.1</v>
      </c>
    </row>
    <row r="87" spans="1:6" ht="14.25" thickBot="1">
      <c r="A87" s="1530" t="s">
        <v>1539</v>
      </c>
      <c r="B87" s="1524" t="s">
        <v>1320</v>
      </c>
      <c r="C87" s="2120">
        <v>0.1</v>
      </c>
      <c r="D87" s="2120">
        <v>0.1</v>
      </c>
      <c r="E87" s="2120">
        <v>9.8000000000000004E-2</v>
      </c>
      <c r="F87" s="2132"/>
    </row>
    <row r="88" spans="1:6" ht="14.25" thickBot="1">
      <c r="A88" s="1530" t="s">
        <v>1539</v>
      </c>
      <c r="B88" s="1524" t="s">
        <v>1330</v>
      </c>
      <c r="C88" s="2120">
        <v>9.1999999999999998E-2</v>
      </c>
      <c r="D88" s="2120">
        <v>8.5000000000000006E-2</v>
      </c>
      <c r="E88" s="2120">
        <v>9.6000000000000002E-2</v>
      </c>
      <c r="F88" s="2132"/>
    </row>
    <row r="89" spans="1:6" ht="14.25" thickBot="1">
      <c r="A89" s="1530" t="s">
        <v>1539</v>
      </c>
      <c r="B89" s="1524" t="s">
        <v>1341</v>
      </c>
      <c r="C89" s="2120">
        <v>0.1</v>
      </c>
      <c r="D89" s="2120">
        <v>0.1</v>
      </c>
      <c r="E89" s="2120">
        <v>9.7000000000000003E-2</v>
      </c>
      <c r="F89" s="2132"/>
    </row>
    <row r="90" spans="1:6" ht="14.25" thickBot="1">
      <c r="A90" s="1530" t="s">
        <v>1539</v>
      </c>
      <c r="B90" s="1524" t="s">
        <v>1352</v>
      </c>
      <c r="C90" s="2120">
        <v>9.8000000000000004E-2</v>
      </c>
      <c r="D90" s="2120">
        <v>9.8000000000000004E-2</v>
      </c>
      <c r="E90" s="2120">
        <v>8.7999999999999995E-2</v>
      </c>
      <c r="F90" s="2132"/>
    </row>
    <row r="91" spans="1:6" ht="14.25" thickBot="1">
      <c r="A91" s="1530" t="s">
        <v>1539</v>
      </c>
      <c r="B91" s="1524" t="s">
        <v>1362</v>
      </c>
      <c r="C91" s="2120">
        <v>9.9000000000000005E-2</v>
      </c>
      <c r="D91" s="2120">
        <v>9.9000000000000005E-2</v>
      </c>
      <c r="E91" s="2120">
        <v>9.0999999999999998E-2</v>
      </c>
      <c r="F91" s="2132"/>
    </row>
    <row r="92" spans="1:6" ht="14.25" thickBot="1">
      <c r="A92" s="1530" t="s">
        <v>1539</v>
      </c>
      <c r="B92" s="1524" t="s">
        <v>1372</v>
      </c>
      <c r="C92" s="2120">
        <v>9.6000000000000002E-2</v>
      </c>
      <c r="D92" s="2120">
        <v>9.6000000000000002E-2</v>
      </c>
      <c r="E92" s="2120">
        <v>7.2999999999999995E-2</v>
      </c>
      <c r="F92" s="2132"/>
    </row>
    <row r="93" spans="1:6" ht="14.25" thickBot="1">
      <c r="A93" s="1530" t="s">
        <v>1539</v>
      </c>
      <c r="B93" s="1524" t="s">
        <v>1382</v>
      </c>
      <c r="C93" s="2120">
        <v>9.6000000000000002E-2</v>
      </c>
      <c r="D93" s="2120">
        <v>9.6000000000000002E-2</v>
      </c>
      <c r="E93" s="2120">
        <v>9.9000000000000005E-2</v>
      </c>
      <c r="F93" s="2132"/>
    </row>
    <row r="94" spans="1:6" ht="14.25" thickBot="1">
      <c r="A94" s="1530" t="s">
        <v>1539</v>
      </c>
      <c r="B94" s="1524" t="s">
        <v>1392</v>
      </c>
      <c r="C94" s="2120">
        <v>7.5999999999999998E-2</v>
      </c>
      <c r="D94" s="2120">
        <v>7.3999999999999996E-2</v>
      </c>
      <c r="E94" s="2120">
        <v>9.7000000000000003E-2</v>
      </c>
      <c r="F94" s="2132"/>
    </row>
    <row r="95" spans="1:6" ht="14.25" thickBot="1">
      <c r="A95" s="1530" t="s">
        <v>1539</v>
      </c>
      <c r="B95" s="1524" t="s">
        <v>1401</v>
      </c>
      <c r="C95" s="2120">
        <v>9.9000000000000005E-2</v>
      </c>
      <c r="D95" s="2120">
        <v>9.4E-2</v>
      </c>
      <c r="E95" s="2120">
        <v>9.6000000000000002E-2</v>
      </c>
      <c r="F95" s="2132"/>
    </row>
    <row r="96" spans="1:6" ht="14.25" thickBot="1">
      <c r="A96" s="1530" t="s">
        <v>1539</v>
      </c>
      <c r="B96" s="1524" t="s">
        <v>1410</v>
      </c>
      <c r="C96" s="2120">
        <v>9.9000000000000005E-2</v>
      </c>
      <c r="D96" s="2120">
        <v>9.9000000000000005E-2</v>
      </c>
      <c r="E96" s="2120">
        <v>9.9000000000000005E-2</v>
      </c>
      <c r="F96" s="2132"/>
    </row>
    <row r="97" spans="1:6" ht="14.25" thickBot="1">
      <c r="A97" s="1530" t="s">
        <v>1539</v>
      </c>
      <c r="B97" s="1524" t="s">
        <v>1418</v>
      </c>
      <c r="C97" s="2120">
        <v>9.8000000000000004E-2</v>
      </c>
      <c r="D97" s="2120">
        <v>9.8000000000000004E-2</v>
      </c>
      <c r="E97" s="2120">
        <v>9.7000000000000003E-2</v>
      </c>
      <c r="F97" s="2132"/>
    </row>
    <row r="98" spans="1:6" ht="14.25" thickBot="1">
      <c r="A98" s="1530" t="s">
        <v>1539</v>
      </c>
      <c r="B98" s="1524" t="s">
        <v>1425</v>
      </c>
      <c r="C98" s="2120">
        <v>0.1</v>
      </c>
      <c r="D98" s="2120">
        <v>0.1</v>
      </c>
      <c r="E98" s="2120">
        <v>9.7000000000000003E-2</v>
      </c>
      <c r="F98" s="2132"/>
    </row>
    <row r="99" spans="1:6" ht="14.25" thickBot="1">
      <c r="A99" s="1530" t="s">
        <v>1539</v>
      </c>
      <c r="B99" s="1524" t="s">
        <v>1432</v>
      </c>
      <c r="C99" s="2120">
        <v>0.1</v>
      </c>
      <c r="D99" s="2120">
        <v>0.1</v>
      </c>
      <c r="E99" s="2133"/>
      <c r="F99" s="2132"/>
    </row>
    <row r="100" spans="1:6" ht="14.25" thickBot="1">
      <c r="A100" s="1530" t="s">
        <v>1539</v>
      </c>
      <c r="B100" s="1524" t="s">
        <v>1439</v>
      </c>
      <c r="C100" s="2120">
        <v>0.09</v>
      </c>
      <c r="D100" s="2120">
        <v>8.8999999999999996E-2</v>
      </c>
      <c r="E100" s="2133"/>
      <c r="F100" s="2132"/>
    </row>
    <row r="101" spans="1:6" ht="14.25" thickBot="1">
      <c r="A101" s="1530" t="s">
        <v>1539</v>
      </c>
      <c r="B101" s="1524" t="s">
        <v>1446</v>
      </c>
      <c r="C101" s="2120">
        <v>9.8000000000000004E-2</v>
      </c>
      <c r="D101" s="2120">
        <v>9.7000000000000003E-2</v>
      </c>
      <c r="E101" s="2133"/>
      <c r="F101" s="2132"/>
    </row>
    <row r="102" spans="1:6" ht="14.25" thickBot="1">
      <c r="A102" s="1530" t="s">
        <v>1539</v>
      </c>
      <c r="B102" s="1524" t="s">
        <v>2157</v>
      </c>
      <c r="C102" s="2133"/>
      <c r="D102" s="2133"/>
      <c r="E102" s="2133"/>
      <c r="F102" s="2121">
        <v>0.05</v>
      </c>
    </row>
    <row r="103" spans="1:6" ht="24.75" thickBot="1">
      <c r="A103" s="1530" t="s">
        <v>1539</v>
      </c>
      <c r="B103" s="1524" t="s">
        <v>2158</v>
      </c>
      <c r="C103" s="2133"/>
      <c r="D103" s="2133"/>
      <c r="E103" s="2133"/>
      <c r="F103" s="2121">
        <v>0.05</v>
      </c>
    </row>
    <row r="104" spans="1:6" ht="14.25" thickBot="1">
      <c r="A104" s="1530" t="s">
        <v>1539</v>
      </c>
      <c r="B104" s="1524" t="s">
        <v>2159</v>
      </c>
      <c r="C104" s="2133"/>
      <c r="D104" s="2133"/>
      <c r="E104" s="2133"/>
      <c r="F104" s="2121">
        <v>0.05</v>
      </c>
    </row>
    <row r="105" spans="1:6" ht="14.25" thickBot="1">
      <c r="A105" s="1530" t="s">
        <v>1539</v>
      </c>
      <c r="B105" s="1524" t="s">
        <v>2160</v>
      </c>
      <c r="C105" s="2133"/>
      <c r="D105" s="2133"/>
      <c r="E105" s="2133"/>
      <c r="F105" s="2121">
        <v>0.05</v>
      </c>
    </row>
    <row r="106" spans="1:6" ht="14.25" thickBot="1">
      <c r="A106" s="1530" t="s">
        <v>1539</v>
      </c>
      <c r="B106" s="1524" t="s">
        <v>2161</v>
      </c>
      <c r="C106" s="2133"/>
      <c r="D106" s="2133"/>
      <c r="E106" s="2133"/>
      <c r="F106" s="2121">
        <v>0.05</v>
      </c>
    </row>
    <row r="107" spans="1:6" ht="24.75" thickBot="1">
      <c r="A107" s="1530" t="s">
        <v>1539</v>
      </c>
      <c r="B107" s="1524" t="s">
        <v>2162</v>
      </c>
      <c r="C107" s="2133"/>
      <c r="D107" s="2133"/>
      <c r="E107" s="2133"/>
      <c r="F107" s="2121">
        <v>0.05</v>
      </c>
    </row>
    <row r="108" spans="1:6" ht="24.75" thickBot="1">
      <c r="A108" s="1530" t="s">
        <v>1539</v>
      </c>
      <c r="B108" s="1524" t="s">
        <v>2163</v>
      </c>
      <c r="C108" s="2133"/>
      <c r="D108" s="2133"/>
      <c r="E108" s="2133"/>
      <c r="F108" s="2121">
        <v>0.05</v>
      </c>
    </row>
    <row r="109" spans="1:6" ht="24.75" thickBot="1">
      <c r="A109" s="1540" t="s">
        <v>1539</v>
      </c>
      <c r="B109" s="1536" t="s">
        <v>2164</v>
      </c>
      <c r="C109" s="2130"/>
      <c r="D109" s="2130"/>
      <c r="E109" s="2130"/>
      <c r="F109" s="2123">
        <v>0.05</v>
      </c>
    </row>
    <row r="110" spans="1:6" ht="14.25" thickBot="1">
      <c r="A110" s="1530" t="s">
        <v>203</v>
      </c>
      <c r="B110" s="1531" t="s">
        <v>2165</v>
      </c>
      <c r="C110" s="2118">
        <v>0.129</v>
      </c>
      <c r="D110" s="2118">
        <v>0.129</v>
      </c>
      <c r="E110" s="2118">
        <v>0.126</v>
      </c>
      <c r="F110" s="2119">
        <v>0.13</v>
      </c>
    </row>
    <row r="111" spans="1:6" ht="14.25" thickBot="1">
      <c r="A111" s="1530" t="s">
        <v>203</v>
      </c>
      <c r="B111" s="1524" t="s">
        <v>1208</v>
      </c>
      <c r="C111" s="2120">
        <v>0.11</v>
      </c>
      <c r="D111" s="2120">
        <v>0.11</v>
      </c>
      <c r="E111" s="2120">
        <v>9.9000000000000005E-2</v>
      </c>
      <c r="F111" s="2121">
        <v>0.128</v>
      </c>
    </row>
    <row r="112" spans="1:6" ht="14.25" thickBot="1">
      <c r="A112" s="1530" t="s">
        <v>203</v>
      </c>
      <c r="B112" s="1524" t="s">
        <v>1221</v>
      </c>
      <c r="C112" s="2120">
        <v>0.125</v>
      </c>
      <c r="D112" s="2120">
        <v>0.125</v>
      </c>
      <c r="E112" s="2120">
        <v>0.12</v>
      </c>
      <c r="F112" s="2121">
        <v>0.125</v>
      </c>
    </row>
    <row r="113" spans="1:6" ht="14.25" thickBot="1">
      <c r="A113" s="1530" t="s">
        <v>203</v>
      </c>
      <c r="B113" s="1524" t="s">
        <v>1234</v>
      </c>
      <c r="C113" s="2120">
        <v>0.13</v>
      </c>
      <c r="D113" s="2120">
        <v>0.13</v>
      </c>
      <c r="E113" s="2120">
        <v>0.13</v>
      </c>
      <c r="F113" s="2121">
        <v>0.13</v>
      </c>
    </row>
    <row r="114" spans="1:6" ht="14.25" thickBot="1">
      <c r="A114" s="1530" t="s">
        <v>203</v>
      </c>
      <c r="B114" s="1524" t="s">
        <v>1246</v>
      </c>
      <c r="C114" s="2120">
        <v>0.123</v>
      </c>
      <c r="D114" s="2120">
        <v>0.123</v>
      </c>
      <c r="E114" s="2120">
        <v>0.12</v>
      </c>
      <c r="F114" s="2121">
        <v>0.13</v>
      </c>
    </row>
    <row r="115" spans="1:6" ht="14.25" thickBot="1">
      <c r="A115" s="1530" t="s">
        <v>203</v>
      </c>
      <c r="B115" s="1524" t="s">
        <v>1257</v>
      </c>
      <c r="C115" s="2120">
        <v>0.125</v>
      </c>
      <c r="D115" s="2120">
        <v>0.125</v>
      </c>
      <c r="E115" s="2120">
        <v>0.11700000000000001</v>
      </c>
      <c r="F115" s="2121">
        <v>0.13</v>
      </c>
    </row>
    <row r="116" spans="1:6" ht="14.25" thickBot="1">
      <c r="A116" s="1530" t="s">
        <v>203</v>
      </c>
      <c r="B116" s="1524" t="s">
        <v>1268</v>
      </c>
      <c r="C116" s="2120">
        <v>0.11700000000000001</v>
      </c>
      <c r="D116" s="2120">
        <v>0.11700000000000001</v>
      </c>
      <c r="E116" s="2120">
        <v>8.7999999999999995E-2</v>
      </c>
      <c r="F116" s="2121">
        <v>0.13</v>
      </c>
    </row>
    <row r="117" spans="1:6" ht="14.25" thickBot="1">
      <c r="A117" s="1530" t="s">
        <v>203</v>
      </c>
      <c r="B117" s="1524" t="s">
        <v>1279</v>
      </c>
      <c r="C117" s="2120">
        <v>0.13</v>
      </c>
      <c r="D117" s="2120">
        <v>0.13</v>
      </c>
      <c r="E117" s="2120">
        <v>0.129</v>
      </c>
      <c r="F117" s="2121">
        <v>0.13</v>
      </c>
    </row>
    <row r="118" spans="1:6" ht="14.25" thickBot="1">
      <c r="A118" s="1530" t="s">
        <v>203</v>
      </c>
      <c r="B118" s="1524" t="s">
        <v>1291</v>
      </c>
      <c r="C118" s="2120">
        <v>0.123</v>
      </c>
      <c r="D118" s="2120">
        <v>0.123</v>
      </c>
      <c r="E118" s="2120">
        <v>0.11600000000000001</v>
      </c>
      <c r="F118" s="2121">
        <v>0.13</v>
      </c>
    </row>
    <row r="119" spans="1:6" ht="14.25" thickBot="1">
      <c r="A119" s="1530" t="s">
        <v>203</v>
      </c>
      <c r="B119" s="1524" t="s">
        <v>1301</v>
      </c>
      <c r="C119" s="2120">
        <v>0.127</v>
      </c>
      <c r="D119" s="2120">
        <v>0.127</v>
      </c>
      <c r="E119" s="2120">
        <v>0.124</v>
      </c>
      <c r="F119" s="2121">
        <v>0.13</v>
      </c>
    </row>
    <row r="120" spans="1:6" ht="14.25" thickBot="1">
      <c r="A120" s="1530" t="s">
        <v>203</v>
      </c>
      <c r="B120" s="1524" t="s">
        <v>1311</v>
      </c>
      <c r="C120" s="2120">
        <v>0.125</v>
      </c>
      <c r="D120" s="2120">
        <v>0.125</v>
      </c>
      <c r="E120" s="2120">
        <v>0.122</v>
      </c>
      <c r="F120" s="2121">
        <v>0.13</v>
      </c>
    </row>
    <row r="121" spans="1:6" ht="14.25" thickBot="1">
      <c r="A121" s="1530" t="s">
        <v>203</v>
      </c>
      <c r="B121" s="1524" t="s">
        <v>1321</v>
      </c>
      <c r="C121" s="2120">
        <v>0.13</v>
      </c>
      <c r="D121" s="2120">
        <v>0.13</v>
      </c>
      <c r="E121" s="2120">
        <v>0.13</v>
      </c>
      <c r="F121" s="2121">
        <v>0.13</v>
      </c>
    </row>
    <row r="122" spans="1:6" ht="14.25" thickBot="1">
      <c r="A122" s="1530" t="s">
        <v>203</v>
      </c>
      <c r="B122" s="1524" t="s">
        <v>1331</v>
      </c>
      <c r="C122" s="2120">
        <v>0.13</v>
      </c>
      <c r="D122" s="2120">
        <v>0.13</v>
      </c>
      <c r="E122" s="2120">
        <v>0.125</v>
      </c>
      <c r="F122" s="2121">
        <v>0.13</v>
      </c>
    </row>
    <row r="123" spans="1:6" ht="14.25" thickBot="1">
      <c r="A123" s="1530" t="s">
        <v>203</v>
      </c>
      <c r="B123" s="1524" t="s">
        <v>1342</v>
      </c>
      <c r="C123" s="2120">
        <v>0.129</v>
      </c>
      <c r="D123" s="2120">
        <v>0.129</v>
      </c>
      <c r="E123" s="2120">
        <v>0.123</v>
      </c>
      <c r="F123" s="2121">
        <v>0.13</v>
      </c>
    </row>
    <row r="124" spans="1:6" ht="14.25" thickBot="1">
      <c r="A124" s="1530" t="s">
        <v>203</v>
      </c>
      <c r="B124" s="1524" t="s">
        <v>1353</v>
      </c>
      <c r="C124" s="2120">
        <v>0.10199999999999999</v>
      </c>
      <c r="D124" s="2120">
        <v>0.10100000000000001</v>
      </c>
      <c r="E124" s="2120">
        <v>0.08</v>
      </c>
      <c r="F124" s="2132"/>
    </row>
    <row r="125" spans="1:6" ht="14.25" thickBot="1">
      <c r="A125" s="1530" t="s">
        <v>203</v>
      </c>
      <c r="B125" s="1524" t="s">
        <v>1363</v>
      </c>
      <c r="C125" s="2120">
        <v>0.13</v>
      </c>
      <c r="D125" s="2120">
        <v>0.13</v>
      </c>
      <c r="E125" s="2120">
        <v>0.129</v>
      </c>
      <c r="F125" s="2132"/>
    </row>
    <row r="126" spans="1:6" ht="14.25" thickBot="1">
      <c r="A126" s="1530" t="s">
        <v>203</v>
      </c>
      <c r="B126" s="1524" t="s">
        <v>1373</v>
      </c>
      <c r="C126" s="2120">
        <v>0.13</v>
      </c>
      <c r="D126" s="2120">
        <v>0.13</v>
      </c>
      <c r="E126" s="2120">
        <v>0.126</v>
      </c>
      <c r="F126" s="2132"/>
    </row>
    <row r="127" spans="1:6" ht="14.25" thickBot="1">
      <c r="A127" s="1530" t="s">
        <v>203</v>
      </c>
      <c r="B127" s="1524" t="s">
        <v>1383</v>
      </c>
      <c r="C127" s="2120">
        <v>0.125</v>
      </c>
      <c r="D127" s="2120">
        <v>0.125</v>
      </c>
      <c r="E127" s="2120">
        <v>0.121</v>
      </c>
      <c r="F127" s="2132"/>
    </row>
    <row r="128" spans="1:6" ht="14.25" thickBot="1">
      <c r="A128" s="1530" t="s">
        <v>203</v>
      </c>
      <c r="B128" s="1524" t="s">
        <v>1393</v>
      </c>
      <c r="C128" s="2120">
        <v>0.12</v>
      </c>
      <c r="D128" s="2120">
        <v>0.12</v>
      </c>
      <c r="E128" s="2120">
        <v>0.105</v>
      </c>
      <c r="F128" s="2132"/>
    </row>
    <row r="129" spans="1:6" ht="14.25" thickBot="1">
      <c r="A129" s="1530" t="s">
        <v>203</v>
      </c>
      <c r="B129" s="1524" t="s">
        <v>1402</v>
      </c>
      <c r="C129" s="2120">
        <v>0.13</v>
      </c>
      <c r="D129" s="2120">
        <v>0.13</v>
      </c>
      <c r="E129" s="2120">
        <v>0.126</v>
      </c>
      <c r="F129" s="2132"/>
    </row>
    <row r="130" spans="1:6" ht="14.25" thickBot="1">
      <c r="A130" s="1530" t="s">
        <v>203</v>
      </c>
      <c r="B130" s="1524" t="s">
        <v>1411</v>
      </c>
      <c r="C130" s="2120">
        <v>0.125</v>
      </c>
      <c r="D130" s="2120">
        <v>0.125</v>
      </c>
      <c r="E130" s="2120">
        <v>0.122</v>
      </c>
      <c r="F130" s="2132"/>
    </row>
    <row r="131" spans="1:6" ht="14.25" thickBot="1">
      <c r="A131" s="1530" t="s">
        <v>203</v>
      </c>
      <c r="B131" s="1524" t="s">
        <v>1419</v>
      </c>
      <c r="C131" s="2120">
        <v>0.127</v>
      </c>
      <c r="D131" s="2120">
        <v>0.126</v>
      </c>
      <c r="E131" s="2120">
        <v>0.123</v>
      </c>
      <c r="F131" s="2132"/>
    </row>
    <row r="132" spans="1:6" ht="14.25" thickBot="1">
      <c r="A132" s="1530" t="s">
        <v>203</v>
      </c>
      <c r="B132" s="1524" t="s">
        <v>1426</v>
      </c>
      <c r="C132" s="2120">
        <v>9.0999999999999998E-2</v>
      </c>
      <c r="D132" s="2120">
        <v>0.121</v>
      </c>
      <c r="E132" s="2120">
        <v>9.9000000000000005E-2</v>
      </c>
      <c r="F132" s="2132"/>
    </row>
    <row r="133" spans="1:6" ht="14.25" thickBot="1">
      <c r="A133" s="1530" t="s">
        <v>203</v>
      </c>
      <c r="B133" s="1524" t="s">
        <v>1433</v>
      </c>
      <c r="C133" s="2120">
        <v>0.13</v>
      </c>
      <c r="D133" s="2120">
        <v>0.13</v>
      </c>
      <c r="E133" s="2120">
        <v>0.129</v>
      </c>
      <c r="F133" s="2132"/>
    </row>
    <row r="134" spans="1:6" ht="14.25" thickBot="1">
      <c r="A134" s="1530" t="s">
        <v>203</v>
      </c>
      <c r="B134" s="1524" t="s">
        <v>2166</v>
      </c>
      <c r="C134" s="2120">
        <v>6.8000000000000005E-2</v>
      </c>
      <c r="D134" s="2120">
        <v>6.5000000000000002E-2</v>
      </c>
      <c r="E134" s="2120">
        <v>6.5000000000000002E-2</v>
      </c>
      <c r="F134" s="2121">
        <v>0.13</v>
      </c>
    </row>
    <row r="135" spans="1:6" ht="14.25" thickBot="1">
      <c r="A135" s="1530" t="s">
        <v>203</v>
      </c>
      <c r="B135" s="1524" t="s">
        <v>1447</v>
      </c>
      <c r="C135" s="2120">
        <v>0.123</v>
      </c>
      <c r="D135" s="2120">
        <v>0.123</v>
      </c>
      <c r="E135" s="2120">
        <v>0.11</v>
      </c>
      <c r="F135" s="2132"/>
    </row>
    <row r="136" spans="1:6" ht="14.25" thickBot="1">
      <c r="A136" s="1530" t="s">
        <v>203</v>
      </c>
      <c r="B136" s="1524" t="s">
        <v>1454</v>
      </c>
      <c r="C136" s="2120">
        <v>0.13</v>
      </c>
      <c r="D136" s="2120">
        <v>0.13</v>
      </c>
      <c r="E136" s="2120">
        <v>0.125</v>
      </c>
      <c r="F136" s="2132"/>
    </row>
    <row r="137" spans="1:6" ht="14.25" thickBot="1">
      <c r="A137" s="1530" t="s">
        <v>203</v>
      </c>
      <c r="B137" s="1524" t="s">
        <v>1461</v>
      </c>
      <c r="C137" s="2120">
        <v>0.121</v>
      </c>
      <c r="D137" s="2120">
        <v>0.122</v>
      </c>
      <c r="E137" s="2120">
        <v>0.115</v>
      </c>
      <c r="F137" s="2132"/>
    </row>
    <row r="138" spans="1:6" ht="14.25" thickBot="1">
      <c r="A138" s="1530" t="s">
        <v>203</v>
      </c>
      <c r="B138" s="1524" t="s">
        <v>2167</v>
      </c>
      <c r="C138" s="2120">
        <v>0.105</v>
      </c>
      <c r="D138" s="2120">
        <v>0.125</v>
      </c>
      <c r="E138" s="2120">
        <v>0.112</v>
      </c>
      <c r="F138" s="2132"/>
    </row>
    <row r="139" spans="1:6" ht="14.25" thickBot="1">
      <c r="A139" s="1530" t="s">
        <v>203</v>
      </c>
      <c r="B139" s="1524" t="s">
        <v>2168</v>
      </c>
      <c r="C139" s="2120">
        <v>0.127</v>
      </c>
      <c r="D139" s="2120">
        <v>0.127</v>
      </c>
      <c r="E139" s="2120">
        <v>0.122</v>
      </c>
      <c r="F139" s="2121">
        <v>0.13</v>
      </c>
    </row>
    <row r="140" spans="1:6" ht="14.25" thickBot="1">
      <c r="A140" s="1530" t="s">
        <v>203</v>
      </c>
      <c r="B140" s="1524" t="s">
        <v>2169</v>
      </c>
      <c r="C140" s="2120">
        <v>0.125</v>
      </c>
      <c r="D140" s="2120">
        <v>0.125</v>
      </c>
      <c r="E140" s="2120">
        <v>0.11899999999999999</v>
      </c>
      <c r="F140" s="2121">
        <v>0.13</v>
      </c>
    </row>
    <row r="141" spans="1:6" ht="14.25" thickBot="1">
      <c r="A141" s="1530" t="s">
        <v>203</v>
      </c>
      <c r="B141" s="1524" t="s">
        <v>1480</v>
      </c>
      <c r="C141" s="2120">
        <v>0.125</v>
      </c>
      <c r="D141" s="2120">
        <v>0.125</v>
      </c>
      <c r="E141" s="2120">
        <v>0.11700000000000001</v>
      </c>
      <c r="F141" s="2132"/>
    </row>
    <row r="142" spans="1:6" ht="14.25" thickBot="1">
      <c r="A142" s="1530" t="s">
        <v>203</v>
      </c>
      <c r="B142" s="1524" t="s">
        <v>1485</v>
      </c>
      <c r="C142" s="2120">
        <v>0.125</v>
      </c>
      <c r="D142" s="2120">
        <v>0.125</v>
      </c>
      <c r="E142" s="2120">
        <v>0.115</v>
      </c>
      <c r="F142" s="2132"/>
    </row>
    <row r="143" spans="1:6" ht="14.25" thickBot="1">
      <c r="A143" s="1530" t="s">
        <v>203</v>
      </c>
      <c r="B143" s="1524" t="s">
        <v>1490</v>
      </c>
      <c r="C143" s="2120">
        <v>0.121</v>
      </c>
      <c r="D143" s="2120">
        <v>0.121</v>
      </c>
      <c r="E143" s="2120">
        <v>0.108</v>
      </c>
      <c r="F143" s="2132"/>
    </row>
    <row r="144" spans="1:6" ht="14.25" thickBot="1">
      <c r="A144" s="1530" t="s">
        <v>203</v>
      </c>
      <c r="B144" s="2124" t="s">
        <v>2170</v>
      </c>
      <c r="C144" s="2125">
        <v>0.126</v>
      </c>
      <c r="D144" s="2125">
        <v>0.126</v>
      </c>
      <c r="E144" s="2125">
        <v>0.121</v>
      </c>
      <c r="F144" s="2132"/>
    </row>
    <row r="145" spans="1:6" ht="14.25" thickBot="1">
      <c r="A145" s="1540" t="s">
        <v>203</v>
      </c>
      <c r="B145" s="2126" t="s">
        <v>2171</v>
      </c>
      <c r="C145" s="2134"/>
      <c r="D145" s="2134"/>
      <c r="E145" s="2134"/>
      <c r="F145" s="2127">
        <v>0.05</v>
      </c>
    </row>
    <row r="146" spans="1:6" ht="24.75" thickBot="1">
      <c r="A146" s="2128" t="s">
        <v>203</v>
      </c>
      <c r="B146" s="1534" t="s">
        <v>2172</v>
      </c>
      <c r="C146" s="2133"/>
      <c r="D146" s="2133"/>
      <c r="E146" s="2133"/>
      <c r="F146" s="2129">
        <v>0.05</v>
      </c>
    </row>
    <row r="147" spans="1:6" ht="24.75" thickBot="1">
      <c r="A147" s="1530" t="s">
        <v>203</v>
      </c>
      <c r="B147" s="1524" t="s">
        <v>2173</v>
      </c>
      <c r="C147" s="2133"/>
      <c r="D147" s="2133"/>
      <c r="E147" s="2133"/>
      <c r="F147" s="2121">
        <v>0.05</v>
      </c>
    </row>
    <row r="148" spans="1:6" ht="24.75" thickBot="1">
      <c r="A148" s="1530" t="s">
        <v>203</v>
      </c>
      <c r="B148" s="1524" t="s">
        <v>2174</v>
      </c>
      <c r="C148" s="2133"/>
      <c r="D148" s="2133"/>
      <c r="E148" s="2133"/>
      <c r="F148" s="2121">
        <v>0.05</v>
      </c>
    </row>
    <row r="149" spans="1:6" ht="24.75" thickBot="1">
      <c r="A149" s="1530" t="s">
        <v>203</v>
      </c>
      <c r="B149" s="1524" t="s">
        <v>2175</v>
      </c>
      <c r="C149" s="2133"/>
      <c r="D149" s="2133"/>
      <c r="E149" s="2133"/>
      <c r="F149" s="2121">
        <v>0.05</v>
      </c>
    </row>
    <row r="150" spans="1:6" ht="24.75" thickBot="1">
      <c r="A150" s="1530" t="s">
        <v>203</v>
      </c>
      <c r="B150" s="1524" t="s">
        <v>2176</v>
      </c>
      <c r="C150" s="2133"/>
      <c r="D150" s="2133"/>
      <c r="E150" s="2133"/>
      <c r="F150" s="2121">
        <v>0.05</v>
      </c>
    </row>
    <row r="151" spans="1:6" ht="24.75" thickBot="1">
      <c r="A151" s="1530" t="s">
        <v>203</v>
      </c>
      <c r="B151" s="1524" t="s">
        <v>2177</v>
      </c>
      <c r="C151" s="2133"/>
      <c r="D151" s="2133"/>
      <c r="E151" s="2133"/>
      <c r="F151" s="2121">
        <v>0.05</v>
      </c>
    </row>
    <row r="152" spans="1:6" ht="24.75" thickBot="1">
      <c r="A152" s="1530" t="s">
        <v>203</v>
      </c>
      <c r="B152" s="1524" t="s">
        <v>1523</v>
      </c>
      <c r="C152" s="2133"/>
      <c r="D152" s="2133"/>
      <c r="E152" s="2133"/>
      <c r="F152" s="2121">
        <v>0.05</v>
      </c>
    </row>
    <row r="153" spans="1:6" ht="14.25" thickBot="1">
      <c r="A153" s="1530" t="s">
        <v>203</v>
      </c>
      <c r="B153" s="1524" t="s">
        <v>2178</v>
      </c>
      <c r="C153" s="2133"/>
      <c r="D153" s="2133"/>
      <c r="E153" s="2133"/>
      <c r="F153" s="2121">
        <v>0.05</v>
      </c>
    </row>
    <row r="154" spans="1:6" ht="14.25" thickBot="1">
      <c r="A154" s="1530" t="s">
        <v>203</v>
      </c>
      <c r="B154" s="1524" t="s">
        <v>2179</v>
      </c>
      <c r="C154" s="2133"/>
      <c r="D154" s="2133"/>
      <c r="E154" s="2133"/>
      <c r="F154" s="2121">
        <v>0.05</v>
      </c>
    </row>
    <row r="155" spans="1:6" ht="24.75" thickBot="1">
      <c r="A155" s="1530" t="s">
        <v>203</v>
      </c>
      <c r="B155" s="1524" t="s">
        <v>2180</v>
      </c>
      <c r="C155" s="2133"/>
      <c r="D155" s="2133"/>
      <c r="E155" s="2133"/>
      <c r="F155" s="2121">
        <v>0.05</v>
      </c>
    </row>
    <row r="156" spans="1:6" ht="24.75" thickBot="1">
      <c r="A156" s="1530" t="s">
        <v>203</v>
      </c>
      <c r="B156" s="1524" t="s">
        <v>2181</v>
      </c>
      <c r="C156" s="2133"/>
      <c r="D156" s="2133"/>
      <c r="E156" s="2133"/>
      <c r="F156" s="2121">
        <v>0.05</v>
      </c>
    </row>
    <row r="157" spans="1:6" ht="14.25" thickBot="1">
      <c r="A157" s="1540" t="s">
        <v>203</v>
      </c>
      <c r="B157" s="1536" t="s">
        <v>2182</v>
      </c>
      <c r="C157" s="2130"/>
      <c r="D157" s="2130"/>
      <c r="E157" s="2130"/>
      <c r="F157" s="2123">
        <v>0.05</v>
      </c>
    </row>
    <row r="158" spans="1:6" ht="14.25" thickBot="1">
      <c r="A158" s="1530" t="s">
        <v>1542</v>
      </c>
      <c r="B158" s="1531" t="s">
        <v>2183</v>
      </c>
      <c r="C158" s="2118">
        <v>0.13</v>
      </c>
      <c r="D158" s="2118">
        <v>0.13</v>
      </c>
      <c r="E158" s="2118">
        <v>0.13</v>
      </c>
      <c r="F158" s="2119">
        <v>0.13</v>
      </c>
    </row>
    <row r="159" spans="1:6" ht="14.25" thickBot="1">
      <c r="A159" s="1530" t="s">
        <v>1542</v>
      </c>
      <c r="B159" s="1524" t="s">
        <v>1209</v>
      </c>
      <c r="C159" s="2120">
        <v>0.13</v>
      </c>
      <c r="D159" s="2120">
        <v>0.13</v>
      </c>
      <c r="E159" s="2120">
        <v>0.13</v>
      </c>
      <c r="F159" s="2121">
        <v>0.13</v>
      </c>
    </row>
    <row r="160" spans="1:6" ht="14.25" thickBot="1">
      <c r="A160" s="1530" t="s">
        <v>1542</v>
      </c>
      <c r="B160" s="1524" t="s">
        <v>1222</v>
      </c>
      <c r="C160" s="2120">
        <v>0.13</v>
      </c>
      <c r="D160" s="2120">
        <v>0.13</v>
      </c>
      <c r="E160" s="2120">
        <v>0.129</v>
      </c>
      <c r="F160" s="2121">
        <v>0.13</v>
      </c>
    </row>
    <row r="161" spans="1:6" ht="14.25" thickBot="1">
      <c r="A161" s="1530" t="s">
        <v>1542</v>
      </c>
      <c r="B161" s="1524" t="s">
        <v>1235</v>
      </c>
      <c r="C161" s="2120">
        <v>0.128</v>
      </c>
      <c r="D161" s="2120">
        <v>0.128</v>
      </c>
      <c r="E161" s="2120">
        <v>0.125</v>
      </c>
      <c r="F161" s="2121">
        <v>0.13</v>
      </c>
    </row>
    <row r="162" spans="1:6" ht="14.25" thickBot="1">
      <c r="A162" s="1530" t="s">
        <v>1542</v>
      </c>
      <c r="B162" s="1524" t="s">
        <v>1247</v>
      </c>
      <c r="C162" s="2120">
        <v>0.122</v>
      </c>
      <c r="D162" s="2120">
        <v>0.122</v>
      </c>
      <c r="E162" s="2120">
        <v>0.126</v>
      </c>
      <c r="F162" s="2121">
        <v>0.122</v>
      </c>
    </row>
    <row r="163" spans="1:6" ht="14.25" thickBot="1">
      <c r="A163" s="1530" t="s">
        <v>1542</v>
      </c>
      <c r="B163" s="1524" t="s">
        <v>1258</v>
      </c>
      <c r="C163" s="2120">
        <v>0.13</v>
      </c>
      <c r="D163" s="2120">
        <v>0.13</v>
      </c>
      <c r="E163" s="2120">
        <v>0.125</v>
      </c>
      <c r="F163" s="2121">
        <v>0.13</v>
      </c>
    </row>
    <row r="164" spans="1:6" ht="14.25" thickBot="1">
      <c r="A164" s="1530" t="s">
        <v>1542</v>
      </c>
      <c r="B164" s="1524" t="s">
        <v>1269</v>
      </c>
      <c r="C164" s="2120">
        <v>0.13</v>
      </c>
      <c r="D164" s="2120">
        <v>0.13</v>
      </c>
      <c r="E164" s="2120">
        <v>0.13</v>
      </c>
      <c r="F164" s="2121">
        <v>0.13</v>
      </c>
    </row>
    <row r="165" spans="1:6" ht="14.25" thickBot="1">
      <c r="A165" s="1530" t="s">
        <v>1542</v>
      </c>
      <c r="B165" s="1524" t="s">
        <v>1280</v>
      </c>
      <c r="C165" s="2120">
        <v>0.13</v>
      </c>
      <c r="D165" s="2120">
        <v>0.13</v>
      </c>
      <c r="E165" s="2120">
        <v>0.124</v>
      </c>
      <c r="F165" s="2121">
        <v>0.13</v>
      </c>
    </row>
    <row r="166" spans="1:6" ht="14.25" thickBot="1">
      <c r="A166" s="1530" t="s">
        <v>1542</v>
      </c>
      <c r="B166" s="1524" t="s">
        <v>1292</v>
      </c>
      <c r="C166" s="2120">
        <v>0.13</v>
      </c>
      <c r="D166" s="2120">
        <v>0.13</v>
      </c>
      <c r="E166" s="2120">
        <v>0.13</v>
      </c>
      <c r="F166" s="2121">
        <v>0.13</v>
      </c>
    </row>
    <row r="167" spans="1:6" ht="14.25" thickBot="1">
      <c r="A167" s="1530" t="s">
        <v>1542</v>
      </c>
      <c r="B167" s="1524" t="s">
        <v>1302</v>
      </c>
      <c r="C167" s="2120">
        <v>0.125</v>
      </c>
      <c r="D167" s="2120">
        <v>0.125</v>
      </c>
      <c r="E167" s="2120">
        <v>0.121</v>
      </c>
      <c r="F167" s="2132"/>
    </row>
    <row r="168" spans="1:6" ht="14.25" thickBot="1">
      <c r="A168" s="1530" t="s">
        <v>1542</v>
      </c>
      <c r="B168" s="1524" t="s">
        <v>1312</v>
      </c>
      <c r="C168" s="2120">
        <v>0.13</v>
      </c>
      <c r="D168" s="2120">
        <v>0.13</v>
      </c>
      <c r="E168" s="2120">
        <v>0.126</v>
      </c>
      <c r="F168" s="2132"/>
    </row>
    <row r="169" spans="1:6" ht="14.25" thickBot="1">
      <c r="A169" s="1530" t="s">
        <v>1542</v>
      </c>
      <c r="B169" s="1524" t="s">
        <v>1322</v>
      </c>
      <c r="C169" s="2120">
        <v>0.128</v>
      </c>
      <c r="D169" s="2120">
        <v>0.129</v>
      </c>
      <c r="E169" s="2120">
        <v>0.13</v>
      </c>
      <c r="F169" s="2132"/>
    </row>
    <row r="170" spans="1:6" ht="14.25" thickBot="1">
      <c r="A170" s="1530" t="s">
        <v>1542</v>
      </c>
      <c r="B170" s="1524" t="s">
        <v>1332</v>
      </c>
      <c r="C170" s="2120">
        <v>0.14099999999999999</v>
      </c>
      <c r="D170" s="2120">
        <v>0.13</v>
      </c>
      <c r="E170" s="2120">
        <v>0.125</v>
      </c>
      <c r="F170" s="2132"/>
    </row>
    <row r="171" spans="1:6" ht="14.25" thickBot="1">
      <c r="A171" s="1530" t="s">
        <v>1542</v>
      </c>
      <c r="B171" s="1524" t="s">
        <v>2184</v>
      </c>
      <c r="C171" s="2120">
        <v>0.127</v>
      </c>
      <c r="D171" s="2120">
        <v>0.126</v>
      </c>
      <c r="E171" s="2120">
        <v>0.126</v>
      </c>
      <c r="F171" s="2121">
        <v>0.11799999999999999</v>
      </c>
    </row>
    <row r="172" spans="1:6" ht="14.25" thickBot="1">
      <c r="A172" s="1530" t="s">
        <v>1542</v>
      </c>
      <c r="B172" s="1524" t="s">
        <v>2185</v>
      </c>
      <c r="C172" s="2120">
        <v>0.13</v>
      </c>
      <c r="D172" s="2120">
        <v>0.13</v>
      </c>
      <c r="E172" s="2120">
        <v>0.13</v>
      </c>
      <c r="F172" s="2132"/>
    </row>
    <row r="173" spans="1:6" ht="14.25" thickBot="1">
      <c r="A173" s="1530" t="s">
        <v>1542</v>
      </c>
      <c r="B173" s="1524" t="s">
        <v>1364</v>
      </c>
      <c r="C173" s="2120">
        <v>0.13</v>
      </c>
      <c r="D173" s="2120">
        <v>0.13</v>
      </c>
      <c r="E173" s="2120">
        <v>0.13</v>
      </c>
      <c r="F173" s="2132"/>
    </row>
    <row r="174" spans="1:6" ht="14.25" thickBot="1">
      <c r="A174" s="1530" t="s">
        <v>1542</v>
      </c>
      <c r="B174" s="1524" t="s">
        <v>2186</v>
      </c>
      <c r="C174" s="2120">
        <v>0.13</v>
      </c>
      <c r="D174" s="2120">
        <v>0.13</v>
      </c>
      <c r="E174" s="2120">
        <v>0.13</v>
      </c>
      <c r="F174" s="2121">
        <v>0.13</v>
      </c>
    </row>
    <row r="175" spans="1:6" ht="14.25" thickBot="1">
      <c r="A175" s="1530" t="s">
        <v>1542</v>
      </c>
      <c r="B175" s="1524" t="s">
        <v>2187</v>
      </c>
      <c r="C175" s="2120">
        <v>0.13</v>
      </c>
      <c r="D175" s="2120">
        <v>0.13</v>
      </c>
      <c r="E175" s="2120">
        <v>0.13</v>
      </c>
      <c r="F175" s="2121">
        <v>0.13</v>
      </c>
    </row>
    <row r="176" spans="1:6" ht="14.25" thickBot="1">
      <c r="A176" s="1530" t="s">
        <v>1542</v>
      </c>
      <c r="B176" s="1524" t="s">
        <v>1394</v>
      </c>
      <c r="C176" s="2120">
        <v>0.13</v>
      </c>
      <c r="D176" s="2120">
        <v>0.13</v>
      </c>
      <c r="E176" s="2120">
        <v>0.13</v>
      </c>
      <c r="F176" s="2121">
        <v>0.13</v>
      </c>
    </row>
    <row r="177" spans="1:6" ht="14.25" thickBot="1">
      <c r="A177" s="1530" t="s">
        <v>1542</v>
      </c>
      <c r="B177" s="1524" t="s">
        <v>2188</v>
      </c>
      <c r="C177" s="2120">
        <v>0.13</v>
      </c>
      <c r="D177" s="2120">
        <v>0.13</v>
      </c>
      <c r="E177" s="2120">
        <v>0.13</v>
      </c>
      <c r="F177" s="2121">
        <v>0.13</v>
      </c>
    </row>
    <row r="178" spans="1:6" ht="14.25" thickBot="1">
      <c r="A178" s="1530" t="s">
        <v>1542</v>
      </c>
      <c r="B178" s="1524" t="s">
        <v>1412</v>
      </c>
      <c r="C178" s="2120">
        <v>0.13</v>
      </c>
      <c r="D178" s="2120">
        <v>0.13</v>
      </c>
      <c r="E178" s="2120">
        <v>0.13</v>
      </c>
      <c r="F178" s="2121">
        <v>0.127</v>
      </c>
    </row>
    <row r="179" spans="1:6" ht="14.25" thickBot="1">
      <c r="A179" s="1530" t="s">
        <v>1542</v>
      </c>
      <c r="B179" s="1524" t="s">
        <v>1420</v>
      </c>
      <c r="C179" s="2120">
        <v>0.13</v>
      </c>
      <c r="D179" s="2120">
        <v>0.13</v>
      </c>
      <c r="E179" s="2120">
        <v>0.13</v>
      </c>
      <c r="F179" s="2132"/>
    </row>
    <row r="180" spans="1:6" ht="14.25" thickBot="1">
      <c r="A180" s="1530" t="s">
        <v>1542</v>
      </c>
      <c r="B180" s="1524" t="s">
        <v>2189</v>
      </c>
      <c r="C180" s="2120">
        <v>0.13</v>
      </c>
      <c r="D180" s="2120">
        <v>0.13</v>
      </c>
      <c r="E180" s="2120">
        <v>0.125</v>
      </c>
      <c r="F180" s="2121">
        <v>0.13</v>
      </c>
    </row>
    <row r="181" spans="1:6" ht="14.25" thickBot="1">
      <c r="A181" s="1530" t="s">
        <v>1542</v>
      </c>
      <c r="B181" s="1524" t="s">
        <v>1434</v>
      </c>
      <c r="C181" s="2120">
        <v>0.122</v>
      </c>
      <c r="D181" s="2120">
        <v>0.123</v>
      </c>
      <c r="E181" s="2120">
        <v>0.126</v>
      </c>
      <c r="F181" s="2121">
        <v>0.121</v>
      </c>
    </row>
    <row r="182" spans="1:6" ht="14.25" thickBot="1">
      <c r="A182" s="1530" t="s">
        <v>1542</v>
      </c>
      <c r="B182" s="1524" t="s">
        <v>1441</v>
      </c>
      <c r="C182" s="2120">
        <v>0.125</v>
      </c>
      <c r="D182" s="2120">
        <v>0.125</v>
      </c>
      <c r="E182" s="2120">
        <v>0.11700000000000001</v>
      </c>
      <c r="F182" s="2121">
        <v>0.13</v>
      </c>
    </row>
    <row r="183" spans="1:6" ht="14.25" thickBot="1">
      <c r="A183" s="1530" t="s">
        <v>1542</v>
      </c>
      <c r="B183" s="1524" t="s">
        <v>1448</v>
      </c>
      <c r="C183" s="2120">
        <v>0.127</v>
      </c>
      <c r="D183" s="2120">
        <v>0.127</v>
      </c>
      <c r="E183" s="2120">
        <v>0.128</v>
      </c>
      <c r="F183" s="2132"/>
    </row>
    <row r="184" spans="1:6" ht="14.25" thickBot="1">
      <c r="A184" s="1530" t="s">
        <v>1542</v>
      </c>
      <c r="B184" s="1524" t="s">
        <v>1455</v>
      </c>
      <c r="C184" s="2120">
        <v>0.125</v>
      </c>
      <c r="D184" s="2120">
        <v>0.125</v>
      </c>
      <c r="E184" s="2120">
        <v>0.127</v>
      </c>
      <c r="F184" s="2132"/>
    </row>
    <row r="185" spans="1:6" ht="14.25" thickBot="1">
      <c r="A185" s="1530" t="s">
        <v>1542</v>
      </c>
      <c r="B185" s="1524" t="s">
        <v>2190</v>
      </c>
      <c r="C185" s="2120">
        <v>0.127</v>
      </c>
      <c r="D185" s="2120">
        <v>0.127</v>
      </c>
      <c r="E185" s="2120">
        <v>0.128</v>
      </c>
      <c r="F185" s="2121">
        <v>0.13</v>
      </c>
    </row>
    <row r="186" spans="1:6" ht="24.75" thickBot="1">
      <c r="A186" s="1530" t="s">
        <v>1542</v>
      </c>
      <c r="B186" s="1524" t="s">
        <v>2191</v>
      </c>
      <c r="C186" s="2133"/>
      <c r="D186" s="2133"/>
      <c r="E186" s="2133"/>
      <c r="F186" s="2121">
        <v>0.05</v>
      </c>
    </row>
    <row r="187" spans="1:6" ht="14.25" thickBot="1">
      <c r="A187" s="1530" t="s">
        <v>1542</v>
      </c>
      <c r="B187" s="1524" t="s">
        <v>2192</v>
      </c>
      <c r="C187" s="2133"/>
      <c r="D187" s="2133"/>
      <c r="E187" s="2133"/>
      <c r="F187" s="2121">
        <v>0.05</v>
      </c>
    </row>
    <row r="188" spans="1:6" ht="14.25" thickBot="1">
      <c r="A188" s="1530" t="s">
        <v>1542</v>
      </c>
      <c r="B188" s="1524" t="s">
        <v>2193</v>
      </c>
      <c r="C188" s="2133"/>
      <c r="D188" s="2133"/>
      <c r="E188" s="2133"/>
      <c r="F188" s="2121">
        <v>0.05</v>
      </c>
    </row>
    <row r="189" spans="1:6" ht="24.75" thickBot="1">
      <c r="A189" s="1530" t="s">
        <v>1542</v>
      </c>
      <c r="B189" s="1524" t="s">
        <v>2194</v>
      </c>
      <c r="C189" s="2133"/>
      <c r="D189" s="2133"/>
      <c r="E189" s="2133"/>
      <c r="F189" s="2121">
        <v>0.05</v>
      </c>
    </row>
    <row r="190" spans="1:6" ht="24.75" thickBot="1">
      <c r="A190" s="1530" t="s">
        <v>1542</v>
      </c>
      <c r="B190" s="1524" t="s">
        <v>2195</v>
      </c>
      <c r="C190" s="2133"/>
      <c r="D190" s="2133"/>
      <c r="E190" s="2133"/>
      <c r="F190" s="2121">
        <v>0.05</v>
      </c>
    </row>
    <row r="191" spans="1:6" ht="24.75" thickBot="1">
      <c r="A191" s="1530" t="s">
        <v>1542</v>
      </c>
      <c r="B191" s="1524" t="s">
        <v>2196</v>
      </c>
      <c r="C191" s="2133"/>
      <c r="D191" s="2133"/>
      <c r="E191" s="2133"/>
      <c r="F191" s="2121">
        <v>0.05</v>
      </c>
    </row>
    <row r="192" spans="1:6" ht="24.75" thickBot="1">
      <c r="A192" s="1530" t="s">
        <v>1542</v>
      </c>
      <c r="B192" s="1524" t="s">
        <v>2197</v>
      </c>
      <c r="C192" s="2133"/>
      <c r="D192" s="2133"/>
      <c r="E192" s="2133"/>
      <c r="F192" s="2121">
        <v>0.05</v>
      </c>
    </row>
    <row r="193" spans="1:6" ht="24.75" thickBot="1">
      <c r="A193" s="1530" t="s">
        <v>1542</v>
      </c>
      <c r="B193" s="1524" t="s">
        <v>2198</v>
      </c>
      <c r="C193" s="2133"/>
      <c r="D193" s="2133"/>
      <c r="E193" s="2133"/>
      <c r="F193" s="2121">
        <v>0.05</v>
      </c>
    </row>
    <row r="194" spans="1:6" ht="24.75" thickBot="1">
      <c r="A194" s="1530" t="s">
        <v>1542</v>
      </c>
      <c r="B194" s="1524" t="s">
        <v>2199</v>
      </c>
      <c r="C194" s="2133"/>
      <c r="D194" s="2133"/>
      <c r="E194" s="2133"/>
      <c r="F194" s="2121">
        <v>0.05</v>
      </c>
    </row>
    <row r="195" spans="1:6" ht="14.25" thickBot="1">
      <c r="A195" s="1530" t="s">
        <v>1542</v>
      </c>
      <c r="B195" s="1524" t="s">
        <v>2200</v>
      </c>
      <c r="C195" s="2133"/>
      <c r="D195" s="2133"/>
      <c r="E195" s="2133"/>
      <c r="F195" s="2121">
        <v>0.05</v>
      </c>
    </row>
    <row r="196" spans="1:6" ht="24.75" thickBot="1">
      <c r="A196" s="1530" t="s">
        <v>1542</v>
      </c>
      <c r="B196" s="1524" t="s">
        <v>2201</v>
      </c>
      <c r="C196" s="2133"/>
      <c r="D196" s="2133"/>
      <c r="E196" s="2133"/>
      <c r="F196" s="2121">
        <v>0.05</v>
      </c>
    </row>
    <row r="197" spans="1:6" ht="24.75" thickBot="1">
      <c r="A197" s="1530" t="s">
        <v>1542</v>
      </c>
      <c r="B197" s="1524" t="s">
        <v>2202</v>
      </c>
      <c r="C197" s="2133"/>
      <c r="D197" s="2133"/>
      <c r="E197" s="2133"/>
      <c r="F197" s="2121">
        <v>0.05</v>
      </c>
    </row>
    <row r="198" spans="1:6" ht="24.75" thickBot="1">
      <c r="A198" s="1530" t="s">
        <v>1542</v>
      </c>
      <c r="B198" s="1524" t="s">
        <v>2203</v>
      </c>
      <c r="C198" s="2133"/>
      <c r="D198" s="2133"/>
      <c r="E198" s="2133"/>
      <c r="F198" s="2121">
        <v>0.05</v>
      </c>
    </row>
    <row r="199" spans="1:6" ht="24.75" thickBot="1">
      <c r="A199" s="1530" t="s">
        <v>1542</v>
      </c>
      <c r="B199" s="1524" t="s">
        <v>2204</v>
      </c>
      <c r="C199" s="2133"/>
      <c r="D199" s="2133"/>
      <c r="E199" s="2133"/>
      <c r="F199" s="2121">
        <v>0.05</v>
      </c>
    </row>
    <row r="200" spans="1:6" ht="24.75" thickBot="1">
      <c r="A200" s="1530" t="s">
        <v>1542</v>
      </c>
      <c r="B200" s="1524" t="s">
        <v>2205</v>
      </c>
      <c r="C200" s="2133"/>
      <c r="D200" s="2133"/>
      <c r="E200" s="2133"/>
      <c r="F200" s="2121">
        <v>0.05</v>
      </c>
    </row>
    <row r="201" spans="1:6" ht="24.75" thickBot="1">
      <c r="A201" s="1530" t="s">
        <v>1542</v>
      </c>
      <c r="B201" s="1524" t="s">
        <v>2206</v>
      </c>
      <c r="C201" s="2133"/>
      <c r="D201" s="2133"/>
      <c r="E201" s="2133"/>
      <c r="F201" s="2121">
        <v>0.05</v>
      </c>
    </row>
    <row r="202" spans="1:6" ht="24.75" thickBot="1">
      <c r="A202" s="1530" t="s">
        <v>1542</v>
      </c>
      <c r="B202" s="1524" t="s">
        <v>2207</v>
      </c>
      <c r="C202" s="2133"/>
      <c r="D202" s="2133"/>
      <c r="E202" s="2133"/>
      <c r="F202" s="2121">
        <v>0.05</v>
      </c>
    </row>
    <row r="203" spans="1:6" ht="24.75" thickBot="1">
      <c r="A203" s="1530" t="s">
        <v>1542</v>
      </c>
      <c r="B203" s="1524" t="s">
        <v>2208</v>
      </c>
      <c r="C203" s="2133"/>
      <c r="D203" s="2133"/>
      <c r="E203" s="2133"/>
      <c r="F203" s="2121">
        <v>0.05</v>
      </c>
    </row>
    <row r="204" spans="1:6" ht="14.25" thickBot="1">
      <c r="A204" s="1530" t="s">
        <v>1542</v>
      </c>
      <c r="B204" s="1524" t="s">
        <v>2209</v>
      </c>
      <c r="C204" s="2133"/>
      <c r="D204" s="2133"/>
      <c r="E204" s="2133"/>
      <c r="F204" s="2121">
        <v>0.05</v>
      </c>
    </row>
    <row r="205" spans="1:6" ht="14.25" thickBot="1">
      <c r="A205" s="1540" t="s">
        <v>1542</v>
      </c>
      <c r="B205" s="1536" t="s">
        <v>2210</v>
      </c>
      <c r="C205" s="2130"/>
      <c r="D205" s="2130"/>
      <c r="E205" s="2130"/>
      <c r="F205" s="2123">
        <v>0.05</v>
      </c>
    </row>
    <row r="206" spans="1:6" ht="14.25" thickBot="1">
      <c r="A206" s="1530" t="s">
        <v>1544</v>
      </c>
      <c r="B206" s="1531" t="s">
        <v>2211</v>
      </c>
      <c r="C206" s="2118">
        <v>0.15</v>
      </c>
      <c r="D206" s="2118">
        <v>0.15</v>
      </c>
      <c r="E206" s="2118">
        <v>0.15</v>
      </c>
      <c r="F206" s="2119">
        <v>0.15</v>
      </c>
    </row>
    <row r="207" spans="1:6" ht="14.25" thickBot="1">
      <c r="A207" s="1530" t="s">
        <v>1544</v>
      </c>
      <c r="B207" s="1524" t="s">
        <v>1210</v>
      </c>
      <c r="C207" s="2120">
        <v>0.15</v>
      </c>
      <c r="D207" s="2120">
        <v>0.15</v>
      </c>
      <c r="E207" s="2120">
        <v>0.15</v>
      </c>
      <c r="F207" s="2121">
        <v>0.14399999999999999</v>
      </c>
    </row>
    <row r="208" spans="1:6" ht="14.25" thickBot="1">
      <c r="A208" s="1530" t="s">
        <v>1544</v>
      </c>
      <c r="B208" s="1524" t="s">
        <v>1223</v>
      </c>
      <c r="C208" s="2120">
        <v>0.15</v>
      </c>
      <c r="D208" s="2120">
        <v>0.15</v>
      </c>
      <c r="E208" s="2120">
        <v>0.15</v>
      </c>
      <c r="F208" s="2121">
        <v>0.15</v>
      </c>
    </row>
    <row r="209" spans="1:6" ht="14.25" thickBot="1">
      <c r="A209" s="1530" t="s">
        <v>1544</v>
      </c>
      <c r="B209" s="1524" t="s">
        <v>1236</v>
      </c>
      <c r="C209" s="2120">
        <v>0.13700000000000001</v>
      </c>
      <c r="D209" s="2120">
        <v>0.13700000000000001</v>
      </c>
      <c r="E209" s="2120">
        <v>0.14000000000000001</v>
      </c>
      <c r="F209" s="2121">
        <v>0.11700000000000001</v>
      </c>
    </row>
    <row r="210" spans="1:6" ht="14.25" thickBot="1">
      <c r="A210" s="1530" t="s">
        <v>1544</v>
      </c>
      <c r="B210" s="1524" t="s">
        <v>2212</v>
      </c>
      <c r="C210" s="2120">
        <v>0.15</v>
      </c>
      <c r="D210" s="2120">
        <v>0.15</v>
      </c>
      <c r="E210" s="2120">
        <v>0.15</v>
      </c>
      <c r="F210" s="2121">
        <v>0.13800000000000001</v>
      </c>
    </row>
    <row r="211" spans="1:6" ht="14.25" thickBot="1">
      <c r="A211" s="1530" t="s">
        <v>1544</v>
      </c>
      <c r="B211" s="1524" t="s">
        <v>2213</v>
      </c>
      <c r="C211" s="2120">
        <v>0.13700000000000001</v>
      </c>
      <c r="D211" s="2120">
        <v>0.13500000000000001</v>
      </c>
      <c r="E211" s="2120">
        <v>0.13600000000000001</v>
      </c>
      <c r="F211" s="2121">
        <v>0.1</v>
      </c>
    </row>
    <row r="212" spans="1:6" ht="14.25" thickBot="1">
      <c r="A212" s="1530" t="s">
        <v>1544</v>
      </c>
      <c r="B212" s="1524" t="s">
        <v>2214</v>
      </c>
      <c r="C212" s="2120">
        <v>0.15</v>
      </c>
      <c r="D212" s="2120">
        <v>0.15</v>
      </c>
      <c r="E212" s="2120">
        <v>0.14799999999999999</v>
      </c>
      <c r="F212" s="2121">
        <v>0.13600000000000001</v>
      </c>
    </row>
    <row r="213" spans="1:6" ht="14.25" thickBot="1">
      <c r="A213" s="1530" t="s">
        <v>1544</v>
      </c>
      <c r="B213" s="1524" t="s">
        <v>1281</v>
      </c>
      <c r="C213" s="2120">
        <v>0.15</v>
      </c>
      <c r="D213" s="2120">
        <v>0.15</v>
      </c>
      <c r="E213" s="2120">
        <v>0.15</v>
      </c>
      <c r="F213" s="2121">
        <v>0.13800000000000001</v>
      </c>
    </row>
    <row r="214" spans="1:6" ht="14.25" thickBot="1">
      <c r="A214" s="1530" t="s">
        <v>1544</v>
      </c>
      <c r="B214" s="1524" t="s">
        <v>1293</v>
      </c>
      <c r="C214" s="2120">
        <v>9.0999999999999998E-2</v>
      </c>
      <c r="D214" s="2120">
        <v>0.09</v>
      </c>
      <c r="E214" s="2120">
        <v>9.1999999999999998E-2</v>
      </c>
      <c r="F214" s="2132"/>
    </row>
    <row r="215" spans="1:6" ht="14.25" thickBot="1">
      <c r="A215" s="1530" t="s">
        <v>1544</v>
      </c>
      <c r="B215" s="1524" t="s">
        <v>2215</v>
      </c>
      <c r="C215" s="2120">
        <v>0.15</v>
      </c>
      <c r="D215" s="2120">
        <v>0.15</v>
      </c>
      <c r="E215" s="2120">
        <v>0.15</v>
      </c>
      <c r="F215" s="2121">
        <v>0.15</v>
      </c>
    </row>
    <row r="216" spans="1:6" ht="14.25" thickBot="1">
      <c r="A216" s="1530" t="s">
        <v>1544</v>
      </c>
      <c r="B216" s="1524" t="s">
        <v>1313</v>
      </c>
      <c r="C216" s="2120">
        <v>0.14699999999999999</v>
      </c>
      <c r="D216" s="2120">
        <v>0.14699999999999999</v>
      </c>
      <c r="E216" s="2120">
        <v>0.15</v>
      </c>
      <c r="F216" s="2121">
        <v>0.14000000000000001</v>
      </c>
    </row>
    <row r="217" spans="1:6" ht="14.25" thickBot="1">
      <c r="A217" s="1530" t="s">
        <v>1544</v>
      </c>
      <c r="B217" s="1524" t="s">
        <v>1323</v>
      </c>
      <c r="C217" s="2120">
        <v>0.15</v>
      </c>
      <c r="D217" s="2120">
        <v>0.15</v>
      </c>
      <c r="E217" s="2120">
        <v>0.15</v>
      </c>
      <c r="F217" s="2121">
        <v>0.15</v>
      </c>
    </row>
    <row r="218" spans="1:6" ht="14.25" thickBot="1">
      <c r="A218" s="1530" t="s">
        <v>1544</v>
      </c>
      <c r="B218" s="1524" t="s">
        <v>2216</v>
      </c>
      <c r="C218" s="2120">
        <v>0.15</v>
      </c>
      <c r="D218" s="2120">
        <v>0.15</v>
      </c>
      <c r="E218" s="2120">
        <v>0.15</v>
      </c>
      <c r="F218" s="2121">
        <v>0.15</v>
      </c>
    </row>
    <row r="219" spans="1:6" ht="14.25" thickBot="1">
      <c r="A219" s="1530" t="s">
        <v>1544</v>
      </c>
      <c r="B219" s="1524" t="s">
        <v>1344</v>
      </c>
      <c r="C219" s="2120">
        <v>0.15</v>
      </c>
      <c r="D219" s="2120">
        <v>0.15</v>
      </c>
      <c r="E219" s="2120">
        <v>0.15</v>
      </c>
      <c r="F219" s="2121">
        <v>0.14799999999999999</v>
      </c>
    </row>
    <row r="220" spans="1:6" ht="14.25" thickBot="1">
      <c r="A220" s="1530" t="s">
        <v>1544</v>
      </c>
      <c r="B220" s="1524" t="s">
        <v>2217</v>
      </c>
      <c r="C220" s="2120">
        <v>0.15</v>
      </c>
      <c r="D220" s="2120">
        <v>0.15</v>
      </c>
      <c r="E220" s="2120">
        <v>0.15</v>
      </c>
      <c r="F220" s="2121">
        <v>0.15</v>
      </c>
    </row>
    <row r="221" spans="1:6" ht="14.25" thickBot="1">
      <c r="A221" s="1530" t="s">
        <v>1544</v>
      </c>
      <c r="B221" s="1524" t="s">
        <v>1365</v>
      </c>
      <c r="C221" s="2120"/>
      <c r="D221" s="2133"/>
      <c r="E221" s="2133"/>
      <c r="F221" s="2121">
        <v>0.14799999999999999</v>
      </c>
    </row>
    <row r="222" spans="1:6" ht="14.25" thickBot="1">
      <c r="A222" s="1530" t="s">
        <v>1544</v>
      </c>
      <c r="B222" s="1524" t="s">
        <v>1375</v>
      </c>
      <c r="C222" s="2120"/>
      <c r="D222" s="2133"/>
      <c r="E222" s="2133"/>
      <c r="F222" s="2121">
        <v>0.1</v>
      </c>
    </row>
    <row r="223" spans="1:6" ht="14.25" thickBot="1">
      <c r="A223" s="1530" t="s">
        <v>1544</v>
      </c>
      <c r="B223" s="1524" t="s">
        <v>1385</v>
      </c>
      <c r="C223" s="2120"/>
      <c r="D223" s="2133"/>
      <c r="E223" s="2133"/>
      <c r="F223" s="2121">
        <v>0.15</v>
      </c>
    </row>
    <row r="224" spans="1:6" ht="14.25" thickBot="1">
      <c r="A224" s="1530" t="s">
        <v>1544</v>
      </c>
      <c r="B224" s="1524" t="s">
        <v>1395</v>
      </c>
      <c r="C224" s="2120"/>
      <c r="D224" s="2133"/>
      <c r="E224" s="2133"/>
      <c r="F224" s="2121">
        <v>0.15</v>
      </c>
    </row>
    <row r="225" spans="1:6" ht="14.25" thickBot="1">
      <c r="A225" s="1530" t="s">
        <v>1544</v>
      </c>
      <c r="B225" s="1524" t="s">
        <v>2218</v>
      </c>
      <c r="C225" s="2120">
        <v>0.15</v>
      </c>
      <c r="D225" s="2120">
        <v>0.15</v>
      </c>
      <c r="E225" s="2120">
        <v>0.15</v>
      </c>
      <c r="F225" s="2121">
        <v>0.15</v>
      </c>
    </row>
    <row r="226" spans="1:6" ht="14.25" thickBot="1">
      <c r="A226" s="1530" t="s">
        <v>1544</v>
      </c>
      <c r="B226" s="1524" t="s">
        <v>1413</v>
      </c>
      <c r="C226" s="2120">
        <v>0.15</v>
      </c>
      <c r="D226" s="2120">
        <v>0.15</v>
      </c>
      <c r="E226" s="2120">
        <v>0.15</v>
      </c>
      <c r="F226" s="2121">
        <v>0.14799999999999999</v>
      </c>
    </row>
    <row r="227" spans="1:6" ht="14.25" thickBot="1">
      <c r="A227" s="1530" t="s">
        <v>1544</v>
      </c>
      <c r="B227" s="1524" t="s">
        <v>2219</v>
      </c>
      <c r="C227" s="2120">
        <v>0.15</v>
      </c>
      <c r="D227" s="2120">
        <v>0.15</v>
      </c>
      <c r="E227" s="2120">
        <v>0.15</v>
      </c>
      <c r="F227" s="2121">
        <v>0.15</v>
      </c>
    </row>
    <row r="228" spans="1:6" ht="14.25" thickBot="1">
      <c r="A228" s="1530" t="s">
        <v>1544</v>
      </c>
      <c r="B228" s="1524" t="s">
        <v>1428</v>
      </c>
      <c r="C228" s="2120">
        <v>0.15</v>
      </c>
      <c r="D228" s="2120">
        <v>0.15</v>
      </c>
      <c r="E228" s="2120">
        <v>0.15</v>
      </c>
      <c r="F228" s="2121">
        <v>0.15</v>
      </c>
    </row>
    <row r="229" spans="1:6" ht="14.25" thickBot="1">
      <c r="A229" s="1530" t="s">
        <v>1544</v>
      </c>
      <c r="B229" s="1524" t="s">
        <v>1435</v>
      </c>
      <c r="C229" s="2120">
        <v>0.15</v>
      </c>
      <c r="D229" s="2120">
        <v>0.15</v>
      </c>
      <c r="E229" s="2120">
        <v>0.15</v>
      </c>
      <c r="F229" s="2132"/>
    </row>
    <row r="230" spans="1:6" ht="14.25" thickBot="1">
      <c r="A230" s="1530" t="s">
        <v>1544</v>
      </c>
      <c r="B230" s="1524" t="s">
        <v>1442</v>
      </c>
      <c r="C230" s="2120">
        <v>0.14499999999999999</v>
      </c>
      <c r="D230" s="2120">
        <v>0.14499999999999999</v>
      </c>
      <c r="E230" s="2120">
        <v>0.14399999999999999</v>
      </c>
      <c r="F230" s="2132"/>
    </row>
    <row r="231" spans="1:6" ht="14.25" thickBot="1">
      <c r="A231" s="1530" t="s">
        <v>1544</v>
      </c>
      <c r="B231" s="1524" t="s">
        <v>2220</v>
      </c>
      <c r="C231" s="2120">
        <v>0.128</v>
      </c>
      <c r="D231" s="2120">
        <v>0.125</v>
      </c>
      <c r="E231" s="2120">
        <v>0.13200000000000001</v>
      </c>
      <c r="F231" s="2132"/>
    </row>
    <row r="232" spans="1:6" ht="14.25" thickBot="1">
      <c r="A232" s="1530" t="s">
        <v>1544</v>
      </c>
      <c r="B232" s="1524" t="s">
        <v>2221</v>
      </c>
      <c r="C232" s="2120">
        <v>0.14499999999999999</v>
      </c>
      <c r="D232" s="2120">
        <v>0.14399999999999999</v>
      </c>
      <c r="E232" s="2120">
        <v>0.14599999999999999</v>
      </c>
      <c r="F232" s="2121">
        <v>0.13800000000000001</v>
      </c>
    </row>
    <row r="233" spans="1:6" ht="14.25" thickBot="1">
      <c r="A233" s="1530" t="s">
        <v>1544</v>
      </c>
      <c r="B233" s="1524" t="s">
        <v>2222</v>
      </c>
      <c r="C233" s="2120">
        <v>0.14499999999999999</v>
      </c>
      <c r="D233" s="2120">
        <v>0.14299999999999999</v>
      </c>
      <c r="E233" s="2120">
        <v>0.14199999999999999</v>
      </c>
      <c r="F233" s="2132"/>
    </row>
    <row r="234" spans="1:6" ht="14.25" thickBot="1">
      <c r="A234" s="1530" t="s">
        <v>1544</v>
      </c>
      <c r="B234" s="1524" t="s">
        <v>2223</v>
      </c>
      <c r="C234" s="2120">
        <v>0.14000000000000001</v>
      </c>
      <c r="D234" s="2120">
        <v>0.14000000000000001</v>
      </c>
      <c r="E234" s="2120">
        <v>0.14399999999999999</v>
      </c>
      <c r="F234" s="2132"/>
    </row>
    <row r="235" spans="1:6" ht="14.25" thickBot="1">
      <c r="A235" s="1530" t="s">
        <v>1544</v>
      </c>
      <c r="B235" s="1524" t="s">
        <v>2224</v>
      </c>
      <c r="C235" s="2120">
        <v>0.14099999999999999</v>
      </c>
      <c r="D235" s="2120">
        <v>0.14199999999999999</v>
      </c>
      <c r="E235" s="2120">
        <v>0.14499999999999999</v>
      </c>
      <c r="F235" s="2121">
        <v>0.15</v>
      </c>
    </row>
    <row r="236" spans="1:6" ht="14.25" thickBot="1">
      <c r="A236" s="1530" t="s">
        <v>1544</v>
      </c>
      <c r="B236" s="1524" t="s">
        <v>1477</v>
      </c>
      <c r="C236" s="2133"/>
      <c r="D236" s="2133"/>
      <c r="E236" s="2133"/>
      <c r="F236" s="2121">
        <v>0.14299999999999999</v>
      </c>
    </row>
    <row r="237" spans="1:6" ht="24.75" thickBot="1">
      <c r="A237" s="1530" t="s">
        <v>1544</v>
      </c>
      <c r="B237" s="1524" t="s">
        <v>2225</v>
      </c>
      <c r="C237" s="2133"/>
      <c r="D237" s="2133"/>
      <c r="E237" s="2133"/>
      <c r="F237" s="2121">
        <v>0.05</v>
      </c>
    </row>
    <row r="238" spans="1:6" ht="24.75" thickBot="1">
      <c r="A238" s="1530" t="s">
        <v>1544</v>
      </c>
      <c r="B238" s="1524" t="s">
        <v>2226</v>
      </c>
      <c r="C238" s="2133"/>
      <c r="D238" s="2133"/>
      <c r="E238" s="2133"/>
      <c r="F238" s="2121">
        <v>0.05</v>
      </c>
    </row>
    <row r="239" spans="1:6" ht="24.75" thickBot="1">
      <c r="A239" s="1530" t="s">
        <v>1544</v>
      </c>
      <c r="B239" s="1524" t="s">
        <v>2227</v>
      </c>
      <c r="C239" s="2133"/>
      <c r="D239" s="2133"/>
      <c r="E239" s="2133"/>
      <c r="F239" s="2121">
        <v>0.05</v>
      </c>
    </row>
    <row r="240" spans="1:6" ht="24.75" thickBot="1">
      <c r="A240" s="1530" t="s">
        <v>1544</v>
      </c>
      <c r="B240" s="1524" t="s">
        <v>2228</v>
      </c>
      <c r="C240" s="2133"/>
      <c r="D240" s="2133"/>
      <c r="E240" s="2133"/>
      <c r="F240" s="2121">
        <v>0.05</v>
      </c>
    </row>
    <row r="241" spans="1:6" ht="24.75" thickBot="1">
      <c r="A241" s="1530" t="s">
        <v>1544</v>
      </c>
      <c r="B241" s="1524" t="s">
        <v>2229</v>
      </c>
      <c r="C241" s="2133"/>
      <c r="D241" s="2133"/>
      <c r="E241" s="2133"/>
      <c r="F241" s="2121">
        <v>0.05</v>
      </c>
    </row>
    <row r="242" spans="1:6" ht="24.75" thickBot="1">
      <c r="A242" s="1530" t="s">
        <v>1544</v>
      </c>
      <c r="B242" s="1524" t="s">
        <v>2230</v>
      </c>
      <c r="C242" s="2133"/>
      <c r="D242" s="2133"/>
      <c r="E242" s="2133"/>
      <c r="F242" s="2121">
        <v>0.05</v>
      </c>
    </row>
    <row r="243" spans="1:6" ht="24.75" thickBot="1">
      <c r="A243" s="1530" t="s">
        <v>1544</v>
      </c>
      <c r="B243" s="1524" t="s">
        <v>2231</v>
      </c>
      <c r="C243" s="2133"/>
      <c r="D243" s="2133"/>
      <c r="E243" s="2133"/>
      <c r="F243" s="2121">
        <v>0.05</v>
      </c>
    </row>
    <row r="244" spans="1:6" ht="24.75" thickBot="1">
      <c r="A244" s="1540" t="s">
        <v>1544</v>
      </c>
      <c r="B244" s="1536" t="s">
        <v>2232</v>
      </c>
      <c r="C244" s="2130"/>
      <c r="D244" s="2130"/>
      <c r="E244" s="2130"/>
      <c r="F244" s="2123">
        <v>0.05</v>
      </c>
    </row>
    <row r="245" spans="1:6" ht="14.25" thickBot="1">
      <c r="A245" s="1530" t="s">
        <v>1546</v>
      </c>
      <c r="B245" s="1531" t="s">
        <v>2233</v>
      </c>
      <c r="C245" s="2118">
        <v>0.15</v>
      </c>
      <c r="D245" s="2118">
        <v>0.15</v>
      </c>
      <c r="E245" s="2118">
        <v>0.15</v>
      </c>
      <c r="F245" s="2119">
        <v>0.14299999999999999</v>
      </c>
    </row>
    <row r="246" spans="1:6" ht="14.25" thickBot="1">
      <c r="A246" s="1530" t="s">
        <v>1546</v>
      </c>
      <c r="B246" s="1524" t="s">
        <v>1211</v>
      </c>
      <c r="C246" s="2120">
        <v>0.15</v>
      </c>
      <c r="D246" s="2120">
        <v>0.15</v>
      </c>
      <c r="E246" s="2120">
        <v>0.15</v>
      </c>
      <c r="F246" s="2121">
        <v>0.114</v>
      </c>
    </row>
    <row r="247" spans="1:6" ht="14.25" thickBot="1">
      <c r="A247" s="1530" t="s">
        <v>1546</v>
      </c>
      <c r="B247" s="1524" t="s">
        <v>2234</v>
      </c>
      <c r="C247" s="2120">
        <v>0.15</v>
      </c>
      <c r="D247" s="2120">
        <v>0.15</v>
      </c>
      <c r="E247" s="2120">
        <v>0.15</v>
      </c>
      <c r="F247" s="2121">
        <v>0.15</v>
      </c>
    </row>
    <row r="248" spans="1:6" ht="14.25" thickBot="1">
      <c r="A248" s="1530" t="s">
        <v>1546</v>
      </c>
      <c r="B248" s="1524" t="s">
        <v>2235</v>
      </c>
      <c r="C248" s="2120">
        <v>0.15</v>
      </c>
      <c r="D248" s="2120">
        <v>0.15</v>
      </c>
      <c r="E248" s="2120">
        <v>0.15</v>
      </c>
      <c r="F248" s="2121">
        <v>0.14000000000000001</v>
      </c>
    </row>
    <row r="249" spans="1:6" ht="14.25" thickBot="1">
      <c r="A249" s="1530" t="s">
        <v>1546</v>
      </c>
      <c r="B249" s="1524" t="s">
        <v>2236</v>
      </c>
      <c r="C249" s="2120">
        <v>0.15</v>
      </c>
      <c r="D249" s="2120">
        <v>0.14899999999999999</v>
      </c>
      <c r="E249" s="2120">
        <v>0.15</v>
      </c>
      <c r="F249" s="2121">
        <v>0.1</v>
      </c>
    </row>
    <row r="250" spans="1:6" ht="14.25" thickBot="1">
      <c r="A250" s="1530" t="s">
        <v>1546</v>
      </c>
      <c r="B250" s="1524" t="s">
        <v>2237</v>
      </c>
      <c r="C250" s="2120">
        <v>0.15</v>
      </c>
      <c r="D250" s="2120">
        <v>0.15</v>
      </c>
      <c r="E250" s="2120">
        <v>0.15</v>
      </c>
      <c r="F250" s="2121">
        <v>0.14399999999999999</v>
      </c>
    </row>
    <row r="251" spans="1:6" ht="14.25" thickBot="1">
      <c r="A251" s="1530" t="s">
        <v>1546</v>
      </c>
      <c r="B251" s="1524" t="s">
        <v>1271</v>
      </c>
      <c r="C251" s="2120">
        <v>0.15</v>
      </c>
      <c r="D251" s="2120">
        <v>0.15</v>
      </c>
      <c r="E251" s="2120">
        <v>0.15</v>
      </c>
      <c r="F251" s="2121">
        <v>0.14299999999999999</v>
      </c>
    </row>
    <row r="252" spans="1:6" ht="14.25" thickBot="1">
      <c r="A252" s="1530" t="s">
        <v>1546</v>
      </c>
      <c r="B252" s="1524" t="s">
        <v>1282</v>
      </c>
      <c r="C252" s="2120">
        <v>0.15</v>
      </c>
      <c r="D252" s="2120">
        <v>0.15</v>
      </c>
      <c r="E252" s="2120">
        <v>0.15</v>
      </c>
      <c r="F252" s="2121">
        <v>0.1</v>
      </c>
    </row>
    <row r="253" spans="1:6" ht="14.25" thickBot="1">
      <c r="A253" s="1530" t="s">
        <v>1546</v>
      </c>
      <c r="B253" s="1524" t="s">
        <v>1294</v>
      </c>
      <c r="C253" s="2120">
        <v>0.15</v>
      </c>
      <c r="D253" s="2120">
        <v>0.15</v>
      </c>
      <c r="E253" s="2120">
        <v>0.15</v>
      </c>
      <c r="F253" s="2121">
        <v>0.1</v>
      </c>
    </row>
    <row r="254" spans="1:6" ht="14.25" thickBot="1">
      <c r="A254" s="1530" t="s">
        <v>1546</v>
      </c>
      <c r="B254" s="1524" t="s">
        <v>1304</v>
      </c>
      <c r="C254" s="2133"/>
      <c r="D254" s="2133"/>
      <c r="E254" s="2133"/>
      <c r="F254" s="2121">
        <v>0.15</v>
      </c>
    </row>
    <row r="255" spans="1:6" ht="14.25" thickBot="1">
      <c r="A255" s="1530" t="s">
        <v>1546</v>
      </c>
      <c r="B255" s="1524" t="s">
        <v>1314</v>
      </c>
      <c r="C255" s="2133"/>
      <c r="D255" s="2133"/>
      <c r="E255" s="2133"/>
      <c r="F255" s="2121">
        <v>0.14299999999999999</v>
      </c>
    </row>
    <row r="256" spans="1:6" ht="14.25" thickBot="1">
      <c r="A256" s="1530" t="s">
        <v>1546</v>
      </c>
      <c r="B256" s="1524" t="s">
        <v>2238</v>
      </c>
      <c r="C256" s="2120">
        <v>0.14599999999999999</v>
      </c>
      <c r="D256" s="2120">
        <v>0.14699999999999999</v>
      </c>
      <c r="E256" s="2120">
        <v>0.15</v>
      </c>
      <c r="F256" s="2121">
        <v>0.13200000000000001</v>
      </c>
    </row>
    <row r="257" spans="1:6" ht="14.25" thickBot="1">
      <c r="A257" s="1530" t="s">
        <v>1546</v>
      </c>
      <c r="B257" s="1524" t="s">
        <v>1334</v>
      </c>
      <c r="C257" s="2120">
        <v>0.15</v>
      </c>
      <c r="D257" s="2120">
        <v>0.15</v>
      </c>
      <c r="E257" s="2120">
        <v>0.15</v>
      </c>
      <c r="F257" s="2121">
        <v>0.13900000000000001</v>
      </c>
    </row>
    <row r="258" spans="1:6" ht="14.25" thickBot="1">
      <c r="A258" s="1530" t="s">
        <v>1546</v>
      </c>
      <c r="B258" s="1524" t="s">
        <v>1345</v>
      </c>
      <c r="C258" s="2120">
        <v>0.15</v>
      </c>
      <c r="D258" s="2120">
        <v>0.15</v>
      </c>
      <c r="E258" s="2120">
        <v>0.15</v>
      </c>
      <c r="F258" s="2121">
        <v>0.13</v>
      </c>
    </row>
    <row r="259" spans="1:6" ht="14.25" thickBot="1">
      <c r="A259" s="1530" t="s">
        <v>1546</v>
      </c>
      <c r="B259" s="1524" t="s">
        <v>2239</v>
      </c>
      <c r="C259" s="2120">
        <v>0.14799999999999999</v>
      </c>
      <c r="D259" s="2120">
        <v>0.14899999999999999</v>
      </c>
      <c r="E259" s="2120">
        <v>0.15</v>
      </c>
      <c r="F259" s="2121">
        <v>0.13700000000000001</v>
      </c>
    </row>
    <row r="260" spans="1:6" ht="14.25" thickBot="1">
      <c r="A260" s="1530" t="s">
        <v>1546</v>
      </c>
      <c r="B260" s="1524" t="s">
        <v>1366</v>
      </c>
      <c r="C260" s="2120">
        <v>0.15</v>
      </c>
      <c r="D260" s="2120">
        <v>0.15</v>
      </c>
      <c r="E260" s="2120">
        <v>0.15</v>
      </c>
      <c r="F260" s="2121">
        <v>0.14199999999999999</v>
      </c>
    </row>
    <row r="261" spans="1:6" ht="14.25" thickBot="1">
      <c r="A261" s="1530" t="s">
        <v>1546</v>
      </c>
      <c r="B261" s="1524" t="s">
        <v>1376</v>
      </c>
      <c r="C261" s="2120">
        <v>0.15</v>
      </c>
      <c r="D261" s="2120">
        <v>0.15</v>
      </c>
      <c r="E261" s="2120">
        <v>0.14899999999999999</v>
      </c>
      <c r="F261" s="2121">
        <v>0.14799999999999999</v>
      </c>
    </row>
    <row r="262" spans="1:6" ht="14.25" thickBot="1">
      <c r="A262" s="1530" t="s">
        <v>1546</v>
      </c>
      <c r="B262" s="1524" t="s">
        <v>1386</v>
      </c>
      <c r="C262" s="2120">
        <v>0.15</v>
      </c>
      <c r="D262" s="2120">
        <v>0.15</v>
      </c>
      <c r="E262" s="2120">
        <v>0.15</v>
      </c>
      <c r="F262" s="2132"/>
    </row>
    <row r="263" spans="1:6" ht="14.25" thickBot="1">
      <c r="A263" s="1530" t="s">
        <v>1546</v>
      </c>
      <c r="B263" s="1524" t="s">
        <v>2240</v>
      </c>
      <c r="C263" s="2120">
        <v>0.14899999999999999</v>
      </c>
      <c r="D263" s="2120">
        <v>0.14899999999999999</v>
      </c>
      <c r="E263" s="2120">
        <v>0.15</v>
      </c>
      <c r="F263" s="2121">
        <v>0.13</v>
      </c>
    </row>
    <row r="264" spans="1:6" ht="14.25" thickBot="1">
      <c r="A264" s="1530" t="s">
        <v>1546</v>
      </c>
      <c r="B264" s="1524" t="s">
        <v>1405</v>
      </c>
      <c r="C264" s="2120">
        <v>0.14799999999999999</v>
      </c>
      <c r="D264" s="2120">
        <v>0.14699999999999999</v>
      </c>
      <c r="E264" s="2120">
        <v>0.15</v>
      </c>
      <c r="F264" s="2121">
        <v>7.8E-2</v>
      </c>
    </row>
    <row r="265" spans="1:6" ht="14.25" thickBot="1">
      <c r="A265" s="1530" t="s">
        <v>1546</v>
      </c>
      <c r="B265" s="1524" t="s">
        <v>1414</v>
      </c>
      <c r="C265" s="2120">
        <v>0.15</v>
      </c>
      <c r="D265" s="2120">
        <v>0.15</v>
      </c>
      <c r="E265" s="2120">
        <v>0.15</v>
      </c>
      <c r="F265" s="2121">
        <v>7.3999999999999996E-2</v>
      </c>
    </row>
    <row r="266" spans="1:6" ht="14.25" thickBot="1">
      <c r="A266" s="1530" t="s">
        <v>1546</v>
      </c>
      <c r="B266" s="1524" t="s">
        <v>1422</v>
      </c>
      <c r="C266" s="2120">
        <v>0.14699999999999999</v>
      </c>
      <c r="D266" s="2120">
        <v>0.14699999999999999</v>
      </c>
      <c r="E266" s="2120">
        <v>0.15</v>
      </c>
      <c r="F266" s="2121">
        <v>0.14299999999999999</v>
      </c>
    </row>
    <row r="267" spans="1:6" ht="14.25" thickBot="1">
      <c r="A267" s="1530" t="s">
        <v>1546</v>
      </c>
      <c r="B267" s="1524" t="s">
        <v>1429</v>
      </c>
      <c r="C267" s="2120">
        <v>0.14199999999999999</v>
      </c>
      <c r="D267" s="2120">
        <v>0.14299999999999999</v>
      </c>
      <c r="E267" s="2120">
        <v>0.15</v>
      </c>
      <c r="F267" s="2132"/>
    </row>
    <row r="268" spans="1:6" ht="14.25" thickBot="1">
      <c r="A268" s="1530" t="s">
        <v>1546</v>
      </c>
      <c r="B268" s="1524" t="s">
        <v>2241</v>
      </c>
      <c r="C268" s="2120">
        <v>0.15</v>
      </c>
      <c r="D268" s="2120">
        <v>0.15</v>
      </c>
      <c r="E268" s="2120">
        <v>0.15</v>
      </c>
      <c r="F268" s="2121">
        <v>0.13</v>
      </c>
    </row>
    <row r="269" spans="1:6" ht="14.25" thickBot="1">
      <c r="A269" s="1530" t="s">
        <v>1546</v>
      </c>
      <c r="B269" s="1524" t="s">
        <v>1443</v>
      </c>
      <c r="C269" s="2120">
        <v>0.15</v>
      </c>
      <c r="D269" s="2120">
        <v>0.15</v>
      </c>
      <c r="E269" s="2120">
        <v>0.15</v>
      </c>
      <c r="F269" s="2121">
        <v>0.14299999999999999</v>
      </c>
    </row>
    <row r="270" spans="1:6" ht="14.25" thickBot="1">
      <c r="A270" s="1530" t="s">
        <v>1546</v>
      </c>
      <c r="B270" s="1524" t="s">
        <v>1450</v>
      </c>
      <c r="C270" s="2120">
        <v>0.14499999999999999</v>
      </c>
      <c r="D270" s="2120">
        <v>0.14499999999999999</v>
      </c>
      <c r="E270" s="2120">
        <v>0.15</v>
      </c>
      <c r="F270" s="2121">
        <v>0.14699999999999999</v>
      </c>
    </row>
    <row r="271" spans="1:6" ht="14.25" thickBot="1">
      <c r="A271" s="1530" t="s">
        <v>1546</v>
      </c>
      <c r="B271" s="1524" t="s">
        <v>1457</v>
      </c>
      <c r="C271" s="2120">
        <v>0.15</v>
      </c>
      <c r="D271" s="2120">
        <v>0.15</v>
      </c>
      <c r="E271" s="2120">
        <v>0.15</v>
      </c>
      <c r="F271" s="2121">
        <v>0.13800000000000001</v>
      </c>
    </row>
    <row r="272" spans="1:6" ht="14.25" thickBot="1">
      <c r="A272" s="1530" t="s">
        <v>1546</v>
      </c>
      <c r="B272" s="1524" t="s">
        <v>1464</v>
      </c>
      <c r="C272" s="2133"/>
      <c r="D272" s="2133"/>
      <c r="E272" s="2133"/>
      <c r="F272" s="2121">
        <v>0.14000000000000001</v>
      </c>
    </row>
    <row r="273" spans="1:6" ht="14.25" thickBot="1">
      <c r="A273" s="1530" t="s">
        <v>1546</v>
      </c>
      <c r="B273" s="1524" t="s">
        <v>2242</v>
      </c>
      <c r="C273" s="2120">
        <v>0.14199999999999999</v>
      </c>
      <c r="D273" s="2120">
        <v>0.14299999999999999</v>
      </c>
      <c r="E273" s="2120">
        <v>0.15</v>
      </c>
      <c r="F273" s="2121">
        <v>0.1</v>
      </c>
    </row>
    <row r="274" spans="1:6" ht="14.25" thickBot="1">
      <c r="A274" s="1530" t="s">
        <v>1546</v>
      </c>
      <c r="B274" s="1524" t="s">
        <v>2243</v>
      </c>
      <c r="C274" s="2120">
        <v>0.14799999999999999</v>
      </c>
      <c r="D274" s="2120">
        <v>0.14799999999999999</v>
      </c>
      <c r="E274" s="2120">
        <v>0.15</v>
      </c>
      <c r="F274" s="2121">
        <v>6.7000000000000004E-2</v>
      </c>
    </row>
    <row r="275" spans="1:6" ht="14.25" thickBot="1">
      <c r="A275" s="1530" t="s">
        <v>1546</v>
      </c>
      <c r="B275" s="1524" t="s">
        <v>2244</v>
      </c>
      <c r="C275" s="2120">
        <v>0.15</v>
      </c>
      <c r="D275" s="2120">
        <v>0.15</v>
      </c>
      <c r="E275" s="2120">
        <v>0.15</v>
      </c>
      <c r="F275" s="2121">
        <v>0.15</v>
      </c>
    </row>
    <row r="276" spans="1:6" ht="14.25" thickBot="1">
      <c r="A276" s="1530" t="s">
        <v>1546</v>
      </c>
      <c r="B276" s="1524" t="s">
        <v>2245</v>
      </c>
      <c r="C276" s="2120">
        <v>0.14499999999999999</v>
      </c>
      <c r="D276" s="2120">
        <v>0.14299999999999999</v>
      </c>
      <c r="E276" s="2120">
        <v>0.15</v>
      </c>
      <c r="F276" s="2121">
        <v>5.8999999999999997E-2</v>
      </c>
    </row>
    <row r="277" spans="1:6" ht="14.25" thickBot="1">
      <c r="A277" s="1530" t="s">
        <v>1546</v>
      </c>
      <c r="B277" s="1524" t="s">
        <v>2246</v>
      </c>
      <c r="C277" s="2120">
        <v>0.15</v>
      </c>
      <c r="D277" s="2120">
        <v>0.15</v>
      </c>
      <c r="E277" s="2120">
        <v>0.15</v>
      </c>
      <c r="F277" s="2121">
        <v>0.121</v>
      </c>
    </row>
    <row r="278" spans="1:6" ht="14.25" thickBot="1">
      <c r="A278" s="1530" t="s">
        <v>1546</v>
      </c>
      <c r="B278" s="1524" t="s">
        <v>2247</v>
      </c>
      <c r="C278" s="2120">
        <v>0.15</v>
      </c>
      <c r="D278" s="2120">
        <v>0.15</v>
      </c>
      <c r="E278" s="2120">
        <v>0.15</v>
      </c>
      <c r="F278" s="2121">
        <v>0.13800000000000001</v>
      </c>
    </row>
    <row r="279" spans="1:6" ht="24.75" thickBot="1">
      <c r="A279" s="1530" t="s">
        <v>1546</v>
      </c>
      <c r="B279" s="1524" t="s">
        <v>2248</v>
      </c>
      <c r="C279" s="2133"/>
      <c r="D279" s="2133"/>
      <c r="E279" s="2133"/>
      <c r="F279" s="2121">
        <v>0.05</v>
      </c>
    </row>
    <row r="280" spans="1:6" ht="24.75" thickBot="1">
      <c r="A280" s="1530" t="s">
        <v>1546</v>
      </c>
      <c r="B280" s="1524" t="s">
        <v>2249</v>
      </c>
      <c r="C280" s="2133"/>
      <c r="D280" s="2133"/>
      <c r="E280" s="2133"/>
      <c r="F280" s="2121">
        <v>0.05</v>
      </c>
    </row>
    <row r="281" spans="1:6" ht="24.75" thickBot="1">
      <c r="A281" s="1530" t="s">
        <v>1546</v>
      </c>
      <c r="B281" s="1524" t="s">
        <v>2250</v>
      </c>
      <c r="C281" s="2133"/>
      <c r="D281" s="2133"/>
      <c r="E281" s="2133"/>
      <c r="F281" s="2121">
        <v>0.05</v>
      </c>
    </row>
    <row r="282" spans="1:6" ht="24.75" thickBot="1">
      <c r="A282" s="1530" t="s">
        <v>1546</v>
      </c>
      <c r="B282" s="1524" t="s">
        <v>2251</v>
      </c>
      <c r="C282" s="2133"/>
      <c r="D282" s="2133"/>
      <c r="E282" s="2133"/>
      <c r="F282" s="2121">
        <v>0.05</v>
      </c>
    </row>
    <row r="283" spans="1:6" ht="24.75" thickBot="1">
      <c r="A283" s="1530" t="s">
        <v>1546</v>
      </c>
      <c r="B283" s="1524" t="s">
        <v>2252</v>
      </c>
      <c r="C283" s="2133"/>
      <c r="D283" s="2133"/>
      <c r="E283" s="2133"/>
      <c r="F283" s="2121">
        <v>0.05</v>
      </c>
    </row>
    <row r="284" spans="1:6" ht="24.75" thickBot="1">
      <c r="A284" s="1530" t="s">
        <v>1546</v>
      </c>
      <c r="B284" s="1524" t="s">
        <v>2253</v>
      </c>
      <c r="C284" s="2133"/>
      <c r="D284" s="2133"/>
      <c r="E284" s="2133"/>
      <c r="F284" s="2121">
        <v>0.05</v>
      </c>
    </row>
    <row r="285" spans="1:6" ht="24.75" thickBot="1">
      <c r="A285" s="1530" t="s">
        <v>1546</v>
      </c>
      <c r="B285" s="1524" t="s">
        <v>2254</v>
      </c>
      <c r="C285" s="2133"/>
      <c r="D285" s="2133"/>
      <c r="E285" s="2133"/>
      <c r="F285" s="2121">
        <v>0.05</v>
      </c>
    </row>
    <row r="286" spans="1:6" ht="24.75" thickBot="1">
      <c r="A286" s="1530" t="s">
        <v>1546</v>
      </c>
      <c r="B286" s="1524" t="s">
        <v>2255</v>
      </c>
      <c r="C286" s="2133"/>
      <c r="D286" s="2133"/>
      <c r="E286" s="2133"/>
      <c r="F286" s="2121">
        <v>0.05</v>
      </c>
    </row>
    <row r="287" spans="1:6" ht="24.75" thickBot="1">
      <c r="A287" s="1530" t="s">
        <v>1546</v>
      </c>
      <c r="B287" s="1524" t="s">
        <v>2256</v>
      </c>
      <c r="C287" s="2133"/>
      <c r="D287" s="2133"/>
      <c r="E287" s="2133"/>
      <c r="F287" s="2121">
        <v>0.05</v>
      </c>
    </row>
    <row r="288" spans="1:6" ht="24.75" thickBot="1">
      <c r="A288" s="1530" t="s">
        <v>1546</v>
      </c>
      <c r="B288" s="1524" t="s">
        <v>2257</v>
      </c>
      <c r="C288" s="2133"/>
      <c r="D288" s="2133"/>
      <c r="E288" s="2133"/>
      <c r="F288" s="2121">
        <v>0.05</v>
      </c>
    </row>
    <row r="289" spans="1:6" ht="24.75" thickBot="1">
      <c r="A289" s="1540" t="s">
        <v>1546</v>
      </c>
      <c r="B289" s="1536" t="s">
        <v>2258</v>
      </c>
      <c r="C289" s="2130"/>
      <c r="D289" s="2130"/>
      <c r="E289" s="2130"/>
      <c r="F289" s="2123">
        <v>0.05</v>
      </c>
    </row>
    <row r="290" spans="1:6" ht="14.25" thickBot="1">
      <c r="A290" s="1530" t="s">
        <v>1550</v>
      </c>
      <c r="B290" s="1531" t="s">
        <v>2259</v>
      </c>
      <c r="C290" s="2118">
        <v>0.15</v>
      </c>
      <c r="D290" s="2118">
        <v>0.15</v>
      </c>
      <c r="E290" s="2118">
        <v>0.15</v>
      </c>
      <c r="F290" s="2135"/>
    </row>
    <row r="291" spans="1:6" ht="14.25" thickBot="1">
      <c r="A291" s="1530" t="s">
        <v>1550</v>
      </c>
      <c r="B291" s="1524" t="s">
        <v>1212</v>
      </c>
      <c r="C291" s="2120">
        <v>0.15</v>
      </c>
      <c r="D291" s="2120">
        <v>0.15</v>
      </c>
      <c r="E291" s="2120">
        <v>0.15</v>
      </c>
      <c r="F291" s="2132"/>
    </row>
    <row r="292" spans="1:6" ht="14.25" thickBot="1">
      <c r="A292" s="1530" t="s">
        <v>1550</v>
      </c>
      <c r="B292" s="1524" t="s">
        <v>2260</v>
      </c>
      <c r="C292" s="2120">
        <v>0.15</v>
      </c>
      <c r="D292" s="2120">
        <v>0.15</v>
      </c>
      <c r="E292" s="2120">
        <v>0.15</v>
      </c>
      <c r="F292" s="2121">
        <v>0.14699999999999999</v>
      </c>
    </row>
    <row r="293" spans="1:6" ht="14.25" thickBot="1">
      <c r="A293" s="1530" t="s">
        <v>1550</v>
      </c>
      <c r="B293" s="1524" t="s">
        <v>2261</v>
      </c>
      <c r="C293" s="2133"/>
      <c r="D293" s="2133"/>
      <c r="E293" s="2133"/>
      <c r="F293" s="2121">
        <v>0.1</v>
      </c>
    </row>
    <row r="294" spans="1:6" ht="14.25" thickBot="1">
      <c r="A294" s="1530" t="s">
        <v>1550</v>
      </c>
      <c r="B294" s="1524" t="s">
        <v>2262</v>
      </c>
      <c r="C294" s="2120">
        <v>0.15</v>
      </c>
      <c r="D294" s="2120">
        <v>0.15</v>
      </c>
      <c r="E294" s="2120">
        <v>0.15</v>
      </c>
      <c r="F294" s="2121">
        <v>0.15</v>
      </c>
    </row>
    <row r="295" spans="1:6" ht="14.25" thickBot="1">
      <c r="A295" s="1530" t="s">
        <v>1550</v>
      </c>
      <c r="B295" s="1524" t="s">
        <v>1250</v>
      </c>
      <c r="C295" s="2120">
        <v>0.15</v>
      </c>
      <c r="D295" s="2120">
        <v>0.15</v>
      </c>
      <c r="E295" s="2120">
        <v>0.15</v>
      </c>
      <c r="F295" s="2121">
        <v>0.15</v>
      </c>
    </row>
    <row r="296" spans="1:6" ht="14.25" thickBot="1">
      <c r="A296" s="1530" t="s">
        <v>1550</v>
      </c>
      <c r="B296" s="1524" t="s">
        <v>2263</v>
      </c>
      <c r="C296" s="2120">
        <v>0.15</v>
      </c>
      <c r="D296" s="2120">
        <v>0.15</v>
      </c>
      <c r="E296" s="2120">
        <v>0.15</v>
      </c>
      <c r="F296" s="2121">
        <v>0.15</v>
      </c>
    </row>
    <row r="297" spans="1:6" ht="14.25" thickBot="1">
      <c r="A297" s="1530" t="s">
        <v>1550</v>
      </c>
      <c r="B297" s="1524" t="s">
        <v>2264</v>
      </c>
      <c r="C297" s="2120">
        <v>0.14799999999999999</v>
      </c>
      <c r="D297" s="2120">
        <v>0.14899999999999999</v>
      </c>
      <c r="E297" s="2120">
        <v>0.15</v>
      </c>
      <c r="F297" s="2121">
        <v>0.13700000000000001</v>
      </c>
    </row>
    <row r="298" spans="1:6" ht="14.25" thickBot="1">
      <c r="A298" s="1530" t="s">
        <v>1550</v>
      </c>
      <c r="B298" s="1524" t="s">
        <v>1283</v>
      </c>
      <c r="C298" s="2120">
        <v>0.13400000000000001</v>
      </c>
      <c r="D298" s="2120">
        <v>0.13400000000000001</v>
      </c>
      <c r="E298" s="2120">
        <v>0.14499999999999999</v>
      </c>
      <c r="F298" s="2121">
        <v>0.14799999999999999</v>
      </c>
    </row>
    <row r="299" spans="1:6" ht="14.25" thickBot="1">
      <c r="A299" s="1530" t="s">
        <v>1550</v>
      </c>
      <c r="B299" s="1524" t="s">
        <v>1295</v>
      </c>
      <c r="C299" s="2120">
        <v>0.15</v>
      </c>
      <c r="D299" s="2120">
        <v>0.15</v>
      </c>
      <c r="E299" s="2120">
        <v>0.15</v>
      </c>
      <c r="F299" s="2132"/>
    </row>
    <row r="300" spans="1:6" ht="14.25" thickBot="1">
      <c r="A300" s="1530" t="s">
        <v>1550</v>
      </c>
      <c r="B300" s="1524" t="s">
        <v>2265</v>
      </c>
      <c r="C300" s="2120">
        <v>0.15</v>
      </c>
      <c r="D300" s="2120">
        <v>0.15</v>
      </c>
      <c r="E300" s="2120">
        <v>0.15</v>
      </c>
      <c r="F300" s="2121">
        <v>0.15</v>
      </c>
    </row>
    <row r="301" spans="1:6" ht="14.25" thickBot="1">
      <c r="A301" s="1530" t="s">
        <v>1550</v>
      </c>
      <c r="B301" s="1524" t="s">
        <v>1315</v>
      </c>
      <c r="C301" s="2120">
        <v>0.15</v>
      </c>
      <c r="D301" s="2120">
        <v>0.15</v>
      </c>
      <c r="E301" s="2120">
        <v>0.15</v>
      </c>
      <c r="F301" s="2132"/>
    </row>
    <row r="302" spans="1:6" ht="14.25" thickBot="1">
      <c r="A302" s="1530" t="s">
        <v>1550</v>
      </c>
      <c r="B302" s="1524" t="s">
        <v>2266</v>
      </c>
      <c r="C302" s="2120">
        <v>0.15</v>
      </c>
      <c r="D302" s="2120">
        <v>0.15</v>
      </c>
      <c r="E302" s="2120">
        <v>0.15</v>
      </c>
      <c r="F302" s="2121">
        <v>0.15</v>
      </c>
    </row>
    <row r="303" spans="1:6" ht="14.25" thickBot="1">
      <c r="A303" s="1530" t="s">
        <v>1550</v>
      </c>
      <c r="B303" s="1524" t="s">
        <v>1335</v>
      </c>
      <c r="C303" s="2120">
        <v>0.15</v>
      </c>
      <c r="D303" s="2120">
        <v>0.15</v>
      </c>
      <c r="E303" s="2120">
        <v>0.15</v>
      </c>
      <c r="F303" s="2121">
        <v>0.15</v>
      </c>
    </row>
    <row r="304" spans="1:6" ht="14.25" thickBot="1">
      <c r="A304" s="1530" t="s">
        <v>1550</v>
      </c>
      <c r="B304" s="1524" t="s">
        <v>1346</v>
      </c>
      <c r="C304" s="2120">
        <v>0.15</v>
      </c>
      <c r="D304" s="2120">
        <v>0.15</v>
      </c>
      <c r="E304" s="2120">
        <v>0.15</v>
      </c>
      <c r="F304" s="2132"/>
    </row>
    <row r="305" spans="1:6" ht="14.25" thickBot="1">
      <c r="A305" s="1530" t="s">
        <v>1550</v>
      </c>
      <c r="B305" s="1524" t="s">
        <v>2267</v>
      </c>
      <c r="C305" s="2120">
        <v>0.15</v>
      </c>
      <c r="D305" s="2120">
        <v>0.15</v>
      </c>
      <c r="E305" s="2120">
        <v>0.15</v>
      </c>
      <c r="F305" s="2121">
        <v>0.14000000000000001</v>
      </c>
    </row>
    <row r="306" spans="1:6" ht="14.25" thickBot="1">
      <c r="A306" s="1530" t="s">
        <v>1550</v>
      </c>
      <c r="B306" s="1524" t="s">
        <v>1367</v>
      </c>
      <c r="C306" s="2120">
        <v>0.15</v>
      </c>
      <c r="D306" s="2120">
        <v>0.15</v>
      </c>
      <c r="E306" s="2120">
        <v>0.15</v>
      </c>
      <c r="F306" s="2132"/>
    </row>
    <row r="307" spans="1:6" ht="14.25" thickBot="1">
      <c r="A307" s="1530" t="s">
        <v>1550</v>
      </c>
      <c r="B307" s="1524" t="s">
        <v>2268</v>
      </c>
      <c r="C307" s="2120">
        <v>0.15</v>
      </c>
      <c r="D307" s="2120">
        <v>0.15</v>
      </c>
      <c r="E307" s="2120">
        <v>0.15</v>
      </c>
      <c r="F307" s="2121">
        <v>0.14299999999999999</v>
      </c>
    </row>
    <row r="308" spans="1:6" ht="14.25" thickBot="1">
      <c r="A308" s="1530" t="s">
        <v>1550</v>
      </c>
      <c r="B308" s="1524" t="s">
        <v>1387</v>
      </c>
      <c r="C308" s="2120">
        <v>0.15</v>
      </c>
      <c r="D308" s="2120">
        <v>0.15</v>
      </c>
      <c r="E308" s="2120">
        <v>0.15</v>
      </c>
      <c r="F308" s="2121">
        <v>0.15</v>
      </c>
    </row>
    <row r="309" spans="1:6" ht="14.25" thickBot="1">
      <c r="A309" s="1530" t="s">
        <v>1550</v>
      </c>
      <c r="B309" s="1524" t="s">
        <v>1397</v>
      </c>
      <c r="C309" s="2120">
        <v>0.15</v>
      </c>
      <c r="D309" s="2120">
        <v>0.15</v>
      </c>
      <c r="E309" s="2120">
        <v>0.15</v>
      </c>
      <c r="F309" s="2132"/>
    </row>
    <row r="310" spans="1:6" ht="14.25" thickBot="1">
      <c r="A310" s="1530" t="s">
        <v>1550</v>
      </c>
      <c r="B310" s="1524" t="s">
        <v>2269</v>
      </c>
      <c r="C310" s="2120">
        <v>0.15</v>
      </c>
      <c r="D310" s="2120">
        <v>0.15</v>
      </c>
      <c r="E310" s="2120">
        <v>0.15</v>
      </c>
      <c r="F310" s="2121">
        <v>0.13700000000000001</v>
      </c>
    </row>
    <row r="311" spans="1:6" ht="14.25" thickBot="1">
      <c r="A311" s="1530" t="s">
        <v>1550</v>
      </c>
      <c r="B311" s="1524" t="s">
        <v>2270</v>
      </c>
      <c r="C311" s="2120">
        <v>0.15</v>
      </c>
      <c r="D311" s="2120">
        <v>0.15</v>
      </c>
      <c r="E311" s="2120">
        <v>0.15</v>
      </c>
      <c r="F311" s="2121">
        <v>0.15</v>
      </c>
    </row>
    <row r="312" spans="1:6" ht="14.25" thickBot="1">
      <c r="A312" s="1530" t="s">
        <v>1550</v>
      </c>
      <c r="B312" s="1524" t="s">
        <v>1423</v>
      </c>
      <c r="C312" s="2120">
        <v>0.15</v>
      </c>
      <c r="D312" s="2120">
        <v>0.15</v>
      </c>
      <c r="E312" s="2120">
        <v>0.15</v>
      </c>
      <c r="F312" s="2121">
        <v>0.1</v>
      </c>
    </row>
    <row r="313" spans="1:6" ht="14.25" thickBot="1">
      <c r="A313" s="1530" t="s">
        <v>1550</v>
      </c>
      <c r="B313" s="1524" t="s">
        <v>2271</v>
      </c>
      <c r="C313" s="2120">
        <v>0.15</v>
      </c>
      <c r="D313" s="2120">
        <v>0.15</v>
      </c>
      <c r="E313" s="2120">
        <v>0.15</v>
      </c>
      <c r="F313" s="2121">
        <v>0.15</v>
      </c>
    </row>
    <row r="314" spans="1:6" ht="24.75" thickBot="1">
      <c r="A314" s="1530" t="s">
        <v>1550</v>
      </c>
      <c r="B314" s="1524" t="s">
        <v>2272</v>
      </c>
      <c r="C314" s="2133"/>
      <c r="D314" s="2133"/>
      <c r="E314" s="2133"/>
      <c r="F314" s="2121">
        <v>0.05</v>
      </c>
    </row>
    <row r="315" spans="1:6" ht="24.75" thickBot="1">
      <c r="A315" s="1530" t="s">
        <v>1550</v>
      </c>
      <c r="B315" s="1524" t="s">
        <v>2273</v>
      </c>
      <c r="C315" s="2133"/>
      <c r="D315" s="2133"/>
      <c r="E315" s="2133"/>
      <c r="F315" s="2121">
        <v>0.05</v>
      </c>
    </row>
    <row r="316" spans="1:6" ht="24.75" thickBot="1">
      <c r="A316" s="1540" t="s">
        <v>1550</v>
      </c>
      <c r="B316" s="1536" t="s">
        <v>2274</v>
      </c>
      <c r="C316" s="2130"/>
      <c r="D316" s="2130"/>
      <c r="E316" s="2130"/>
      <c r="F316" s="2123">
        <v>0.05</v>
      </c>
    </row>
    <row r="317" spans="1:6" ht="14.25" thickBot="1">
      <c r="A317" s="1530" t="s">
        <v>2275</v>
      </c>
      <c r="B317" s="1531" t="s">
        <v>2276</v>
      </c>
      <c r="C317" s="2118">
        <v>0.15</v>
      </c>
      <c r="D317" s="2118">
        <v>0.15</v>
      </c>
      <c r="E317" s="2118">
        <v>0.15</v>
      </c>
      <c r="F317" s="2119">
        <v>0.15</v>
      </c>
    </row>
    <row r="318" spans="1:6" ht="14.25" thickBot="1">
      <c r="A318" s="1530" t="s">
        <v>2275</v>
      </c>
      <c r="B318" s="1524" t="s">
        <v>2277</v>
      </c>
      <c r="C318" s="2120">
        <v>0.107</v>
      </c>
      <c r="D318" s="2120">
        <v>0.11</v>
      </c>
      <c r="E318" s="2120">
        <v>0.112</v>
      </c>
      <c r="F318" s="2132"/>
    </row>
    <row r="319" spans="1:6" ht="14.25" thickBot="1">
      <c r="A319" s="1530" t="s">
        <v>2275</v>
      </c>
      <c r="B319" s="1524" t="s">
        <v>2278</v>
      </c>
      <c r="C319" s="2120">
        <v>0.15</v>
      </c>
      <c r="D319" s="2120">
        <v>0.15</v>
      </c>
      <c r="E319" s="2120">
        <v>0.15</v>
      </c>
      <c r="F319" s="2121">
        <v>0.15</v>
      </c>
    </row>
    <row r="320" spans="1:6" ht="14.25" thickBot="1">
      <c r="A320" s="1530" t="s">
        <v>2275</v>
      </c>
      <c r="B320" s="1524" t="s">
        <v>1239</v>
      </c>
      <c r="C320" s="2120">
        <v>0.15</v>
      </c>
      <c r="D320" s="2120">
        <v>0.15</v>
      </c>
      <c r="E320" s="2120">
        <v>0.15</v>
      </c>
      <c r="F320" s="2132"/>
    </row>
    <row r="321" spans="1:6" ht="14.25" thickBot="1">
      <c r="A321" s="1530" t="s">
        <v>2275</v>
      </c>
      <c r="B321" s="1524" t="s">
        <v>2279</v>
      </c>
      <c r="C321" s="2120">
        <v>0.15</v>
      </c>
      <c r="D321" s="2120">
        <v>0.15</v>
      </c>
      <c r="E321" s="2120">
        <v>0.15</v>
      </c>
      <c r="F321" s="2132"/>
    </row>
    <row r="322" spans="1:6" ht="14.25" thickBot="1">
      <c r="A322" s="1530" t="s">
        <v>2275</v>
      </c>
      <c r="B322" s="1524" t="s">
        <v>2280</v>
      </c>
      <c r="C322" s="2120">
        <v>0.15</v>
      </c>
      <c r="D322" s="2120">
        <v>0.15</v>
      </c>
      <c r="E322" s="2120">
        <v>0.15</v>
      </c>
      <c r="F322" s="2121">
        <v>0.15</v>
      </c>
    </row>
    <row r="323" spans="1:6" ht="14.25" thickBot="1">
      <c r="A323" s="1530" t="s">
        <v>2275</v>
      </c>
      <c r="B323" s="1524" t="s">
        <v>2281</v>
      </c>
      <c r="C323" s="2120">
        <v>0.15</v>
      </c>
      <c r="D323" s="2120">
        <v>0.15</v>
      </c>
      <c r="E323" s="2120">
        <v>0.15</v>
      </c>
      <c r="F323" s="2132"/>
    </row>
    <row r="324" spans="1:6" ht="14.25" thickBot="1">
      <c r="A324" s="1530" t="s">
        <v>2275</v>
      </c>
      <c r="B324" s="1524" t="s">
        <v>2282</v>
      </c>
      <c r="C324" s="2120">
        <v>0.15</v>
      </c>
      <c r="D324" s="2120">
        <v>0.15</v>
      </c>
      <c r="E324" s="2120">
        <v>0.15</v>
      </c>
      <c r="F324" s="2132"/>
    </row>
    <row r="325" spans="1:6" ht="14.25" thickBot="1">
      <c r="A325" s="1530" t="s">
        <v>2275</v>
      </c>
      <c r="B325" s="1524" t="s">
        <v>2283</v>
      </c>
      <c r="C325" s="2120">
        <v>0.15</v>
      </c>
      <c r="D325" s="2120">
        <v>0.15</v>
      </c>
      <c r="E325" s="2120">
        <v>0.15</v>
      </c>
      <c r="F325" s="2121">
        <v>0.14699999999999999</v>
      </c>
    </row>
    <row r="326" spans="1:6" ht="14.25" thickBot="1">
      <c r="A326" s="1530" t="s">
        <v>2275</v>
      </c>
      <c r="B326" s="1524" t="s">
        <v>1306</v>
      </c>
      <c r="C326" s="2120">
        <v>0.15</v>
      </c>
      <c r="D326" s="2120">
        <v>0.15</v>
      </c>
      <c r="E326" s="2120">
        <v>0.15</v>
      </c>
      <c r="F326" s="2132"/>
    </row>
    <row r="327" spans="1:6" ht="14.25" thickBot="1">
      <c r="A327" s="1530" t="s">
        <v>2275</v>
      </c>
      <c r="B327" s="1524" t="s">
        <v>2284</v>
      </c>
      <c r="C327" s="2120">
        <v>0.15</v>
      </c>
      <c r="D327" s="2120">
        <v>0.15</v>
      </c>
      <c r="E327" s="2120">
        <v>0.15</v>
      </c>
      <c r="F327" s="2121">
        <v>0.15</v>
      </c>
    </row>
    <row r="328" spans="1:6" ht="14.25" thickBot="1">
      <c r="A328" s="1530" t="s">
        <v>2275</v>
      </c>
      <c r="B328" s="1524" t="s">
        <v>1326</v>
      </c>
      <c r="C328" s="2120">
        <v>0.15</v>
      </c>
      <c r="D328" s="2120">
        <v>0.15</v>
      </c>
      <c r="E328" s="2120">
        <v>0.15</v>
      </c>
      <c r="F328" s="2121">
        <v>0.14099999999999999</v>
      </c>
    </row>
    <row r="329" spans="1:6" ht="14.25" thickBot="1">
      <c r="A329" s="1530" t="s">
        <v>2275</v>
      </c>
      <c r="B329" s="1524" t="s">
        <v>1336</v>
      </c>
      <c r="C329" s="2120">
        <v>0.15</v>
      </c>
      <c r="D329" s="2120">
        <v>0.15</v>
      </c>
      <c r="E329" s="2120">
        <v>0.15</v>
      </c>
      <c r="F329" s="2121">
        <v>0.15</v>
      </c>
    </row>
    <row r="330" spans="1:6" ht="14.25" thickBot="1">
      <c r="A330" s="1530" t="s">
        <v>2275</v>
      </c>
      <c r="B330" s="1524" t="s">
        <v>1347</v>
      </c>
      <c r="C330" s="2120">
        <v>0.15</v>
      </c>
      <c r="D330" s="2120">
        <v>0.15</v>
      </c>
      <c r="E330" s="2120">
        <v>0.15</v>
      </c>
      <c r="F330" s="2132"/>
    </row>
    <row r="331" spans="1:6" ht="14.25" thickBot="1">
      <c r="A331" s="1530" t="s">
        <v>2275</v>
      </c>
      <c r="B331" s="1524" t="s">
        <v>2285</v>
      </c>
      <c r="C331" s="2120">
        <v>0.15</v>
      </c>
      <c r="D331" s="2120">
        <v>0.15</v>
      </c>
      <c r="E331" s="2120">
        <v>0.15</v>
      </c>
      <c r="F331" s="2121">
        <v>0.15</v>
      </c>
    </row>
    <row r="332" spans="1:6" ht="14.25" thickBot="1">
      <c r="A332" s="1530" t="s">
        <v>2275</v>
      </c>
      <c r="B332" s="1524" t="s">
        <v>1368</v>
      </c>
      <c r="C332" s="2120">
        <v>0.15</v>
      </c>
      <c r="D332" s="2120">
        <v>0.15</v>
      </c>
      <c r="E332" s="2120">
        <v>0.15</v>
      </c>
      <c r="F332" s="2121">
        <v>0.15</v>
      </c>
    </row>
    <row r="333" spans="1:6" ht="14.25" thickBot="1">
      <c r="A333" s="1530" t="s">
        <v>2275</v>
      </c>
      <c r="B333" s="1524" t="s">
        <v>2286</v>
      </c>
      <c r="C333" s="2120">
        <v>0.15</v>
      </c>
      <c r="D333" s="2120">
        <v>0.15</v>
      </c>
      <c r="E333" s="2120">
        <v>0.15</v>
      </c>
      <c r="F333" s="2121">
        <v>0.14099999999999999</v>
      </c>
    </row>
    <row r="334" spans="1:6" ht="14.25" thickBot="1">
      <c r="A334" s="1530" t="s">
        <v>2275</v>
      </c>
      <c r="B334" s="1524" t="s">
        <v>1388</v>
      </c>
      <c r="C334" s="2120">
        <v>0.15</v>
      </c>
      <c r="D334" s="2120">
        <v>0.15</v>
      </c>
      <c r="E334" s="2120">
        <v>0.15</v>
      </c>
      <c r="F334" s="2121">
        <v>0.15</v>
      </c>
    </row>
    <row r="335" spans="1:6" ht="14.25" thickBot="1">
      <c r="A335" s="1530" t="s">
        <v>2275</v>
      </c>
      <c r="B335" s="1524" t="s">
        <v>1398</v>
      </c>
      <c r="C335" s="2120">
        <v>0.15</v>
      </c>
      <c r="D335" s="2120">
        <v>0.15</v>
      </c>
      <c r="E335" s="2120">
        <v>0.15</v>
      </c>
      <c r="F335" s="2132"/>
    </row>
    <row r="336" spans="1:6" ht="14.25" thickBot="1">
      <c r="A336" s="1530" t="s">
        <v>2275</v>
      </c>
      <c r="B336" s="1524" t="s">
        <v>2287</v>
      </c>
      <c r="C336" s="2120">
        <v>0.15</v>
      </c>
      <c r="D336" s="2120">
        <v>0.15</v>
      </c>
      <c r="E336" s="2120">
        <v>0.15</v>
      </c>
      <c r="F336" s="2121">
        <v>0.11799999999999999</v>
      </c>
    </row>
    <row r="337" spans="1:6" ht="14.25" thickBot="1">
      <c r="A337" s="1540" t="s">
        <v>2275</v>
      </c>
      <c r="B337" s="1536" t="s">
        <v>1416</v>
      </c>
      <c r="C337" s="2130"/>
      <c r="D337" s="2130"/>
      <c r="E337" s="2130"/>
      <c r="F337" s="2123">
        <v>0.14299999999999999</v>
      </c>
    </row>
    <row r="338" spans="1:6" ht="14.25" thickBot="1">
      <c r="A338" s="1530" t="s">
        <v>2288</v>
      </c>
      <c r="B338" s="1531" t="s">
        <v>2289</v>
      </c>
      <c r="C338" s="2118">
        <v>0.15</v>
      </c>
      <c r="D338" s="2118">
        <v>0.15</v>
      </c>
      <c r="E338" s="2118">
        <v>0.15</v>
      </c>
      <c r="F338" s="2135"/>
    </row>
    <row r="339" spans="1:6" ht="14.25" thickBot="1">
      <c r="A339" s="1530" t="s">
        <v>2288</v>
      </c>
      <c r="B339" s="1524" t="s">
        <v>2290</v>
      </c>
      <c r="C339" s="2120">
        <v>0.15</v>
      </c>
      <c r="D339" s="2120">
        <v>0.15</v>
      </c>
      <c r="E339" s="2120">
        <v>0.15</v>
      </c>
      <c r="F339" s="2132"/>
    </row>
    <row r="340" spans="1:6" ht="14.25" thickBot="1">
      <c r="A340" s="1530" t="s">
        <v>2288</v>
      </c>
      <c r="B340" s="1524" t="s">
        <v>2291</v>
      </c>
      <c r="C340" s="2120">
        <v>0.15</v>
      </c>
      <c r="D340" s="2120">
        <v>0.15</v>
      </c>
      <c r="E340" s="2120">
        <v>0.15</v>
      </c>
      <c r="F340" s="2132"/>
    </row>
    <row r="341" spans="1:6" ht="14.25" thickBot="1">
      <c r="A341" s="1530" t="s">
        <v>2288</v>
      </c>
      <c r="B341" s="1524" t="s">
        <v>2292</v>
      </c>
      <c r="C341" s="2120">
        <v>0.15</v>
      </c>
      <c r="D341" s="2120">
        <v>0.15</v>
      </c>
      <c r="E341" s="2120">
        <v>0.15</v>
      </c>
      <c r="F341" s="2121">
        <v>0.15</v>
      </c>
    </row>
    <row r="342" spans="1:6" ht="14.25" thickBot="1">
      <c r="A342" s="1530" t="s">
        <v>2288</v>
      </c>
      <c r="B342" s="1524" t="s">
        <v>2293</v>
      </c>
      <c r="C342" s="2120">
        <v>0.15</v>
      </c>
      <c r="D342" s="2120">
        <v>0.15</v>
      </c>
      <c r="E342" s="2120">
        <v>0.15</v>
      </c>
      <c r="F342" s="2121">
        <v>0.15</v>
      </c>
    </row>
    <row r="343" spans="1:6" ht="14.25" thickBot="1">
      <c r="A343" s="1530" t="s">
        <v>2288</v>
      </c>
      <c r="B343" s="1524" t="s">
        <v>2294</v>
      </c>
      <c r="C343" s="2120">
        <v>0.15</v>
      </c>
      <c r="D343" s="2120">
        <v>0.15</v>
      </c>
      <c r="E343" s="2120">
        <v>0.15</v>
      </c>
      <c r="F343" s="2121">
        <v>0.15</v>
      </c>
    </row>
    <row r="344" spans="1:6" ht="14.25" thickBot="1">
      <c r="A344" s="1540" t="s">
        <v>2288</v>
      </c>
      <c r="B344" s="1536" t="s">
        <v>2295</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6" customWidth="1"/>
    <col min="2" max="2" width="13.25" style="3152" customWidth="1"/>
    <col min="3" max="3" width="15.625" style="3152" customWidth="1"/>
    <col min="4" max="4" width="9.375" style="3152" bestFit="1" customWidth="1"/>
    <col min="5" max="5" width="13.5" style="3152" customWidth="1"/>
    <col min="6" max="6" width="9" style="3152"/>
    <col min="7" max="7" width="9.375" style="3152" bestFit="1" customWidth="1"/>
    <col min="8" max="8" width="12.25" style="3152" customWidth="1"/>
    <col min="9" max="9" width="9" style="3152"/>
    <col min="10" max="10" width="9.375" style="3152" bestFit="1" customWidth="1"/>
    <col min="11" max="11" width="4" style="3146" customWidth="1"/>
    <col min="12" max="12" width="5.125" style="3152" customWidth="1"/>
    <col min="13" max="13" width="13.75" style="3152" customWidth="1"/>
    <col min="14" max="256" width="9" style="3152"/>
    <col min="257" max="257" width="4.875" style="3143" customWidth="1"/>
    <col min="258" max="258" width="13.25" style="3143" customWidth="1"/>
    <col min="259" max="259" width="15.625" style="3143" customWidth="1"/>
    <col min="260" max="260" width="9.375" style="3143" bestFit="1" customWidth="1"/>
    <col min="261" max="261" width="13.5" style="3143" customWidth="1"/>
    <col min="262" max="262" width="9" style="3143"/>
    <col min="263" max="263" width="9.375" style="3143" bestFit="1" customWidth="1"/>
    <col min="264" max="265" width="9" style="3143"/>
    <col min="266" max="266" width="9.375" style="3143" bestFit="1" customWidth="1"/>
    <col min="267" max="267" width="4" style="3143" customWidth="1"/>
    <col min="268" max="268" width="5.125" style="3143" customWidth="1"/>
    <col min="269" max="269" width="13.75" style="3143" customWidth="1"/>
    <col min="270" max="512" width="9" style="3143"/>
    <col min="513" max="513" width="4.875" style="3143" customWidth="1"/>
    <col min="514" max="514" width="13.25" style="3143" customWidth="1"/>
    <col min="515" max="515" width="15.625" style="3143" customWidth="1"/>
    <col min="516" max="516" width="9.375" style="3143" bestFit="1" customWidth="1"/>
    <col min="517" max="517" width="13.5" style="3143" customWidth="1"/>
    <col min="518" max="518" width="9" style="3143"/>
    <col min="519" max="519" width="9.375" style="3143" bestFit="1" customWidth="1"/>
    <col min="520" max="521" width="9" style="3143"/>
    <col min="522" max="522" width="9.375" style="3143" bestFit="1" customWidth="1"/>
    <col min="523" max="523" width="4" style="3143" customWidth="1"/>
    <col min="524" max="524" width="5.125" style="3143" customWidth="1"/>
    <col min="525" max="525" width="13.75" style="3143" customWidth="1"/>
    <col min="526" max="768" width="9" style="3143"/>
    <col min="769" max="769" width="4.875" style="3143" customWidth="1"/>
    <col min="770" max="770" width="13.25" style="3143" customWidth="1"/>
    <col min="771" max="771" width="15.625" style="3143" customWidth="1"/>
    <col min="772" max="772" width="9.375" style="3143" bestFit="1" customWidth="1"/>
    <col min="773" max="773" width="13.5" style="3143" customWidth="1"/>
    <col min="774" max="774" width="9" style="3143"/>
    <col min="775" max="775" width="9.375" style="3143" bestFit="1" customWidth="1"/>
    <col min="776" max="777" width="9" style="3143"/>
    <col min="778" max="778" width="9.375" style="3143" bestFit="1" customWidth="1"/>
    <col min="779" max="779" width="4" style="3143" customWidth="1"/>
    <col min="780" max="780" width="5.125" style="3143" customWidth="1"/>
    <col min="781" max="781" width="13.75" style="3143" customWidth="1"/>
    <col min="782" max="1024" width="9" style="3143"/>
    <col min="1025" max="1025" width="4.875" style="3143" customWidth="1"/>
    <col min="1026" max="1026" width="13.25" style="3143" customWidth="1"/>
    <col min="1027" max="1027" width="15.625" style="3143" customWidth="1"/>
    <col min="1028" max="1028" width="9.375" style="3143" bestFit="1" customWidth="1"/>
    <col min="1029" max="1029" width="13.5" style="3143" customWidth="1"/>
    <col min="1030" max="1030" width="9" style="3143"/>
    <col min="1031" max="1031" width="9.375" style="3143" bestFit="1" customWidth="1"/>
    <col min="1032" max="1033" width="9" style="3143"/>
    <col min="1034" max="1034" width="9.375" style="3143" bestFit="1" customWidth="1"/>
    <col min="1035" max="1035" width="4" style="3143" customWidth="1"/>
    <col min="1036" max="1036" width="5.125" style="3143" customWidth="1"/>
    <col min="1037" max="1037" width="13.75" style="3143" customWidth="1"/>
    <col min="1038" max="1280" width="9" style="3143"/>
    <col min="1281" max="1281" width="4.875" style="3143" customWidth="1"/>
    <col min="1282" max="1282" width="13.25" style="3143" customWidth="1"/>
    <col min="1283" max="1283" width="15.625" style="3143" customWidth="1"/>
    <col min="1284" max="1284" width="9.375" style="3143" bestFit="1" customWidth="1"/>
    <col min="1285" max="1285" width="13.5" style="3143" customWidth="1"/>
    <col min="1286" max="1286" width="9" style="3143"/>
    <col min="1287" max="1287" width="9.375" style="3143" bestFit="1" customWidth="1"/>
    <col min="1288" max="1289" width="9" style="3143"/>
    <col min="1290" max="1290" width="9.375" style="3143" bestFit="1" customWidth="1"/>
    <col min="1291" max="1291" width="4" style="3143" customWidth="1"/>
    <col min="1292" max="1292" width="5.125" style="3143" customWidth="1"/>
    <col min="1293" max="1293" width="13.75" style="3143" customWidth="1"/>
    <col min="1294" max="1536" width="9" style="3143"/>
    <col min="1537" max="1537" width="4.875" style="3143" customWidth="1"/>
    <col min="1538" max="1538" width="13.25" style="3143" customWidth="1"/>
    <col min="1539" max="1539" width="15.625" style="3143" customWidth="1"/>
    <col min="1540" max="1540" width="9.375" style="3143" bestFit="1" customWidth="1"/>
    <col min="1541" max="1541" width="13.5" style="3143" customWidth="1"/>
    <col min="1542" max="1542" width="9" style="3143"/>
    <col min="1543" max="1543" width="9.375" style="3143" bestFit="1" customWidth="1"/>
    <col min="1544" max="1545" width="9" style="3143"/>
    <col min="1546" max="1546" width="9.375" style="3143" bestFit="1" customWidth="1"/>
    <col min="1547" max="1547" width="4" style="3143" customWidth="1"/>
    <col min="1548" max="1548" width="5.125" style="3143" customWidth="1"/>
    <col min="1549" max="1549" width="13.75" style="3143" customWidth="1"/>
    <col min="1550" max="1792" width="9" style="3143"/>
    <col min="1793" max="1793" width="4.875" style="3143" customWidth="1"/>
    <col min="1794" max="1794" width="13.25" style="3143" customWidth="1"/>
    <col min="1795" max="1795" width="15.625" style="3143" customWidth="1"/>
    <col min="1796" max="1796" width="9.375" style="3143" bestFit="1" customWidth="1"/>
    <col min="1797" max="1797" width="13.5" style="3143" customWidth="1"/>
    <col min="1798" max="1798" width="9" style="3143"/>
    <col min="1799" max="1799" width="9.375" style="3143" bestFit="1" customWidth="1"/>
    <col min="1800" max="1801" width="9" style="3143"/>
    <col min="1802" max="1802" width="9.375" style="3143" bestFit="1" customWidth="1"/>
    <col min="1803" max="1803" width="4" style="3143" customWidth="1"/>
    <col min="1804" max="1804" width="5.125" style="3143" customWidth="1"/>
    <col min="1805" max="1805" width="13.75" style="3143" customWidth="1"/>
    <col min="1806" max="2048" width="9" style="3143"/>
    <col min="2049" max="2049" width="4.875" style="3143" customWidth="1"/>
    <col min="2050" max="2050" width="13.25" style="3143" customWidth="1"/>
    <col min="2051" max="2051" width="15.625" style="3143" customWidth="1"/>
    <col min="2052" max="2052" width="9.375" style="3143" bestFit="1" customWidth="1"/>
    <col min="2053" max="2053" width="13.5" style="3143" customWidth="1"/>
    <col min="2054" max="2054" width="9" style="3143"/>
    <col min="2055" max="2055" width="9.375" style="3143" bestFit="1" customWidth="1"/>
    <col min="2056" max="2057" width="9" style="3143"/>
    <col min="2058" max="2058" width="9.375" style="3143" bestFit="1" customWidth="1"/>
    <col min="2059" max="2059" width="4" style="3143" customWidth="1"/>
    <col min="2060" max="2060" width="5.125" style="3143" customWidth="1"/>
    <col min="2061" max="2061" width="13.75" style="3143" customWidth="1"/>
    <col min="2062" max="2304" width="9" style="3143"/>
    <col min="2305" max="2305" width="4.875" style="3143" customWidth="1"/>
    <col min="2306" max="2306" width="13.25" style="3143" customWidth="1"/>
    <col min="2307" max="2307" width="15.625" style="3143" customWidth="1"/>
    <col min="2308" max="2308" width="9.375" style="3143" bestFit="1" customWidth="1"/>
    <col min="2309" max="2309" width="13.5" style="3143" customWidth="1"/>
    <col min="2310" max="2310" width="9" style="3143"/>
    <col min="2311" max="2311" width="9.375" style="3143" bestFit="1" customWidth="1"/>
    <col min="2312" max="2313" width="9" style="3143"/>
    <col min="2314" max="2314" width="9.375" style="3143" bestFit="1" customWidth="1"/>
    <col min="2315" max="2315" width="4" style="3143" customWidth="1"/>
    <col min="2316" max="2316" width="5.125" style="3143" customWidth="1"/>
    <col min="2317" max="2317" width="13.75" style="3143" customWidth="1"/>
    <col min="2318" max="2560" width="9" style="3143"/>
    <col min="2561" max="2561" width="4.875" style="3143" customWidth="1"/>
    <col min="2562" max="2562" width="13.25" style="3143" customWidth="1"/>
    <col min="2563" max="2563" width="15.625" style="3143" customWidth="1"/>
    <col min="2564" max="2564" width="9.375" style="3143" bestFit="1" customWidth="1"/>
    <col min="2565" max="2565" width="13.5" style="3143" customWidth="1"/>
    <col min="2566" max="2566" width="9" style="3143"/>
    <col min="2567" max="2567" width="9.375" style="3143" bestFit="1" customWidth="1"/>
    <col min="2568" max="2569" width="9" style="3143"/>
    <col min="2570" max="2570" width="9.375" style="3143" bestFit="1" customWidth="1"/>
    <col min="2571" max="2571" width="4" style="3143" customWidth="1"/>
    <col min="2572" max="2572" width="5.125" style="3143" customWidth="1"/>
    <col min="2573" max="2573" width="13.75" style="3143" customWidth="1"/>
    <col min="2574" max="2816" width="9" style="3143"/>
    <col min="2817" max="2817" width="4.875" style="3143" customWidth="1"/>
    <col min="2818" max="2818" width="13.25" style="3143" customWidth="1"/>
    <col min="2819" max="2819" width="15.625" style="3143" customWidth="1"/>
    <col min="2820" max="2820" width="9.375" style="3143" bestFit="1" customWidth="1"/>
    <col min="2821" max="2821" width="13.5" style="3143" customWidth="1"/>
    <col min="2822" max="2822" width="9" style="3143"/>
    <col min="2823" max="2823" width="9.375" style="3143" bestFit="1" customWidth="1"/>
    <col min="2824" max="2825" width="9" style="3143"/>
    <col min="2826" max="2826" width="9.375" style="3143" bestFit="1" customWidth="1"/>
    <col min="2827" max="2827" width="4" style="3143" customWidth="1"/>
    <col min="2828" max="2828" width="5.125" style="3143" customWidth="1"/>
    <col min="2829" max="2829" width="13.75" style="3143" customWidth="1"/>
    <col min="2830" max="3072" width="9" style="3143"/>
    <col min="3073" max="3073" width="4.875" style="3143" customWidth="1"/>
    <col min="3074" max="3074" width="13.25" style="3143" customWidth="1"/>
    <col min="3075" max="3075" width="15.625" style="3143" customWidth="1"/>
    <col min="3076" max="3076" width="9.375" style="3143" bestFit="1" customWidth="1"/>
    <col min="3077" max="3077" width="13.5" style="3143" customWidth="1"/>
    <col min="3078" max="3078" width="9" style="3143"/>
    <col min="3079" max="3079" width="9.375" style="3143" bestFit="1" customWidth="1"/>
    <col min="3080" max="3081" width="9" style="3143"/>
    <col min="3082" max="3082" width="9.375" style="3143" bestFit="1" customWidth="1"/>
    <col min="3083" max="3083" width="4" style="3143" customWidth="1"/>
    <col min="3084" max="3084" width="5.125" style="3143" customWidth="1"/>
    <col min="3085" max="3085" width="13.75" style="3143" customWidth="1"/>
    <col min="3086" max="3328" width="9" style="3143"/>
    <col min="3329" max="3329" width="4.875" style="3143" customWidth="1"/>
    <col min="3330" max="3330" width="13.25" style="3143" customWidth="1"/>
    <col min="3331" max="3331" width="15.625" style="3143" customWidth="1"/>
    <col min="3332" max="3332" width="9.375" style="3143" bestFit="1" customWidth="1"/>
    <col min="3333" max="3333" width="13.5" style="3143" customWidth="1"/>
    <col min="3334" max="3334" width="9" style="3143"/>
    <col min="3335" max="3335" width="9.375" style="3143" bestFit="1" customWidth="1"/>
    <col min="3336" max="3337" width="9" style="3143"/>
    <col min="3338" max="3338" width="9.375" style="3143" bestFit="1" customWidth="1"/>
    <col min="3339" max="3339" width="4" style="3143" customWidth="1"/>
    <col min="3340" max="3340" width="5.125" style="3143" customWidth="1"/>
    <col min="3341" max="3341" width="13.75" style="3143" customWidth="1"/>
    <col min="3342" max="3584" width="9" style="3143"/>
    <col min="3585" max="3585" width="4.875" style="3143" customWidth="1"/>
    <col min="3586" max="3586" width="13.25" style="3143" customWidth="1"/>
    <col min="3587" max="3587" width="15.625" style="3143" customWidth="1"/>
    <col min="3588" max="3588" width="9.375" style="3143" bestFit="1" customWidth="1"/>
    <col min="3589" max="3589" width="13.5" style="3143" customWidth="1"/>
    <col min="3590" max="3590" width="9" style="3143"/>
    <col min="3591" max="3591" width="9.375" style="3143" bestFit="1" customWidth="1"/>
    <col min="3592" max="3593" width="9" style="3143"/>
    <col min="3594" max="3594" width="9.375" style="3143" bestFit="1" customWidth="1"/>
    <col min="3595" max="3595" width="4" style="3143" customWidth="1"/>
    <col min="3596" max="3596" width="5.125" style="3143" customWidth="1"/>
    <col min="3597" max="3597" width="13.75" style="3143" customWidth="1"/>
    <col min="3598" max="3840" width="9" style="3143"/>
    <col min="3841" max="3841" width="4.875" style="3143" customWidth="1"/>
    <col min="3842" max="3842" width="13.25" style="3143" customWidth="1"/>
    <col min="3843" max="3843" width="15.625" style="3143" customWidth="1"/>
    <col min="3844" max="3844" width="9.375" style="3143" bestFit="1" customWidth="1"/>
    <col min="3845" max="3845" width="13.5" style="3143" customWidth="1"/>
    <col min="3846" max="3846" width="9" style="3143"/>
    <col min="3847" max="3847" width="9.375" style="3143" bestFit="1" customWidth="1"/>
    <col min="3848" max="3849" width="9" style="3143"/>
    <col min="3850" max="3850" width="9.375" style="3143" bestFit="1" customWidth="1"/>
    <col min="3851" max="3851" width="4" style="3143" customWidth="1"/>
    <col min="3852" max="3852" width="5.125" style="3143" customWidth="1"/>
    <col min="3853" max="3853" width="13.75" style="3143" customWidth="1"/>
    <col min="3854" max="4096" width="9" style="3143"/>
    <col min="4097" max="4097" width="4.875" style="3143" customWidth="1"/>
    <col min="4098" max="4098" width="13.25" style="3143" customWidth="1"/>
    <col min="4099" max="4099" width="15.625" style="3143" customWidth="1"/>
    <col min="4100" max="4100" width="9.375" style="3143" bestFit="1" customWidth="1"/>
    <col min="4101" max="4101" width="13.5" style="3143" customWidth="1"/>
    <col min="4102" max="4102" width="9" style="3143"/>
    <col min="4103" max="4103" width="9.375" style="3143" bestFit="1" customWidth="1"/>
    <col min="4104" max="4105" width="9" style="3143"/>
    <col min="4106" max="4106" width="9.375" style="3143" bestFit="1" customWidth="1"/>
    <col min="4107" max="4107" width="4" style="3143" customWidth="1"/>
    <col min="4108" max="4108" width="5.125" style="3143" customWidth="1"/>
    <col min="4109" max="4109" width="13.75" style="3143" customWidth="1"/>
    <col min="4110" max="4352" width="9" style="3143"/>
    <col min="4353" max="4353" width="4.875" style="3143" customWidth="1"/>
    <col min="4354" max="4354" width="13.25" style="3143" customWidth="1"/>
    <col min="4355" max="4355" width="15.625" style="3143" customWidth="1"/>
    <col min="4356" max="4356" width="9.375" style="3143" bestFit="1" customWidth="1"/>
    <col min="4357" max="4357" width="13.5" style="3143" customWidth="1"/>
    <col min="4358" max="4358" width="9" style="3143"/>
    <col min="4359" max="4359" width="9.375" style="3143" bestFit="1" customWidth="1"/>
    <col min="4360" max="4361" width="9" style="3143"/>
    <col min="4362" max="4362" width="9.375" style="3143" bestFit="1" customWidth="1"/>
    <col min="4363" max="4363" width="4" style="3143" customWidth="1"/>
    <col min="4364" max="4364" width="5.125" style="3143" customWidth="1"/>
    <col min="4365" max="4365" width="13.75" style="3143" customWidth="1"/>
    <col min="4366" max="4608" width="9" style="3143"/>
    <col min="4609" max="4609" width="4.875" style="3143" customWidth="1"/>
    <col min="4610" max="4610" width="13.25" style="3143" customWidth="1"/>
    <col min="4611" max="4611" width="15.625" style="3143" customWidth="1"/>
    <col min="4612" max="4612" width="9.375" style="3143" bestFit="1" customWidth="1"/>
    <col min="4613" max="4613" width="13.5" style="3143" customWidth="1"/>
    <col min="4614" max="4614" width="9" style="3143"/>
    <col min="4615" max="4615" width="9.375" style="3143" bestFit="1" customWidth="1"/>
    <col min="4616" max="4617" width="9" style="3143"/>
    <col min="4618" max="4618" width="9.375" style="3143" bestFit="1" customWidth="1"/>
    <col min="4619" max="4619" width="4" style="3143" customWidth="1"/>
    <col min="4620" max="4620" width="5.125" style="3143" customWidth="1"/>
    <col min="4621" max="4621" width="13.75" style="3143" customWidth="1"/>
    <col min="4622" max="4864" width="9" style="3143"/>
    <col min="4865" max="4865" width="4.875" style="3143" customWidth="1"/>
    <col min="4866" max="4866" width="13.25" style="3143" customWidth="1"/>
    <col min="4867" max="4867" width="15.625" style="3143" customWidth="1"/>
    <col min="4868" max="4868" width="9.375" style="3143" bestFit="1" customWidth="1"/>
    <col min="4869" max="4869" width="13.5" style="3143" customWidth="1"/>
    <col min="4870" max="4870" width="9" style="3143"/>
    <col min="4871" max="4871" width="9.375" style="3143" bestFit="1" customWidth="1"/>
    <col min="4872" max="4873" width="9" style="3143"/>
    <col min="4874" max="4874" width="9.375" style="3143" bestFit="1" customWidth="1"/>
    <col min="4875" max="4875" width="4" style="3143" customWidth="1"/>
    <col min="4876" max="4876" width="5.125" style="3143" customWidth="1"/>
    <col min="4877" max="4877" width="13.75" style="3143" customWidth="1"/>
    <col min="4878" max="5120" width="9" style="3143"/>
    <col min="5121" max="5121" width="4.875" style="3143" customWidth="1"/>
    <col min="5122" max="5122" width="13.25" style="3143" customWidth="1"/>
    <col min="5123" max="5123" width="15.625" style="3143" customWidth="1"/>
    <col min="5124" max="5124" width="9.375" style="3143" bestFit="1" customWidth="1"/>
    <col min="5125" max="5125" width="13.5" style="3143" customWidth="1"/>
    <col min="5126" max="5126" width="9" style="3143"/>
    <col min="5127" max="5127" width="9.375" style="3143" bestFit="1" customWidth="1"/>
    <col min="5128" max="5129" width="9" style="3143"/>
    <col min="5130" max="5130" width="9.375" style="3143" bestFit="1" customWidth="1"/>
    <col min="5131" max="5131" width="4" style="3143" customWidth="1"/>
    <col min="5132" max="5132" width="5.125" style="3143" customWidth="1"/>
    <col min="5133" max="5133" width="13.75" style="3143" customWidth="1"/>
    <col min="5134" max="5376" width="9" style="3143"/>
    <col min="5377" max="5377" width="4.875" style="3143" customWidth="1"/>
    <col min="5378" max="5378" width="13.25" style="3143" customWidth="1"/>
    <col min="5379" max="5379" width="15.625" style="3143" customWidth="1"/>
    <col min="5380" max="5380" width="9.375" style="3143" bestFit="1" customWidth="1"/>
    <col min="5381" max="5381" width="13.5" style="3143" customWidth="1"/>
    <col min="5382" max="5382" width="9" style="3143"/>
    <col min="5383" max="5383" width="9.375" style="3143" bestFit="1" customWidth="1"/>
    <col min="5384" max="5385" width="9" style="3143"/>
    <col min="5386" max="5386" width="9.375" style="3143" bestFit="1" customWidth="1"/>
    <col min="5387" max="5387" width="4" style="3143" customWidth="1"/>
    <col min="5388" max="5388" width="5.125" style="3143" customWidth="1"/>
    <col min="5389" max="5389" width="13.75" style="3143" customWidth="1"/>
    <col min="5390" max="5632" width="9" style="3143"/>
    <col min="5633" max="5633" width="4.875" style="3143" customWidth="1"/>
    <col min="5634" max="5634" width="13.25" style="3143" customWidth="1"/>
    <col min="5635" max="5635" width="15.625" style="3143" customWidth="1"/>
    <col min="5636" max="5636" width="9.375" style="3143" bestFit="1" customWidth="1"/>
    <col min="5637" max="5637" width="13.5" style="3143" customWidth="1"/>
    <col min="5638" max="5638" width="9" style="3143"/>
    <col min="5639" max="5639" width="9.375" style="3143" bestFit="1" customWidth="1"/>
    <col min="5640" max="5641" width="9" style="3143"/>
    <col min="5642" max="5642" width="9.375" style="3143" bestFit="1" customWidth="1"/>
    <col min="5643" max="5643" width="4" style="3143" customWidth="1"/>
    <col min="5644" max="5644" width="5.125" style="3143" customWidth="1"/>
    <col min="5645" max="5645" width="13.75" style="3143" customWidth="1"/>
    <col min="5646" max="5888" width="9" style="3143"/>
    <col min="5889" max="5889" width="4.875" style="3143" customWidth="1"/>
    <col min="5890" max="5890" width="13.25" style="3143" customWidth="1"/>
    <col min="5891" max="5891" width="15.625" style="3143" customWidth="1"/>
    <col min="5892" max="5892" width="9.375" style="3143" bestFit="1" customWidth="1"/>
    <col min="5893" max="5893" width="13.5" style="3143" customWidth="1"/>
    <col min="5894" max="5894" width="9" style="3143"/>
    <col min="5895" max="5895" width="9.375" style="3143" bestFit="1" customWidth="1"/>
    <col min="5896" max="5897" width="9" style="3143"/>
    <col min="5898" max="5898" width="9.375" style="3143" bestFit="1" customWidth="1"/>
    <col min="5899" max="5899" width="4" style="3143" customWidth="1"/>
    <col min="5900" max="5900" width="5.125" style="3143" customWidth="1"/>
    <col min="5901" max="5901" width="13.75" style="3143" customWidth="1"/>
    <col min="5902" max="6144" width="9" style="3143"/>
    <col min="6145" max="6145" width="4.875" style="3143" customWidth="1"/>
    <col min="6146" max="6146" width="13.25" style="3143" customWidth="1"/>
    <col min="6147" max="6147" width="15.625" style="3143" customWidth="1"/>
    <col min="6148" max="6148" width="9.375" style="3143" bestFit="1" customWidth="1"/>
    <col min="6149" max="6149" width="13.5" style="3143" customWidth="1"/>
    <col min="6150" max="6150" width="9" style="3143"/>
    <col min="6151" max="6151" width="9.375" style="3143" bestFit="1" customWidth="1"/>
    <col min="6152" max="6153" width="9" style="3143"/>
    <col min="6154" max="6154" width="9.375" style="3143" bestFit="1" customWidth="1"/>
    <col min="6155" max="6155" width="4" style="3143" customWidth="1"/>
    <col min="6156" max="6156" width="5.125" style="3143" customWidth="1"/>
    <col min="6157" max="6157" width="13.75" style="3143" customWidth="1"/>
    <col min="6158" max="6400" width="9" style="3143"/>
    <col min="6401" max="6401" width="4.875" style="3143" customWidth="1"/>
    <col min="6402" max="6402" width="13.25" style="3143" customWidth="1"/>
    <col min="6403" max="6403" width="15.625" style="3143" customWidth="1"/>
    <col min="6404" max="6404" width="9.375" style="3143" bestFit="1" customWidth="1"/>
    <col min="6405" max="6405" width="13.5" style="3143" customWidth="1"/>
    <col min="6406" max="6406" width="9" style="3143"/>
    <col min="6407" max="6407" width="9.375" style="3143" bestFit="1" customWidth="1"/>
    <col min="6408" max="6409" width="9" style="3143"/>
    <col min="6410" max="6410" width="9.375" style="3143" bestFit="1" customWidth="1"/>
    <col min="6411" max="6411" width="4" style="3143" customWidth="1"/>
    <col min="6412" max="6412" width="5.125" style="3143" customWidth="1"/>
    <col min="6413" max="6413" width="13.75" style="3143" customWidth="1"/>
    <col min="6414" max="6656" width="9" style="3143"/>
    <col min="6657" max="6657" width="4.875" style="3143" customWidth="1"/>
    <col min="6658" max="6658" width="13.25" style="3143" customWidth="1"/>
    <col min="6659" max="6659" width="15.625" style="3143" customWidth="1"/>
    <col min="6660" max="6660" width="9.375" style="3143" bestFit="1" customWidth="1"/>
    <col min="6661" max="6661" width="13.5" style="3143" customWidth="1"/>
    <col min="6662" max="6662" width="9" style="3143"/>
    <col min="6663" max="6663" width="9.375" style="3143" bestFit="1" customWidth="1"/>
    <col min="6664" max="6665" width="9" style="3143"/>
    <col min="6666" max="6666" width="9.375" style="3143" bestFit="1" customWidth="1"/>
    <col min="6667" max="6667" width="4" style="3143" customWidth="1"/>
    <col min="6668" max="6668" width="5.125" style="3143" customWidth="1"/>
    <col min="6669" max="6669" width="13.75" style="3143" customWidth="1"/>
    <col min="6670" max="6912" width="9" style="3143"/>
    <col min="6913" max="6913" width="4.875" style="3143" customWidth="1"/>
    <col min="6914" max="6914" width="13.25" style="3143" customWidth="1"/>
    <col min="6915" max="6915" width="15.625" style="3143" customWidth="1"/>
    <col min="6916" max="6916" width="9.375" style="3143" bestFit="1" customWidth="1"/>
    <col min="6917" max="6917" width="13.5" style="3143" customWidth="1"/>
    <col min="6918" max="6918" width="9" style="3143"/>
    <col min="6919" max="6919" width="9.375" style="3143" bestFit="1" customWidth="1"/>
    <col min="6920" max="6921" width="9" style="3143"/>
    <col min="6922" max="6922" width="9.375" style="3143" bestFit="1" customWidth="1"/>
    <col min="6923" max="6923" width="4" style="3143" customWidth="1"/>
    <col min="6924" max="6924" width="5.125" style="3143" customWidth="1"/>
    <col min="6925" max="6925" width="13.75" style="3143" customWidth="1"/>
    <col min="6926" max="7168" width="9" style="3143"/>
    <col min="7169" max="7169" width="4.875" style="3143" customWidth="1"/>
    <col min="7170" max="7170" width="13.25" style="3143" customWidth="1"/>
    <col min="7171" max="7171" width="15.625" style="3143" customWidth="1"/>
    <col min="7172" max="7172" width="9.375" style="3143" bestFit="1" customWidth="1"/>
    <col min="7173" max="7173" width="13.5" style="3143" customWidth="1"/>
    <col min="7174" max="7174" width="9" style="3143"/>
    <col min="7175" max="7175" width="9.375" style="3143" bestFit="1" customWidth="1"/>
    <col min="7176" max="7177" width="9" style="3143"/>
    <col min="7178" max="7178" width="9.375" style="3143" bestFit="1" customWidth="1"/>
    <col min="7179" max="7179" width="4" style="3143" customWidth="1"/>
    <col min="7180" max="7180" width="5.125" style="3143" customWidth="1"/>
    <col min="7181" max="7181" width="13.75" style="3143" customWidth="1"/>
    <col min="7182" max="7424" width="9" style="3143"/>
    <col min="7425" max="7425" width="4.875" style="3143" customWidth="1"/>
    <col min="7426" max="7426" width="13.25" style="3143" customWidth="1"/>
    <col min="7427" max="7427" width="15.625" style="3143" customWidth="1"/>
    <col min="7428" max="7428" width="9.375" style="3143" bestFit="1" customWidth="1"/>
    <col min="7429" max="7429" width="13.5" style="3143" customWidth="1"/>
    <col min="7430" max="7430" width="9" style="3143"/>
    <col min="7431" max="7431" width="9.375" style="3143" bestFit="1" customWidth="1"/>
    <col min="7432" max="7433" width="9" style="3143"/>
    <col min="7434" max="7434" width="9.375" style="3143" bestFit="1" customWidth="1"/>
    <col min="7435" max="7435" width="4" style="3143" customWidth="1"/>
    <col min="7436" max="7436" width="5.125" style="3143" customWidth="1"/>
    <col min="7437" max="7437" width="13.75" style="3143" customWidth="1"/>
    <col min="7438" max="7680" width="9" style="3143"/>
    <col min="7681" max="7681" width="4.875" style="3143" customWidth="1"/>
    <col min="7682" max="7682" width="13.25" style="3143" customWidth="1"/>
    <col min="7683" max="7683" width="15.625" style="3143" customWidth="1"/>
    <col min="7684" max="7684" width="9.375" style="3143" bestFit="1" customWidth="1"/>
    <col min="7685" max="7685" width="13.5" style="3143" customWidth="1"/>
    <col min="7686" max="7686" width="9" style="3143"/>
    <col min="7687" max="7687" width="9.375" style="3143" bestFit="1" customWidth="1"/>
    <col min="7688" max="7689" width="9" style="3143"/>
    <col min="7690" max="7690" width="9.375" style="3143" bestFit="1" customWidth="1"/>
    <col min="7691" max="7691" width="4" style="3143" customWidth="1"/>
    <col min="7692" max="7692" width="5.125" style="3143" customWidth="1"/>
    <col min="7693" max="7693" width="13.75" style="3143" customWidth="1"/>
    <col min="7694" max="7936" width="9" style="3143"/>
    <col min="7937" max="7937" width="4.875" style="3143" customWidth="1"/>
    <col min="7938" max="7938" width="13.25" style="3143" customWidth="1"/>
    <col min="7939" max="7939" width="15.625" style="3143" customWidth="1"/>
    <col min="7940" max="7940" width="9.375" style="3143" bestFit="1" customWidth="1"/>
    <col min="7941" max="7941" width="13.5" style="3143" customWidth="1"/>
    <col min="7942" max="7942" width="9" style="3143"/>
    <col min="7943" max="7943" width="9.375" style="3143" bestFit="1" customWidth="1"/>
    <col min="7944" max="7945" width="9" style="3143"/>
    <col min="7946" max="7946" width="9.375" style="3143" bestFit="1" customWidth="1"/>
    <col min="7947" max="7947" width="4" style="3143" customWidth="1"/>
    <col min="7948" max="7948" width="5.125" style="3143" customWidth="1"/>
    <col min="7949" max="7949" width="13.75" style="3143" customWidth="1"/>
    <col min="7950" max="8192" width="9" style="3143"/>
    <col min="8193" max="8193" width="4.875" style="3143" customWidth="1"/>
    <col min="8194" max="8194" width="13.25" style="3143" customWidth="1"/>
    <col min="8195" max="8195" width="15.625" style="3143" customWidth="1"/>
    <col min="8196" max="8196" width="9.375" style="3143" bestFit="1" customWidth="1"/>
    <col min="8197" max="8197" width="13.5" style="3143" customWidth="1"/>
    <col min="8198" max="8198" width="9" style="3143"/>
    <col min="8199" max="8199" width="9.375" style="3143" bestFit="1" customWidth="1"/>
    <col min="8200" max="8201" width="9" style="3143"/>
    <col min="8202" max="8202" width="9.375" style="3143" bestFit="1" customWidth="1"/>
    <col min="8203" max="8203" width="4" style="3143" customWidth="1"/>
    <col min="8204" max="8204" width="5.125" style="3143" customWidth="1"/>
    <col min="8205" max="8205" width="13.75" style="3143" customWidth="1"/>
    <col min="8206" max="8448" width="9" style="3143"/>
    <col min="8449" max="8449" width="4.875" style="3143" customWidth="1"/>
    <col min="8450" max="8450" width="13.25" style="3143" customWidth="1"/>
    <col min="8451" max="8451" width="15.625" style="3143" customWidth="1"/>
    <col min="8452" max="8452" width="9.375" style="3143" bestFit="1" customWidth="1"/>
    <col min="8453" max="8453" width="13.5" style="3143" customWidth="1"/>
    <col min="8454" max="8454" width="9" style="3143"/>
    <col min="8455" max="8455" width="9.375" style="3143" bestFit="1" customWidth="1"/>
    <col min="8456" max="8457" width="9" style="3143"/>
    <col min="8458" max="8458" width="9.375" style="3143" bestFit="1" customWidth="1"/>
    <col min="8459" max="8459" width="4" style="3143" customWidth="1"/>
    <col min="8460" max="8460" width="5.125" style="3143" customWidth="1"/>
    <col min="8461" max="8461" width="13.75" style="3143" customWidth="1"/>
    <col min="8462" max="8704" width="9" style="3143"/>
    <col min="8705" max="8705" width="4.875" style="3143" customWidth="1"/>
    <col min="8706" max="8706" width="13.25" style="3143" customWidth="1"/>
    <col min="8707" max="8707" width="15.625" style="3143" customWidth="1"/>
    <col min="8708" max="8708" width="9.375" style="3143" bestFit="1" customWidth="1"/>
    <col min="8709" max="8709" width="13.5" style="3143" customWidth="1"/>
    <col min="8710" max="8710" width="9" style="3143"/>
    <col min="8711" max="8711" width="9.375" style="3143" bestFit="1" customWidth="1"/>
    <col min="8712" max="8713" width="9" style="3143"/>
    <col min="8714" max="8714" width="9.375" style="3143" bestFit="1" customWidth="1"/>
    <col min="8715" max="8715" width="4" style="3143" customWidth="1"/>
    <col min="8716" max="8716" width="5.125" style="3143" customWidth="1"/>
    <col min="8717" max="8717" width="13.75" style="3143" customWidth="1"/>
    <col min="8718" max="8960" width="9" style="3143"/>
    <col min="8961" max="8961" width="4.875" style="3143" customWidth="1"/>
    <col min="8962" max="8962" width="13.25" style="3143" customWidth="1"/>
    <col min="8963" max="8963" width="15.625" style="3143" customWidth="1"/>
    <col min="8964" max="8964" width="9.375" style="3143" bestFit="1" customWidth="1"/>
    <col min="8965" max="8965" width="13.5" style="3143" customWidth="1"/>
    <col min="8966" max="8966" width="9" style="3143"/>
    <col min="8967" max="8967" width="9.375" style="3143" bestFit="1" customWidth="1"/>
    <col min="8968" max="8969" width="9" style="3143"/>
    <col min="8970" max="8970" width="9.375" style="3143" bestFit="1" customWidth="1"/>
    <col min="8971" max="8971" width="4" style="3143" customWidth="1"/>
    <col min="8972" max="8972" width="5.125" style="3143" customWidth="1"/>
    <col min="8973" max="8973" width="13.75" style="3143" customWidth="1"/>
    <col min="8974" max="9216" width="9" style="3143"/>
    <col min="9217" max="9217" width="4.875" style="3143" customWidth="1"/>
    <col min="9218" max="9218" width="13.25" style="3143" customWidth="1"/>
    <col min="9219" max="9219" width="15.625" style="3143" customWidth="1"/>
    <col min="9220" max="9220" width="9.375" style="3143" bestFit="1" customWidth="1"/>
    <col min="9221" max="9221" width="13.5" style="3143" customWidth="1"/>
    <col min="9222" max="9222" width="9" style="3143"/>
    <col min="9223" max="9223" width="9.375" style="3143" bestFit="1" customWidth="1"/>
    <col min="9224" max="9225" width="9" style="3143"/>
    <col min="9226" max="9226" width="9.375" style="3143" bestFit="1" customWidth="1"/>
    <col min="9227" max="9227" width="4" style="3143" customWidth="1"/>
    <col min="9228" max="9228" width="5.125" style="3143" customWidth="1"/>
    <col min="9229" max="9229" width="13.75" style="3143" customWidth="1"/>
    <col min="9230" max="9472" width="9" style="3143"/>
    <col min="9473" max="9473" width="4.875" style="3143" customWidth="1"/>
    <col min="9474" max="9474" width="13.25" style="3143" customWidth="1"/>
    <col min="9475" max="9475" width="15.625" style="3143" customWidth="1"/>
    <col min="9476" max="9476" width="9.375" style="3143" bestFit="1" customWidth="1"/>
    <col min="9477" max="9477" width="13.5" style="3143" customWidth="1"/>
    <col min="9478" max="9478" width="9" style="3143"/>
    <col min="9479" max="9479" width="9.375" style="3143" bestFit="1" customWidth="1"/>
    <col min="9480" max="9481" width="9" style="3143"/>
    <col min="9482" max="9482" width="9.375" style="3143" bestFit="1" customWidth="1"/>
    <col min="9483" max="9483" width="4" style="3143" customWidth="1"/>
    <col min="9484" max="9484" width="5.125" style="3143" customWidth="1"/>
    <col min="9485" max="9485" width="13.75" style="3143" customWidth="1"/>
    <col min="9486" max="9728" width="9" style="3143"/>
    <col min="9729" max="9729" width="4.875" style="3143" customWidth="1"/>
    <col min="9730" max="9730" width="13.25" style="3143" customWidth="1"/>
    <col min="9731" max="9731" width="15.625" style="3143" customWidth="1"/>
    <col min="9732" max="9732" width="9.375" style="3143" bestFit="1" customWidth="1"/>
    <col min="9733" max="9733" width="13.5" style="3143" customWidth="1"/>
    <col min="9734" max="9734" width="9" style="3143"/>
    <col min="9735" max="9735" width="9.375" style="3143" bestFit="1" customWidth="1"/>
    <col min="9736" max="9737" width="9" style="3143"/>
    <col min="9738" max="9738" width="9.375" style="3143" bestFit="1" customWidth="1"/>
    <col min="9739" max="9739" width="4" style="3143" customWidth="1"/>
    <col min="9740" max="9740" width="5.125" style="3143" customWidth="1"/>
    <col min="9741" max="9741" width="13.75" style="3143" customWidth="1"/>
    <col min="9742" max="9984" width="9" style="3143"/>
    <col min="9985" max="9985" width="4.875" style="3143" customWidth="1"/>
    <col min="9986" max="9986" width="13.25" style="3143" customWidth="1"/>
    <col min="9987" max="9987" width="15.625" style="3143" customWidth="1"/>
    <col min="9988" max="9988" width="9.375" style="3143" bestFit="1" customWidth="1"/>
    <col min="9989" max="9989" width="13.5" style="3143" customWidth="1"/>
    <col min="9990" max="9990" width="9" style="3143"/>
    <col min="9991" max="9991" width="9.375" style="3143" bestFit="1" customWidth="1"/>
    <col min="9992" max="9993" width="9" style="3143"/>
    <col min="9994" max="9994" width="9.375" style="3143" bestFit="1" customWidth="1"/>
    <col min="9995" max="9995" width="4" style="3143" customWidth="1"/>
    <col min="9996" max="9996" width="5.125" style="3143" customWidth="1"/>
    <col min="9997" max="9997" width="13.75" style="3143" customWidth="1"/>
    <col min="9998" max="10240" width="9" style="3143"/>
    <col min="10241" max="10241" width="4.875" style="3143" customWidth="1"/>
    <col min="10242" max="10242" width="13.25" style="3143" customWidth="1"/>
    <col min="10243" max="10243" width="15.625" style="3143" customWidth="1"/>
    <col min="10244" max="10244" width="9.375" style="3143" bestFit="1" customWidth="1"/>
    <col min="10245" max="10245" width="13.5" style="3143" customWidth="1"/>
    <col min="10246" max="10246" width="9" style="3143"/>
    <col min="10247" max="10247" width="9.375" style="3143" bestFit="1" customWidth="1"/>
    <col min="10248" max="10249" width="9" style="3143"/>
    <col min="10250" max="10250" width="9.375" style="3143" bestFit="1" customWidth="1"/>
    <col min="10251" max="10251" width="4" style="3143" customWidth="1"/>
    <col min="10252" max="10252" width="5.125" style="3143" customWidth="1"/>
    <col min="10253" max="10253" width="13.75" style="3143" customWidth="1"/>
    <col min="10254" max="10496" width="9" style="3143"/>
    <col min="10497" max="10497" width="4.875" style="3143" customWidth="1"/>
    <col min="10498" max="10498" width="13.25" style="3143" customWidth="1"/>
    <col min="10499" max="10499" width="15.625" style="3143" customWidth="1"/>
    <col min="10500" max="10500" width="9.375" style="3143" bestFit="1" customWidth="1"/>
    <col min="10501" max="10501" width="13.5" style="3143" customWidth="1"/>
    <col min="10502" max="10502" width="9" style="3143"/>
    <col min="10503" max="10503" width="9.375" style="3143" bestFit="1" customWidth="1"/>
    <col min="10504" max="10505" width="9" style="3143"/>
    <col min="10506" max="10506" width="9.375" style="3143" bestFit="1" customWidth="1"/>
    <col min="10507" max="10507" width="4" style="3143" customWidth="1"/>
    <col min="10508" max="10508" width="5.125" style="3143" customWidth="1"/>
    <col min="10509" max="10509" width="13.75" style="3143" customWidth="1"/>
    <col min="10510" max="10752" width="9" style="3143"/>
    <col min="10753" max="10753" width="4.875" style="3143" customWidth="1"/>
    <col min="10754" max="10754" width="13.25" style="3143" customWidth="1"/>
    <col min="10755" max="10755" width="15.625" style="3143" customWidth="1"/>
    <col min="10756" max="10756" width="9.375" style="3143" bestFit="1" customWidth="1"/>
    <col min="10757" max="10757" width="13.5" style="3143" customWidth="1"/>
    <col min="10758" max="10758" width="9" style="3143"/>
    <col min="10759" max="10759" width="9.375" style="3143" bestFit="1" customWidth="1"/>
    <col min="10760" max="10761" width="9" style="3143"/>
    <col min="10762" max="10762" width="9.375" style="3143" bestFit="1" customWidth="1"/>
    <col min="10763" max="10763" width="4" style="3143" customWidth="1"/>
    <col min="10764" max="10764" width="5.125" style="3143" customWidth="1"/>
    <col min="10765" max="10765" width="13.75" style="3143" customWidth="1"/>
    <col min="10766" max="11008" width="9" style="3143"/>
    <col min="11009" max="11009" width="4.875" style="3143" customWidth="1"/>
    <col min="11010" max="11010" width="13.25" style="3143" customWidth="1"/>
    <col min="11011" max="11011" width="15.625" style="3143" customWidth="1"/>
    <col min="11012" max="11012" width="9.375" style="3143" bestFit="1" customWidth="1"/>
    <col min="11013" max="11013" width="13.5" style="3143" customWidth="1"/>
    <col min="11014" max="11014" width="9" style="3143"/>
    <col min="11015" max="11015" width="9.375" style="3143" bestFit="1" customWidth="1"/>
    <col min="11016" max="11017" width="9" style="3143"/>
    <col min="11018" max="11018" width="9.375" style="3143" bestFit="1" customWidth="1"/>
    <col min="11019" max="11019" width="4" style="3143" customWidth="1"/>
    <col min="11020" max="11020" width="5.125" style="3143" customWidth="1"/>
    <col min="11021" max="11021" width="13.75" style="3143" customWidth="1"/>
    <col min="11022" max="11264" width="9" style="3143"/>
    <col min="11265" max="11265" width="4.875" style="3143" customWidth="1"/>
    <col min="11266" max="11266" width="13.25" style="3143" customWidth="1"/>
    <col min="11267" max="11267" width="15.625" style="3143" customWidth="1"/>
    <col min="11268" max="11268" width="9.375" style="3143" bestFit="1" customWidth="1"/>
    <col min="11269" max="11269" width="13.5" style="3143" customWidth="1"/>
    <col min="11270" max="11270" width="9" style="3143"/>
    <col min="11271" max="11271" width="9.375" style="3143" bestFit="1" customWidth="1"/>
    <col min="11272" max="11273" width="9" style="3143"/>
    <col min="11274" max="11274" width="9.375" style="3143" bestFit="1" customWidth="1"/>
    <col min="11275" max="11275" width="4" style="3143" customWidth="1"/>
    <col min="11276" max="11276" width="5.125" style="3143" customWidth="1"/>
    <col min="11277" max="11277" width="13.75" style="3143" customWidth="1"/>
    <col min="11278" max="11520" width="9" style="3143"/>
    <col min="11521" max="11521" width="4.875" style="3143" customWidth="1"/>
    <col min="11522" max="11522" width="13.25" style="3143" customWidth="1"/>
    <col min="11523" max="11523" width="15.625" style="3143" customWidth="1"/>
    <col min="11524" max="11524" width="9.375" style="3143" bestFit="1" customWidth="1"/>
    <col min="11525" max="11525" width="13.5" style="3143" customWidth="1"/>
    <col min="11526" max="11526" width="9" style="3143"/>
    <col min="11527" max="11527" width="9.375" style="3143" bestFit="1" customWidth="1"/>
    <col min="11528" max="11529" width="9" style="3143"/>
    <col min="11530" max="11530" width="9.375" style="3143" bestFit="1" customWidth="1"/>
    <col min="11531" max="11531" width="4" style="3143" customWidth="1"/>
    <col min="11532" max="11532" width="5.125" style="3143" customWidth="1"/>
    <col min="11533" max="11533" width="13.75" style="3143" customWidth="1"/>
    <col min="11534" max="11776" width="9" style="3143"/>
    <col min="11777" max="11777" width="4.875" style="3143" customWidth="1"/>
    <col min="11778" max="11778" width="13.25" style="3143" customWidth="1"/>
    <col min="11779" max="11779" width="15.625" style="3143" customWidth="1"/>
    <col min="11780" max="11780" width="9.375" style="3143" bestFit="1" customWidth="1"/>
    <col min="11781" max="11781" width="13.5" style="3143" customWidth="1"/>
    <col min="11782" max="11782" width="9" style="3143"/>
    <col min="11783" max="11783" width="9.375" style="3143" bestFit="1" customWidth="1"/>
    <col min="11784" max="11785" width="9" style="3143"/>
    <col min="11786" max="11786" width="9.375" style="3143" bestFit="1" customWidth="1"/>
    <col min="11787" max="11787" width="4" style="3143" customWidth="1"/>
    <col min="11788" max="11788" width="5.125" style="3143" customWidth="1"/>
    <col min="11789" max="11789" width="13.75" style="3143" customWidth="1"/>
    <col min="11790" max="12032" width="9" style="3143"/>
    <col min="12033" max="12033" width="4.875" style="3143" customWidth="1"/>
    <col min="12034" max="12034" width="13.25" style="3143" customWidth="1"/>
    <col min="12035" max="12035" width="15.625" style="3143" customWidth="1"/>
    <col min="12036" max="12036" width="9.375" style="3143" bestFit="1" customWidth="1"/>
    <col min="12037" max="12037" width="13.5" style="3143" customWidth="1"/>
    <col min="12038" max="12038" width="9" style="3143"/>
    <col min="12039" max="12039" width="9.375" style="3143" bestFit="1" customWidth="1"/>
    <col min="12040" max="12041" width="9" style="3143"/>
    <col min="12042" max="12042" width="9.375" style="3143" bestFit="1" customWidth="1"/>
    <col min="12043" max="12043" width="4" style="3143" customWidth="1"/>
    <col min="12044" max="12044" width="5.125" style="3143" customWidth="1"/>
    <col min="12045" max="12045" width="13.75" style="3143" customWidth="1"/>
    <col min="12046" max="12288" width="9" style="3143"/>
    <col min="12289" max="12289" width="4.875" style="3143" customWidth="1"/>
    <col min="12290" max="12290" width="13.25" style="3143" customWidth="1"/>
    <col min="12291" max="12291" width="15.625" style="3143" customWidth="1"/>
    <col min="12292" max="12292" width="9.375" style="3143" bestFit="1" customWidth="1"/>
    <col min="12293" max="12293" width="13.5" style="3143" customWidth="1"/>
    <col min="12294" max="12294" width="9" style="3143"/>
    <col min="12295" max="12295" width="9.375" style="3143" bestFit="1" customWidth="1"/>
    <col min="12296" max="12297" width="9" style="3143"/>
    <col min="12298" max="12298" width="9.375" style="3143" bestFit="1" customWidth="1"/>
    <col min="12299" max="12299" width="4" style="3143" customWidth="1"/>
    <col min="12300" max="12300" width="5.125" style="3143" customWidth="1"/>
    <col min="12301" max="12301" width="13.75" style="3143" customWidth="1"/>
    <col min="12302" max="12544" width="9" style="3143"/>
    <col min="12545" max="12545" width="4.875" style="3143" customWidth="1"/>
    <col min="12546" max="12546" width="13.25" style="3143" customWidth="1"/>
    <col min="12547" max="12547" width="15.625" style="3143" customWidth="1"/>
    <col min="12548" max="12548" width="9.375" style="3143" bestFit="1" customWidth="1"/>
    <col min="12549" max="12549" width="13.5" style="3143" customWidth="1"/>
    <col min="12550" max="12550" width="9" style="3143"/>
    <col min="12551" max="12551" width="9.375" style="3143" bestFit="1" customWidth="1"/>
    <col min="12552" max="12553" width="9" style="3143"/>
    <col min="12554" max="12554" width="9.375" style="3143" bestFit="1" customWidth="1"/>
    <col min="12555" max="12555" width="4" style="3143" customWidth="1"/>
    <col min="12556" max="12556" width="5.125" style="3143" customWidth="1"/>
    <col min="12557" max="12557" width="13.75" style="3143" customWidth="1"/>
    <col min="12558" max="12800" width="9" style="3143"/>
    <col min="12801" max="12801" width="4.875" style="3143" customWidth="1"/>
    <col min="12802" max="12802" width="13.25" style="3143" customWidth="1"/>
    <col min="12803" max="12803" width="15.625" style="3143" customWidth="1"/>
    <col min="12804" max="12804" width="9.375" style="3143" bestFit="1" customWidth="1"/>
    <col min="12805" max="12805" width="13.5" style="3143" customWidth="1"/>
    <col min="12806" max="12806" width="9" style="3143"/>
    <col min="12807" max="12807" width="9.375" style="3143" bestFit="1" customWidth="1"/>
    <col min="12808" max="12809" width="9" style="3143"/>
    <col min="12810" max="12810" width="9.375" style="3143" bestFit="1" customWidth="1"/>
    <col min="12811" max="12811" width="4" style="3143" customWidth="1"/>
    <col min="12812" max="12812" width="5.125" style="3143" customWidth="1"/>
    <col min="12813" max="12813" width="13.75" style="3143" customWidth="1"/>
    <col min="12814" max="13056" width="9" style="3143"/>
    <col min="13057" max="13057" width="4.875" style="3143" customWidth="1"/>
    <col min="13058" max="13058" width="13.25" style="3143" customWidth="1"/>
    <col min="13059" max="13059" width="15.625" style="3143" customWidth="1"/>
    <col min="13060" max="13060" width="9.375" style="3143" bestFit="1" customWidth="1"/>
    <col min="13061" max="13061" width="13.5" style="3143" customWidth="1"/>
    <col min="13062" max="13062" width="9" style="3143"/>
    <col min="13063" max="13063" width="9.375" style="3143" bestFit="1" customWidth="1"/>
    <col min="13064" max="13065" width="9" style="3143"/>
    <col min="13066" max="13066" width="9.375" style="3143" bestFit="1" customWidth="1"/>
    <col min="13067" max="13067" width="4" style="3143" customWidth="1"/>
    <col min="13068" max="13068" width="5.125" style="3143" customWidth="1"/>
    <col min="13069" max="13069" width="13.75" style="3143" customWidth="1"/>
    <col min="13070" max="13312" width="9" style="3143"/>
    <col min="13313" max="13313" width="4.875" style="3143" customWidth="1"/>
    <col min="13314" max="13314" width="13.25" style="3143" customWidth="1"/>
    <col min="13315" max="13315" width="15.625" style="3143" customWidth="1"/>
    <col min="13316" max="13316" width="9.375" style="3143" bestFit="1" customWidth="1"/>
    <col min="13317" max="13317" width="13.5" style="3143" customWidth="1"/>
    <col min="13318" max="13318" width="9" style="3143"/>
    <col min="13319" max="13319" width="9.375" style="3143" bestFit="1" customWidth="1"/>
    <col min="13320" max="13321" width="9" style="3143"/>
    <col min="13322" max="13322" width="9.375" style="3143" bestFit="1" customWidth="1"/>
    <col min="13323" max="13323" width="4" style="3143" customWidth="1"/>
    <col min="13324" max="13324" width="5.125" style="3143" customWidth="1"/>
    <col min="13325" max="13325" width="13.75" style="3143" customWidth="1"/>
    <col min="13326" max="13568" width="9" style="3143"/>
    <col min="13569" max="13569" width="4.875" style="3143" customWidth="1"/>
    <col min="13570" max="13570" width="13.25" style="3143" customWidth="1"/>
    <col min="13571" max="13571" width="15.625" style="3143" customWidth="1"/>
    <col min="13572" max="13572" width="9.375" style="3143" bestFit="1" customWidth="1"/>
    <col min="13573" max="13573" width="13.5" style="3143" customWidth="1"/>
    <col min="13574" max="13574" width="9" style="3143"/>
    <col min="13575" max="13575" width="9.375" style="3143" bestFit="1" customWidth="1"/>
    <col min="13576" max="13577" width="9" style="3143"/>
    <col min="13578" max="13578" width="9.375" style="3143" bestFit="1" customWidth="1"/>
    <col min="13579" max="13579" width="4" style="3143" customWidth="1"/>
    <col min="13580" max="13580" width="5.125" style="3143" customWidth="1"/>
    <col min="13581" max="13581" width="13.75" style="3143" customWidth="1"/>
    <col min="13582" max="13824" width="9" style="3143"/>
    <col min="13825" max="13825" width="4.875" style="3143" customWidth="1"/>
    <col min="13826" max="13826" width="13.25" style="3143" customWidth="1"/>
    <col min="13827" max="13827" width="15.625" style="3143" customWidth="1"/>
    <col min="13828" max="13828" width="9.375" style="3143" bestFit="1" customWidth="1"/>
    <col min="13829" max="13829" width="13.5" style="3143" customWidth="1"/>
    <col min="13830" max="13830" width="9" style="3143"/>
    <col min="13831" max="13831" width="9.375" style="3143" bestFit="1" customWidth="1"/>
    <col min="13832" max="13833" width="9" style="3143"/>
    <col min="13834" max="13834" width="9.375" style="3143" bestFit="1" customWidth="1"/>
    <col min="13835" max="13835" width="4" style="3143" customWidth="1"/>
    <col min="13836" max="13836" width="5.125" style="3143" customWidth="1"/>
    <col min="13837" max="13837" width="13.75" style="3143" customWidth="1"/>
    <col min="13838" max="14080" width="9" style="3143"/>
    <col min="14081" max="14081" width="4.875" style="3143" customWidth="1"/>
    <col min="14082" max="14082" width="13.25" style="3143" customWidth="1"/>
    <col min="14083" max="14083" width="15.625" style="3143" customWidth="1"/>
    <col min="14084" max="14084" width="9.375" style="3143" bestFit="1" customWidth="1"/>
    <col min="14085" max="14085" width="13.5" style="3143" customWidth="1"/>
    <col min="14086" max="14086" width="9" style="3143"/>
    <col min="14087" max="14087" width="9.375" style="3143" bestFit="1" customWidth="1"/>
    <col min="14088" max="14089" width="9" style="3143"/>
    <col min="14090" max="14090" width="9.375" style="3143" bestFit="1" customWidth="1"/>
    <col min="14091" max="14091" width="4" style="3143" customWidth="1"/>
    <col min="14092" max="14092" width="5.125" style="3143" customWidth="1"/>
    <col min="14093" max="14093" width="13.75" style="3143" customWidth="1"/>
    <col min="14094" max="14336" width="9" style="3143"/>
    <col min="14337" max="14337" width="4.875" style="3143" customWidth="1"/>
    <col min="14338" max="14338" width="13.25" style="3143" customWidth="1"/>
    <col min="14339" max="14339" width="15.625" style="3143" customWidth="1"/>
    <col min="14340" max="14340" width="9.375" style="3143" bestFit="1" customWidth="1"/>
    <col min="14341" max="14341" width="13.5" style="3143" customWidth="1"/>
    <col min="14342" max="14342" width="9" style="3143"/>
    <col min="14343" max="14343" width="9.375" style="3143" bestFit="1" customWidth="1"/>
    <col min="14344" max="14345" width="9" style="3143"/>
    <col min="14346" max="14346" width="9.375" style="3143" bestFit="1" customWidth="1"/>
    <col min="14347" max="14347" width="4" style="3143" customWidth="1"/>
    <col min="14348" max="14348" width="5.125" style="3143" customWidth="1"/>
    <col min="14349" max="14349" width="13.75" style="3143" customWidth="1"/>
    <col min="14350" max="14592" width="9" style="3143"/>
    <col min="14593" max="14593" width="4.875" style="3143" customWidth="1"/>
    <col min="14594" max="14594" width="13.25" style="3143" customWidth="1"/>
    <col min="14595" max="14595" width="15.625" style="3143" customWidth="1"/>
    <col min="14596" max="14596" width="9.375" style="3143" bestFit="1" customWidth="1"/>
    <col min="14597" max="14597" width="13.5" style="3143" customWidth="1"/>
    <col min="14598" max="14598" width="9" style="3143"/>
    <col min="14599" max="14599" width="9.375" style="3143" bestFit="1" customWidth="1"/>
    <col min="14600" max="14601" width="9" style="3143"/>
    <col min="14602" max="14602" width="9.375" style="3143" bestFit="1" customWidth="1"/>
    <col min="14603" max="14603" width="4" style="3143" customWidth="1"/>
    <col min="14604" max="14604" width="5.125" style="3143" customWidth="1"/>
    <col min="14605" max="14605" width="13.75" style="3143" customWidth="1"/>
    <col min="14606" max="14848" width="9" style="3143"/>
    <col min="14849" max="14849" width="4.875" style="3143" customWidth="1"/>
    <col min="14850" max="14850" width="13.25" style="3143" customWidth="1"/>
    <col min="14851" max="14851" width="15.625" style="3143" customWidth="1"/>
    <col min="14852" max="14852" width="9.375" style="3143" bestFit="1" customWidth="1"/>
    <col min="14853" max="14853" width="13.5" style="3143" customWidth="1"/>
    <col min="14854" max="14854" width="9" style="3143"/>
    <col min="14855" max="14855" width="9.375" style="3143" bestFit="1" customWidth="1"/>
    <col min="14856" max="14857" width="9" style="3143"/>
    <col min="14858" max="14858" width="9.375" style="3143" bestFit="1" customWidth="1"/>
    <col min="14859" max="14859" width="4" style="3143" customWidth="1"/>
    <col min="14860" max="14860" width="5.125" style="3143" customWidth="1"/>
    <col min="14861" max="14861" width="13.75" style="3143" customWidth="1"/>
    <col min="14862" max="15104" width="9" style="3143"/>
    <col min="15105" max="15105" width="4.875" style="3143" customWidth="1"/>
    <col min="15106" max="15106" width="13.25" style="3143" customWidth="1"/>
    <col min="15107" max="15107" width="15.625" style="3143" customWidth="1"/>
    <col min="15108" max="15108" width="9.375" style="3143" bestFit="1" customWidth="1"/>
    <col min="15109" max="15109" width="13.5" style="3143" customWidth="1"/>
    <col min="15110" max="15110" width="9" style="3143"/>
    <col min="15111" max="15111" width="9.375" style="3143" bestFit="1" customWidth="1"/>
    <col min="15112" max="15113" width="9" style="3143"/>
    <col min="15114" max="15114" width="9.375" style="3143" bestFit="1" customWidth="1"/>
    <col min="15115" max="15115" width="4" style="3143" customWidth="1"/>
    <col min="15116" max="15116" width="5.125" style="3143" customWidth="1"/>
    <col min="15117" max="15117" width="13.75" style="3143" customWidth="1"/>
    <col min="15118" max="15360" width="9" style="3143"/>
    <col min="15361" max="15361" width="4.875" style="3143" customWidth="1"/>
    <col min="15362" max="15362" width="13.25" style="3143" customWidth="1"/>
    <col min="15363" max="15363" width="15.625" style="3143" customWidth="1"/>
    <col min="15364" max="15364" width="9.375" style="3143" bestFit="1" customWidth="1"/>
    <col min="15365" max="15365" width="13.5" style="3143" customWidth="1"/>
    <col min="15366" max="15366" width="9" style="3143"/>
    <col min="15367" max="15367" width="9.375" style="3143" bestFit="1" customWidth="1"/>
    <col min="15368" max="15369" width="9" style="3143"/>
    <col min="15370" max="15370" width="9.375" style="3143" bestFit="1" customWidth="1"/>
    <col min="15371" max="15371" width="4" style="3143" customWidth="1"/>
    <col min="15372" max="15372" width="5.125" style="3143" customWidth="1"/>
    <col min="15373" max="15373" width="13.75" style="3143" customWidth="1"/>
    <col min="15374" max="15616" width="9" style="3143"/>
    <col min="15617" max="15617" width="4.875" style="3143" customWidth="1"/>
    <col min="15618" max="15618" width="13.25" style="3143" customWidth="1"/>
    <col min="15619" max="15619" width="15.625" style="3143" customWidth="1"/>
    <col min="15620" max="15620" width="9.375" style="3143" bestFit="1" customWidth="1"/>
    <col min="15621" max="15621" width="13.5" style="3143" customWidth="1"/>
    <col min="15622" max="15622" width="9" style="3143"/>
    <col min="15623" max="15623" width="9.375" style="3143" bestFit="1" customWidth="1"/>
    <col min="15624" max="15625" width="9" style="3143"/>
    <col min="15626" max="15626" width="9.375" style="3143" bestFit="1" customWidth="1"/>
    <col min="15627" max="15627" width="4" style="3143" customWidth="1"/>
    <col min="15628" max="15628" width="5.125" style="3143" customWidth="1"/>
    <col min="15629" max="15629" width="13.75" style="3143" customWidth="1"/>
    <col min="15630" max="15872" width="9" style="3143"/>
    <col min="15873" max="15873" width="4.875" style="3143" customWidth="1"/>
    <col min="15874" max="15874" width="13.25" style="3143" customWidth="1"/>
    <col min="15875" max="15875" width="15.625" style="3143" customWidth="1"/>
    <col min="15876" max="15876" width="9.375" style="3143" bestFit="1" customWidth="1"/>
    <col min="15877" max="15877" width="13.5" style="3143" customWidth="1"/>
    <col min="15878" max="15878" width="9" style="3143"/>
    <col min="15879" max="15879" width="9.375" style="3143" bestFit="1" customWidth="1"/>
    <col min="15880" max="15881" width="9" style="3143"/>
    <col min="15882" max="15882" width="9.375" style="3143" bestFit="1" customWidth="1"/>
    <col min="15883" max="15883" width="4" style="3143" customWidth="1"/>
    <col min="15884" max="15884" width="5.125" style="3143" customWidth="1"/>
    <col min="15885" max="15885" width="13.75" style="3143" customWidth="1"/>
    <col min="15886" max="16128" width="9" style="3143"/>
    <col min="16129" max="16129" width="4.875" style="3143" customWidth="1"/>
    <col min="16130" max="16130" width="13.25" style="3143" customWidth="1"/>
    <col min="16131" max="16131" width="15.625" style="3143" customWidth="1"/>
    <col min="16132" max="16132" width="9.375" style="3143" bestFit="1" customWidth="1"/>
    <col min="16133" max="16133" width="13.5" style="3143" customWidth="1"/>
    <col min="16134" max="16134" width="9" style="3143"/>
    <col min="16135" max="16135" width="9.375" style="3143" bestFit="1" customWidth="1"/>
    <col min="16136" max="16137" width="9" style="3143"/>
    <col min="16138" max="16138" width="9.375" style="3143" bestFit="1" customWidth="1"/>
    <col min="16139" max="16139" width="4" style="3143" customWidth="1"/>
    <col min="16140" max="16140" width="5.125" style="3143" customWidth="1"/>
    <col min="16141" max="16141" width="13.75" style="3143" customWidth="1"/>
    <col min="16142" max="16384" width="9" style="3143"/>
  </cols>
  <sheetData>
    <row r="1" spans="1:257" s="3207" customFormat="1" ht="14.25" thickBot="1">
      <c r="A1" s="3201"/>
      <c r="B1" s="3208" t="s">
        <v>2911</v>
      </c>
      <c r="C1" s="3202">
        <f>项目基本情况!D3</f>
        <v>42928</v>
      </c>
      <c r="D1" s="3208" t="s">
        <v>2912</v>
      </c>
      <c r="E1" s="3203">
        <f>'数据-取费表'!B22</f>
        <v>1</v>
      </c>
      <c r="F1" s="3208" t="s">
        <v>2913</v>
      </c>
      <c r="G1" s="3204">
        <f ca="1">INDIRECT("d"&amp;$K$1)/100</f>
        <v>4.3499999999999997E-2</v>
      </c>
      <c r="H1" s="3208" t="s">
        <v>2943</v>
      </c>
      <c r="I1" s="3204">
        <f ca="1">F4/100</f>
        <v>1.4999999999999999E-2</v>
      </c>
      <c r="J1" s="3209">
        <f>IF(C1&gt;C13,0,MATCH(C1,C$13:C$100,-1))+IF(SUMIF(C13:C100,C1,D13:D100)=0,13,12)</f>
        <v>13</v>
      </c>
      <c r="K1" s="3209">
        <f ca="1">MATCH(E1,C3:C7,1)+IF(SUMIF(C3:C7,E1,D3:D7)=0,2,1)</f>
        <v>4</v>
      </c>
      <c r="L1" s="3209">
        <f>IF(C1&gt;M13,0,MATCH(C1,M$13:M$100,-1))+IF(SUMIF(M13:M100,C1,N13:N100)=0,13,12)</f>
        <v>13</v>
      </c>
      <c r="M1" s="3201"/>
      <c r="N1" s="3201"/>
      <c r="O1" s="3201"/>
      <c r="P1" s="3201"/>
      <c r="Q1" s="3201"/>
      <c r="R1" s="3201"/>
      <c r="S1" s="3201"/>
      <c r="T1" s="3201"/>
      <c r="U1" s="3201"/>
      <c r="V1" s="3201"/>
      <c r="W1" s="3201"/>
      <c r="X1" s="3201"/>
      <c r="Y1" s="3201"/>
      <c r="Z1" s="3201"/>
      <c r="AA1" s="3205"/>
      <c r="AB1" s="3205"/>
      <c r="AC1" s="3205"/>
      <c r="AD1" s="3205"/>
      <c r="AE1" s="3205"/>
      <c r="AF1" s="3205"/>
      <c r="AG1" s="3205"/>
      <c r="AH1" s="3205"/>
      <c r="AI1" s="3205"/>
      <c r="AJ1" s="3205"/>
      <c r="AK1" s="3205"/>
      <c r="AL1" s="3205"/>
      <c r="AM1" s="3205"/>
      <c r="AN1" s="3205"/>
      <c r="AO1" s="3205"/>
      <c r="AP1" s="3205"/>
      <c r="AQ1" s="3205"/>
      <c r="AR1" s="3205"/>
      <c r="AS1" s="3205"/>
      <c r="AT1" s="3205"/>
      <c r="AU1" s="3205"/>
      <c r="AV1" s="3205"/>
      <c r="AW1" s="3205"/>
      <c r="AX1" s="3205"/>
      <c r="AY1" s="3205"/>
      <c r="AZ1" s="3205"/>
      <c r="BA1" s="3205"/>
      <c r="BB1" s="3205"/>
      <c r="BC1" s="3205"/>
      <c r="BD1" s="3205"/>
      <c r="BE1" s="3205"/>
      <c r="BF1" s="3205"/>
      <c r="BG1" s="3205"/>
      <c r="BH1" s="3205"/>
      <c r="BI1" s="3205"/>
      <c r="BJ1" s="3205"/>
      <c r="BK1" s="3205"/>
      <c r="BL1" s="3205"/>
      <c r="BM1" s="3205"/>
      <c r="BN1" s="3205"/>
      <c r="BO1" s="3205"/>
      <c r="BP1" s="3205"/>
      <c r="BQ1" s="3205"/>
      <c r="BR1" s="3205"/>
      <c r="BS1" s="3205"/>
      <c r="BT1" s="3205"/>
      <c r="BU1" s="3205"/>
      <c r="BV1" s="3205"/>
      <c r="BW1" s="3205"/>
      <c r="BX1" s="3205"/>
      <c r="BY1" s="3205"/>
      <c r="BZ1" s="3205"/>
      <c r="CA1" s="3205"/>
      <c r="CB1" s="3205"/>
      <c r="CC1" s="3205"/>
      <c r="CD1" s="3205"/>
      <c r="CE1" s="3205"/>
      <c r="CF1" s="3205"/>
      <c r="CG1" s="3205"/>
      <c r="CH1" s="3205"/>
      <c r="CI1" s="3205"/>
      <c r="CJ1" s="3205"/>
      <c r="CK1" s="3205"/>
      <c r="CL1" s="3205"/>
      <c r="CM1" s="3205"/>
      <c r="CN1" s="3205"/>
      <c r="CO1" s="3205"/>
      <c r="CP1" s="3205"/>
      <c r="CQ1" s="3205"/>
      <c r="CR1" s="3205"/>
      <c r="CS1" s="3205"/>
      <c r="CT1" s="3205"/>
      <c r="CU1" s="3205"/>
      <c r="CV1" s="3205"/>
      <c r="CW1" s="3205"/>
      <c r="CX1" s="3205"/>
      <c r="CY1" s="3205"/>
      <c r="CZ1" s="3205"/>
      <c r="DA1" s="3205"/>
      <c r="DB1" s="3205"/>
      <c r="DC1" s="3205"/>
      <c r="DD1" s="3205"/>
      <c r="DE1" s="3205"/>
      <c r="DF1" s="3205"/>
      <c r="DG1" s="3205"/>
      <c r="DH1" s="3205"/>
      <c r="DI1" s="3205"/>
      <c r="DJ1" s="3205"/>
      <c r="DK1" s="3205"/>
      <c r="DL1" s="3205"/>
      <c r="DM1" s="3205"/>
      <c r="DN1" s="3205"/>
      <c r="DO1" s="3205"/>
      <c r="DP1" s="3205"/>
      <c r="DQ1" s="3205"/>
      <c r="DR1" s="3205"/>
      <c r="DS1" s="3205"/>
      <c r="DT1" s="3205"/>
      <c r="DU1" s="3205"/>
      <c r="DV1" s="3205"/>
      <c r="DW1" s="3205"/>
      <c r="DX1" s="3205"/>
      <c r="DY1" s="3205"/>
      <c r="DZ1" s="3205"/>
      <c r="EA1" s="3205"/>
      <c r="EB1" s="3205"/>
      <c r="EC1" s="3205"/>
      <c r="ED1" s="3205"/>
      <c r="EE1" s="3205"/>
      <c r="EF1" s="3205"/>
      <c r="EG1" s="3205"/>
      <c r="EH1" s="3205"/>
      <c r="EI1" s="3205"/>
      <c r="EJ1" s="3205"/>
      <c r="EK1" s="3205"/>
      <c r="EL1" s="3205"/>
      <c r="EM1" s="3205"/>
      <c r="EN1" s="3205"/>
      <c r="EO1" s="3205"/>
      <c r="EP1" s="3205"/>
      <c r="EQ1" s="3205"/>
      <c r="ER1" s="3205"/>
      <c r="ES1" s="3205"/>
      <c r="ET1" s="3205"/>
      <c r="EU1" s="3205"/>
      <c r="EV1" s="3205"/>
      <c r="EW1" s="3205"/>
      <c r="EX1" s="3205"/>
      <c r="EY1" s="3205"/>
      <c r="EZ1" s="3205"/>
      <c r="FA1" s="3205"/>
      <c r="FB1" s="3205"/>
      <c r="FC1" s="3205"/>
      <c r="FD1" s="3205"/>
      <c r="FE1" s="3205"/>
      <c r="FF1" s="3205"/>
      <c r="FG1" s="3205"/>
      <c r="FH1" s="3205"/>
      <c r="FI1" s="3205"/>
      <c r="FJ1" s="3205"/>
      <c r="FK1" s="3205"/>
      <c r="FL1" s="3205"/>
      <c r="FM1" s="3205"/>
      <c r="FN1" s="3205"/>
      <c r="FO1" s="3205"/>
      <c r="FP1" s="3205"/>
      <c r="FQ1" s="3205"/>
      <c r="FR1" s="3205"/>
      <c r="FS1" s="3205"/>
      <c r="FT1" s="3205"/>
      <c r="FU1" s="3205"/>
      <c r="FV1" s="3205"/>
      <c r="FW1" s="3205"/>
      <c r="FX1" s="3205"/>
      <c r="FY1" s="3205"/>
      <c r="FZ1" s="3205"/>
      <c r="GA1" s="3205"/>
      <c r="GB1" s="3205"/>
      <c r="GC1" s="3205"/>
      <c r="GD1" s="3205"/>
      <c r="GE1" s="3205"/>
      <c r="GF1" s="3205"/>
      <c r="GG1" s="3205"/>
      <c r="GH1" s="3205"/>
      <c r="GI1" s="3205"/>
      <c r="GJ1" s="3205"/>
      <c r="GK1" s="3205"/>
      <c r="GL1" s="3205"/>
      <c r="GM1" s="3205"/>
      <c r="GN1" s="3205"/>
      <c r="GO1" s="3205"/>
      <c r="GP1" s="3205"/>
      <c r="GQ1" s="3205"/>
      <c r="GR1" s="3205"/>
      <c r="GS1" s="3205"/>
      <c r="GT1" s="3205"/>
      <c r="GU1" s="3205"/>
      <c r="GV1" s="3205"/>
      <c r="GW1" s="3205"/>
      <c r="GX1" s="3205"/>
      <c r="GY1" s="3205"/>
      <c r="GZ1" s="3205"/>
      <c r="HA1" s="3205"/>
      <c r="HB1" s="3205"/>
      <c r="HC1" s="3205"/>
      <c r="HD1" s="3205"/>
      <c r="HE1" s="3205"/>
      <c r="HF1" s="3205"/>
      <c r="HG1" s="3205"/>
      <c r="HH1" s="3205"/>
      <c r="HI1" s="3205"/>
      <c r="HJ1" s="3205"/>
      <c r="HK1" s="3205"/>
      <c r="HL1" s="3205"/>
      <c r="HM1" s="3205"/>
      <c r="HN1" s="3205"/>
      <c r="HO1" s="3205"/>
      <c r="HP1" s="3205"/>
      <c r="HQ1" s="3205"/>
      <c r="HR1" s="3205"/>
      <c r="HS1" s="3205"/>
      <c r="HT1" s="3205"/>
      <c r="HU1" s="3205"/>
      <c r="HV1" s="3205"/>
      <c r="HW1" s="3205"/>
      <c r="HX1" s="3205"/>
      <c r="HY1" s="3205"/>
      <c r="HZ1" s="3205"/>
      <c r="IA1" s="3205"/>
      <c r="IB1" s="3205"/>
      <c r="IC1" s="3205"/>
      <c r="ID1" s="3205"/>
      <c r="IE1" s="3205"/>
      <c r="IF1" s="3205"/>
      <c r="IG1" s="3205"/>
      <c r="IH1" s="3205"/>
      <c r="II1" s="3205"/>
      <c r="IJ1" s="3205"/>
      <c r="IK1" s="3205"/>
      <c r="IL1" s="3205"/>
      <c r="IM1" s="3205"/>
      <c r="IN1" s="3205"/>
      <c r="IO1" s="3205"/>
      <c r="IP1" s="3205"/>
      <c r="IQ1" s="3205"/>
      <c r="IR1" s="3205"/>
      <c r="IS1" s="3205"/>
      <c r="IT1" s="3205"/>
      <c r="IU1" s="3205"/>
      <c r="IV1" s="3205"/>
      <c r="IW1" s="3206"/>
    </row>
    <row r="2" spans="1:257" ht="15" thickTop="1" thickBot="1">
      <c r="A2" s="3144"/>
      <c r="B2" s="3144"/>
      <c r="C2" s="3144"/>
      <c r="D2" s="3144" t="s">
        <v>2914</v>
      </c>
      <c r="E2" s="3144"/>
      <c r="F2" s="3144" t="s">
        <v>2915</v>
      </c>
      <c r="G2" s="3145"/>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144"/>
      <c r="AZ2" s="3144"/>
      <c r="BA2" s="3144"/>
      <c r="BB2" s="3144"/>
      <c r="BC2" s="3144"/>
      <c r="BD2" s="3144"/>
      <c r="BE2" s="3144"/>
      <c r="BF2" s="3144"/>
      <c r="BG2" s="3144"/>
      <c r="BH2" s="3144"/>
      <c r="BI2" s="3144"/>
      <c r="BJ2" s="3144"/>
      <c r="BK2" s="3144"/>
      <c r="BL2" s="3144"/>
      <c r="BM2" s="3144"/>
      <c r="BN2" s="3144"/>
      <c r="BO2" s="3144"/>
      <c r="BP2" s="3144"/>
      <c r="BQ2" s="3144"/>
      <c r="BR2" s="3144"/>
      <c r="BS2" s="3144"/>
      <c r="BT2" s="3144"/>
      <c r="BU2" s="3144"/>
      <c r="BV2" s="3144"/>
      <c r="BW2" s="3144"/>
      <c r="BX2" s="3144"/>
      <c r="BY2" s="3144"/>
      <c r="BZ2" s="3144"/>
      <c r="CA2" s="3144"/>
      <c r="CB2" s="3144"/>
      <c r="CC2" s="3144"/>
      <c r="CD2" s="3144"/>
      <c r="CE2" s="3144"/>
      <c r="CF2" s="3144"/>
      <c r="CG2" s="3144"/>
      <c r="CH2" s="3144"/>
      <c r="CI2" s="3144"/>
      <c r="CJ2" s="3144"/>
      <c r="CK2" s="3144"/>
      <c r="CL2" s="3144"/>
      <c r="CM2" s="3144"/>
      <c r="CN2" s="3144"/>
      <c r="CO2" s="3144"/>
      <c r="CP2" s="3144"/>
      <c r="CQ2" s="3144"/>
      <c r="CR2" s="3144"/>
      <c r="CS2" s="3144"/>
      <c r="CT2" s="3144"/>
      <c r="CU2" s="3144"/>
      <c r="CV2" s="3144"/>
      <c r="CW2" s="3144"/>
      <c r="CX2" s="3144"/>
      <c r="CY2" s="3144"/>
      <c r="CZ2" s="3144"/>
      <c r="DA2" s="3144"/>
      <c r="DB2" s="3144"/>
      <c r="DC2" s="3144"/>
      <c r="DD2" s="3144"/>
      <c r="DE2" s="3144"/>
      <c r="DF2" s="3144"/>
      <c r="DG2" s="3144"/>
      <c r="DH2" s="3144"/>
      <c r="DI2" s="3144"/>
      <c r="DJ2" s="3144"/>
      <c r="DK2" s="3144"/>
      <c r="DL2" s="3144"/>
      <c r="DM2" s="3144"/>
      <c r="DN2" s="3144"/>
      <c r="DO2" s="3144"/>
      <c r="DP2" s="3144"/>
      <c r="DQ2" s="3144"/>
      <c r="DR2" s="3144"/>
      <c r="DS2" s="3144"/>
      <c r="DT2" s="3144"/>
      <c r="DU2" s="3144"/>
      <c r="DV2" s="3144"/>
      <c r="DW2" s="3144"/>
      <c r="DX2" s="3144"/>
      <c r="DY2" s="3144"/>
      <c r="DZ2" s="3144"/>
      <c r="EA2" s="3144"/>
      <c r="EB2" s="3144"/>
      <c r="EC2" s="3144"/>
      <c r="ED2" s="3144"/>
      <c r="EE2" s="3144"/>
      <c r="EF2" s="3144"/>
      <c r="EG2" s="3144"/>
      <c r="EH2" s="3144"/>
      <c r="EI2" s="3144"/>
      <c r="EJ2" s="3144"/>
      <c r="EK2" s="3144"/>
      <c r="EL2" s="3144"/>
      <c r="EM2" s="3144"/>
      <c r="EN2" s="3144"/>
      <c r="EO2" s="3144"/>
      <c r="EP2" s="3144"/>
      <c r="EQ2" s="3144"/>
      <c r="ER2" s="3144"/>
      <c r="ES2" s="3144"/>
      <c r="ET2" s="3144"/>
      <c r="EU2" s="3144"/>
      <c r="EV2" s="3144"/>
      <c r="EW2" s="3144"/>
      <c r="EX2" s="3144"/>
      <c r="EY2" s="3144"/>
      <c r="EZ2" s="3144"/>
      <c r="FA2" s="3144"/>
      <c r="FB2" s="3144"/>
      <c r="FC2" s="3144"/>
      <c r="FD2" s="3144"/>
      <c r="FE2" s="3144"/>
      <c r="FF2" s="3144"/>
      <c r="FG2" s="3144"/>
      <c r="FH2" s="3144"/>
      <c r="FI2" s="3144"/>
      <c r="FJ2" s="3144"/>
      <c r="FK2" s="3144"/>
      <c r="FL2" s="3144"/>
      <c r="FM2" s="3144"/>
      <c r="FN2" s="3144"/>
      <c r="FO2" s="3144"/>
      <c r="FP2" s="3144"/>
      <c r="FQ2" s="3144"/>
      <c r="FR2" s="3144"/>
      <c r="FS2" s="3144"/>
      <c r="FT2" s="3144"/>
      <c r="FU2" s="3144"/>
      <c r="FV2" s="3144"/>
      <c r="FW2" s="3144"/>
      <c r="FX2" s="3144"/>
      <c r="FY2" s="3144"/>
      <c r="FZ2" s="3144"/>
      <c r="GA2" s="3144"/>
      <c r="GB2" s="3144"/>
      <c r="GC2" s="3144"/>
      <c r="GD2" s="3144"/>
      <c r="GE2" s="3144"/>
      <c r="GF2" s="3144"/>
      <c r="GG2" s="3144"/>
      <c r="GH2" s="3144"/>
      <c r="GI2" s="3144"/>
      <c r="GJ2" s="3144"/>
      <c r="GK2" s="3144"/>
      <c r="GL2" s="3144"/>
      <c r="GM2" s="3144"/>
      <c r="GN2" s="3144"/>
      <c r="GO2" s="3144"/>
      <c r="GP2" s="3144"/>
      <c r="GQ2" s="3144"/>
      <c r="GR2" s="3144"/>
      <c r="GS2" s="3144"/>
      <c r="GT2" s="3144"/>
      <c r="GU2" s="3144"/>
      <c r="GV2" s="3144"/>
      <c r="GW2" s="3144"/>
      <c r="GX2" s="3144"/>
      <c r="GY2" s="3144"/>
      <c r="GZ2" s="3144"/>
      <c r="HA2" s="3144"/>
      <c r="HB2" s="3144"/>
      <c r="HC2" s="3144"/>
      <c r="HD2" s="3144"/>
      <c r="HE2" s="3144"/>
      <c r="HF2" s="3144"/>
      <c r="HG2" s="3144"/>
      <c r="HH2" s="3144"/>
      <c r="HI2" s="3144"/>
      <c r="HJ2" s="3144"/>
      <c r="HK2" s="3144"/>
      <c r="HL2" s="3144"/>
      <c r="HM2" s="3144"/>
      <c r="HN2" s="3144"/>
      <c r="HO2" s="3144"/>
      <c r="HP2" s="3144"/>
      <c r="HQ2" s="3144"/>
      <c r="HR2" s="3144"/>
      <c r="HS2" s="3144"/>
      <c r="HT2" s="3144"/>
      <c r="HU2" s="3144"/>
      <c r="HV2" s="3144"/>
      <c r="HW2" s="3144"/>
      <c r="HX2" s="3144"/>
      <c r="HY2" s="3144"/>
      <c r="HZ2" s="3144"/>
      <c r="IA2" s="3144"/>
      <c r="IB2" s="3144"/>
      <c r="IC2" s="3144"/>
      <c r="ID2" s="3144"/>
      <c r="IE2" s="3144"/>
      <c r="IF2" s="3144"/>
      <c r="IG2" s="3144"/>
      <c r="IH2" s="3144"/>
      <c r="II2" s="3144"/>
      <c r="IJ2" s="3144"/>
      <c r="IK2" s="3144"/>
      <c r="IL2" s="3144"/>
      <c r="IM2" s="3144"/>
      <c r="IN2" s="3144"/>
      <c r="IO2" s="3144"/>
      <c r="IP2" s="3144"/>
      <c r="IQ2" s="3144"/>
      <c r="IR2" s="3144"/>
      <c r="IS2" s="3144"/>
      <c r="IT2" s="3144"/>
      <c r="IU2" s="3144"/>
      <c r="IV2" s="3144"/>
      <c r="IW2" s="3144"/>
    </row>
    <row r="3" spans="1:257">
      <c r="B3" s="3147" t="s">
        <v>2916</v>
      </c>
      <c r="C3" s="3148">
        <v>0</v>
      </c>
      <c r="D3" s="3149">
        <f ca="1">INDIRECT("d"&amp;$J$1)</f>
        <v>4.3499999999999996</v>
      </c>
      <c r="E3" s="3150">
        <v>0.5</v>
      </c>
      <c r="F3" s="3151">
        <f ca="1">INDIRECT("p"&amp;$L$1)</f>
        <v>1.3</v>
      </c>
      <c r="G3" s="3146"/>
      <c r="H3" s="3146"/>
      <c r="I3" s="3146"/>
      <c r="J3" s="3146"/>
      <c r="L3" s="3146"/>
      <c r="M3" s="3146"/>
      <c r="N3" s="3146"/>
      <c r="O3" s="3146"/>
      <c r="P3" s="3146"/>
      <c r="Q3" s="3146"/>
      <c r="R3" s="3146"/>
      <c r="S3" s="3146"/>
      <c r="T3" s="3146"/>
      <c r="U3" s="3146"/>
      <c r="V3" s="3146"/>
      <c r="W3" s="3146"/>
      <c r="X3" s="3146"/>
      <c r="Y3" s="3146"/>
      <c r="Z3" s="3146"/>
    </row>
    <row r="4" spans="1:257">
      <c r="B4" s="3153" t="s">
        <v>2917</v>
      </c>
      <c r="C4" s="3154">
        <v>0.5</v>
      </c>
      <c r="D4" s="3155">
        <f ca="1">INDIRECT("e"&amp;$J$1)</f>
        <v>4.3499999999999996</v>
      </c>
      <c r="E4" s="3156">
        <v>1</v>
      </c>
      <c r="F4" s="3157">
        <f ca="1">INDIRECT("q"&amp;$L$1)</f>
        <v>1.5</v>
      </c>
      <c r="G4" s="3146"/>
      <c r="H4" s="3146"/>
      <c r="I4" s="3146"/>
      <c r="J4" s="3146"/>
      <c r="L4" s="3146"/>
      <c r="M4" s="3146"/>
      <c r="N4" s="3146"/>
      <c r="O4" s="3146"/>
      <c r="P4" s="3146"/>
      <c r="Q4" s="3146"/>
      <c r="R4" s="3146"/>
      <c r="S4" s="3146"/>
      <c r="T4" s="3146"/>
      <c r="U4" s="3146"/>
      <c r="V4" s="3146"/>
      <c r="W4" s="3146"/>
      <c r="X4" s="3146"/>
      <c r="Y4" s="3146"/>
      <c r="Z4" s="3146"/>
    </row>
    <row r="5" spans="1:257">
      <c r="B5" s="3153" t="s">
        <v>2918</v>
      </c>
      <c r="C5" s="3154">
        <v>1</v>
      </c>
      <c r="D5" s="3155">
        <f ca="1">INDIRECT("f"&amp;$J$1)</f>
        <v>4.75</v>
      </c>
      <c r="E5" s="3156">
        <v>2</v>
      </c>
      <c r="F5" s="3157">
        <f ca="1">INDIRECT("r"&amp;$L$1)</f>
        <v>2.1</v>
      </c>
      <c r="G5" s="3146"/>
      <c r="H5" s="3146"/>
      <c r="I5" s="3146"/>
      <c r="J5" s="3146"/>
      <c r="L5" s="3146"/>
      <c r="M5" s="3146"/>
      <c r="N5" s="3146"/>
      <c r="O5" s="3146"/>
      <c r="P5" s="3146"/>
      <c r="Q5" s="3146"/>
      <c r="R5" s="3146"/>
      <c r="S5" s="3146"/>
      <c r="T5" s="3146"/>
      <c r="U5" s="3146"/>
      <c r="V5" s="3146"/>
      <c r="W5" s="3146"/>
      <c r="X5" s="3146"/>
      <c r="Y5" s="3146"/>
      <c r="Z5" s="3146"/>
    </row>
    <row r="6" spans="1:257">
      <c r="B6" s="3153" t="s">
        <v>2919</v>
      </c>
      <c r="C6" s="3154">
        <v>3</v>
      </c>
      <c r="D6" s="3155">
        <f ca="1">INDIRECT("g"&amp;$J$1)</f>
        <v>4.75</v>
      </c>
      <c r="E6" s="3156">
        <v>3</v>
      </c>
      <c r="F6" s="3157">
        <f ca="1">INDIRECT("s"&amp;$L$1)</f>
        <v>2.75</v>
      </c>
      <c r="G6" s="3146"/>
      <c r="H6" s="3146"/>
      <c r="I6" s="3146"/>
      <c r="J6" s="3146"/>
      <c r="L6" s="3146"/>
      <c r="M6" s="3146"/>
      <c r="N6" s="3146"/>
      <c r="O6" s="3146"/>
      <c r="P6" s="3146"/>
      <c r="Q6" s="3146"/>
      <c r="R6" s="3146"/>
      <c r="S6" s="3146"/>
      <c r="T6" s="3146"/>
      <c r="U6" s="3146"/>
      <c r="V6" s="3146"/>
      <c r="W6" s="3146"/>
      <c r="X6" s="3146"/>
      <c r="Y6" s="3146"/>
      <c r="Z6" s="3146"/>
    </row>
    <row r="7" spans="1:257" ht="14.25" thickBot="1">
      <c r="B7" s="3158" t="s">
        <v>2920</v>
      </c>
      <c r="C7" s="3159">
        <v>5</v>
      </c>
      <c r="D7" s="3160">
        <f ca="1">INDIRECT("h"&amp;$J$1)</f>
        <v>4.9000000000000004</v>
      </c>
      <c r="E7" s="3161">
        <v>5</v>
      </c>
      <c r="F7" s="3162">
        <f ca="1">INDIRECT("t"&amp;$L$1)</f>
        <v>0</v>
      </c>
      <c r="G7" s="3146"/>
      <c r="H7" s="3146"/>
      <c r="I7" s="3146"/>
      <c r="J7" s="3146"/>
      <c r="L7" s="3146"/>
      <c r="M7" s="3146"/>
      <c r="N7" s="3146"/>
      <c r="O7" s="3146"/>
      <c r="P7" s="3146"/>
      <c r="Q7" s="3146"/>
      <c r="R7" s="3146"/>
      <c r="S7" s="3146"/>
      <c r="T7" s="3146"/>
      <c r="U7" s="3146"/>
      <c r="V7" s="3146"/>
      <c r="W7" s="3146"/>
      <c r="X7" s="3146"/>
      <c r="Y7" s="3146"/>
      <c r="Z7" s="3146"/>
    </row>
    <row r="8" spans="1:257">
      <c r="A8" s="3163"/>
      <c r="B8" s="3164"/>
      <c r="C8" s="3165"/>
      <c r="D8" s="3146"/>
      <c r="E8" s="3146"/>
      <c r="F8" s="3146"/>
      <c r="G8" s="3146"/>
      <c r="H8" s="3146"/>
      <c r="I8" s="3146"/>
      <c r="J8" s="3146"/>
      <c r="L8" s="3146"/>
      <c r="M8" s="3146"/>
      <c r="N8" s="3146"/>
      <c r="O8" s="3146"/>
      <c r="P8" s="3146"/>
      <c r="Q8" s="3146"/>
      <c r="R8" s="3146"/>
      <c r="S8" s="3146"/>
      <c r="T8" s="3146"/>
      <c r="U8" s="3146"/>
      <c r="V8" s="3146"/>
      <c r="W8" s="3146"/>
      <c r="X8" s="3146"/>
      <c r="Y8" s="3146"/>
      <c r="Z8" s="3146"/>
    </row>
    <row r="9" spans="1:257" ht="20.25">
      <c r="A9" s="3166"/>
      <c r="B9" s="3167" t="s">
        <v>2921</v>
      </c>
      <c r="C9" s="3168"/>
      <c r="D9" s="3169"/>
      <c r="E9" s="3169"/>
      <c r="F9" s="3169"/>
      <c r="G9" s="3169"/>
      <c r="H9" s="3169"/>
      <c r="I9" s="3169"/>
      <c r="J9" s="3169"/>
      <c r="K9" s="3169"/>
      <c r="L9" s="3169"/>
      <c r="M9" s="3169"/>
      <c r="N9" s="3169"/>
      <c r="O9" s="3169"/>
      <c r="P9" s="3169"/>
      <c r="Q9" s="3169"/>
      <c r="R9" s="3169"/>
      <c r="S9" s="3169"/>
      <c r="T9" s="3169"/>
      <c r="U9" s="3169"/>
      <c r="V9" s="3169"/>
      <c r="W9" s="3169"/>
      <c r="X9" s="3169"/>
      <c r="Y9" s="3169"/>
      <c r="Z9" s="3169"/>
      <c r="AA9" s="3170"/>
      <c r="AB9" s="3170"/>
      <c r="AC9" s="3170"/>
      <c r="AD9" s="3170"/>
      <c r="AE9" s="3170"/>
      <c r="AF9" s="3170"/>
      <c r="AG9" s="3170"/>
      <c r="AH9" s="3170"/>
      <c r="AI9" s="3170"/>
      <c r="AJ9" s="3170"/>
      <c r="AK9" s="3170"/>
      <c r="AL9" s="3170"/>
      <c r="AM9" s="3170"/>
      <c r="AN9" s="3170"/>
      <c r="AO9" s="3170"/>
      <c r="AP9" s="3170"/>
      <c r="AQ9" s="3170"/>
      <c r="AR9" s="3170"/>
      <c r="AS9" s="3170"/>
      <c r="AT9" s="3170"/>
      <c r="AU9" s="3170"/>
      <c r="AV9" s="3170"/>
      <c r="AW9" s="3170"/>
      <c r="AX9" s="3170"/>
      <c r="AY9" s="3170"/>
      <c r="AZ9" s="3170"/>
      <c r="BA9" s="3170"/>
      <c r="BB9" s="3170"/>
      <c r="BC9" s="3170"/>
      <c r="BD9" s="3170"/>
      <c r="BE9" s="3170"/>
      <c r="BF9" s="3170"/>
      <c r="BG9" s="3170"/>
      <c r="BH9" s="3170"/>
      <c r="BI9" s="3170"/>
      <c r="BJ9" s="3170"/>
      <c r="BK9" s="3170"/>
      <c r="BL9" s="3170"/>
      <c r="BM9" s="3170"/>
      <c r="BN9" s="3170"/>
      <c r="BO9" s="3170"/>
      <c r="BP9" s="3170"/>
      <c r="BQ9" s="3170"/>
      <c r="BR9" s="3170"/>
      <c r="BS9" s="3170"/>
      <c r="BT9" s="3170"/>
      <c r="BU9" s="3170"/>
      <c r="BV9" s="3170"/>
      <c r="BW9" s="3170"/>
      <c r="BX9" s="3170"/>
      <c r="BY9" s="3170"/>
      <c r="BZ9" s="3170"/>
      <c r="CA9" s="3170"/>
      <c r="CB9" s="3170"/>
      <c r="CC9" s="3170"/>
      <c r="CD9" s="3170"/>
      <c r="CE9" s="3170"/>
      <c r="CF9" s="3170"/>
      <c r="CG9" s="3170"/>
      <c r="CH9" s="3170"/>
      <c r="CI9" s="3170"/>
      <c r="CJ9" s="3170"/>
      <c r="CK9" s="3170"/>
      <c r="CL9" s="3170"/>
      <c r="CM9" s="3170"/>
      <c r="CN9" s="3170"/>
      <c r="CO9" s="3170"/>
      <c r="CP9" s="3170"/>
      <c r="CQ9" s="3170"/>
      <c r="CR9" s="3170"/>
      <c r="CS9" s="3170"/>
      <c r="CT9" s="3170"/>
      <c r="CU9" s="3170"/>
      <c r="CV9" s="3170"/>
      <c r="CW9" s="3170"/>
      <c r="CX9" s="3170"/>
      <c r="CY9" s="3170"/>
      <c r="CZ9" s="3170"/>
      <c r="DA9" s="3170"/>
      <c r="DB9" s="3170"/>
      <c r="DC9" s="3170"/>
      <c r="DD9" s="3170"/>
      <c r="DE9" s="3170"/>
      <c r="DF9" s="3170"/>
      <c r="DG9" s="3170"/>
      <c r="DH9" s="3170"/>
      <c r="DI9" s="3170"/>
      <c r="DJ9" s="3170"/>
      <c r="DK9" s="3170"/>
      <c r="DL9" s="3170"/>
      <c r="DM9" s="3170"/>
      <c r="DN9" s="3170"/>
      <c r="DO9" s="3170"/>
      <c r="DP9" s="3170"/>
      <c r="DQ9" s="3170"/>
      <c r="DR9" s="3170"/>
      <c r="DS9" s="3170"/>
      <c r="DT9" s="3170"/>
      <c r="DU9" s="3170"/>
      <c r="DV9" s="3170"/>
      <c r="DW9" s="3170"/>
      <c r="DX9" s="3170"/>
      <c r="DY9" s="3170"/>
      <c r="DZ9" s="3170"/>
      <c r="EA9" s="3170"/>
      <c r="EB9" s="3170"/>
      <c r="EC9" s="3170"/>
      <c r="ED9" s="3170"/>
      <c r="EE9" s="3170"/>
      <c r="EF9" s="3170"/>
      <c r="EG9" s="3170"/>
      <c r="EH9" s="3170"/>
      <c r="EI9" s="3170"/>
      <c r="EJ9" s="3170"/>
      <c r="EK9" s="3170"/>
      <c r="EL9" s="3170"/>
      <c r="EM9" s="3170"/>
      <c r="EN9" s="3170"/>
      <c r="EO9" s="3170"/>
      <c r="EP9" s="3170"/>
      <c r="EQ9" s="3170"/>
      <c r="ER9" s="3170"/>
      <c r="ES9" s="3170"/>
      <c r="ET9" s="3170"/>
      <c r="EU9" s="3170"/>
      <c r="EV9" s="3170"/>
      <c r="EW9" s="3170"/>
      <c r="EX9" s="3170"/>
      <c r="EY9" s="3170"/>
      <c r="EZ9" s="3170"/>
      <c r="FA9" s="3170"/>
      <c r="FB9" s="3170"/>
      <c r="FC9" s="3170"/>
      <c r="FD9" s="3170"/>
      <c r="FE9" s="3170"/>
      <c r="FF9" s="3170"/>
      <c r="FG9" s="3170"/>
      <c r="FH9" s="3170"/>
      <c r="FI9" s="3170"/>
      <c r="FJ9" s="3170"/>
      <c r="FK9" s="3170"/>
      <c r="FL9" s="3170"/>
      <c r="FM9" s="3170"/>
      <c r="FN9" s="3170"/>
      <c r="FO9" s="3170"/>
      <c r="FP9" s="3170"/>
      <c r="FQ9" s="3170"/>
      <c r="FR9" s="3170"/>
      <c r="FS9" s="3170"/>
      <c r="FT9" s="3170"/>
      <c r="FU9" s="3170"/>
      <c r="FV9" s="3170"/>
      <c r="FW9" s="3170"/>
      <c r="FX9" s="3170"/>
      <c r="FY9" s="3170"/>
      <c r="FZ9" s="3170"/>
      <c r="GA9" s="3170"/>
      <c r="GB9" s="3170"/>
      <c r="GC9" s="3170"/>
      <c r="GD9" s="3170"/>
      <c r="GE9" s="3170"/>
      <c r="GF9" s="3170"/>
      <c r="GG9" s="3170"/>
      <c r="GH9" s="3170"/>
      <c r="GI9" s="3170"/>
      <c r="GJ9" s="3170"/>
      <c r="GK9" s="3170"/>
      <c r="GL9" s="3170"/>
      <c r="GM9" s="3170"/>
      <c r="GN9" s="3170"/>
      <c r="GO9" s="3170"/>
      <c r="GP9" s="3170"/>
      <c r="GQ9" s="3170"/>
      <c r="GR9" s="3170"/>
      <c r="GS9" s="3170"/>
      <c r="GT9" s="3170"/>
      <c r="GU9" s="3170"/>
      <c r="GV9" s="3170"/>
      <c r="GW9" s="3170"/>
      <c r="GX9" s="3170"/>
      <c r="GY9" s="3170"/>
      <c r="GZ9" s="3170"/>
      <c r="HA9" s="3170"/>
      <c r="HB9" s="3170"/>
      <c r="HC9" s="3170"/>
      <c r="HD9" s="3170"/>
      <c r="HE9" s="3170"/>
      <c r="HF9" s="3170"/>
      <c r="HG9" s="3170"/>
      <c r="HH9" s="3170"/>
      <c r="HI9" s="3170"/>
      <c r="HJ9" s="3170"/>
      <c r="HK9" s="3170"/>
      <c r="HL9" s="3170"/>
      <c r="HM9" s="3170"/>
      <c r="HN9" s="3170"/>
      <c r="HO9" s="3170"/>
      <c r="HP9" s="3170"/>
      <c r="HQ9" s="3170"/>
      <c r="HR9" s="3170"/>
      <c r="HS9" s="3170"/>
      <c r="HT9" s="3170"/>
      <c r="HU9" s="3170"/>
      <c r="HV9" s="3170"/>
      <c r="HW9" s="3170"/>
      <c r="HX9" s="3170"/>
      <c r="HY9" s="3170"/>
      <c r="HZ9" s="3170"/>
      <c r="IA9" s="3170"/>
      <c r="IB9" s="3170"/>
      <c r="IC9" s="3170"/>
      <c r="ID9" s="3170"/>
      <c r="IE9" s="3170"/>
      <c r="IF9" s="3170"/>
      <c r="IG9" s="3170"/>
      <c r="IH9" s="3170"/>
      <c r="II9" s="3170"/>
      <c r="IJ9" s="3170"/>
      <c r="IK9" s="3170"/>
      <c r="IL9" s="3170"/>
      <c r="IM9" s="3170"/>
      <c r="IN9" s="3170"/>
      <c r="IO9" s="3170"/>
      <c r="IP9" s="3170"/>
      <c r="IQ9" s="3170"/>
      <c r="IR9" s="3170"/>
      <c r="IS9" s="3170"/>
      <c r="IT9" s="3170"/>
      <c r="IU9" s="3170"/>
      <c r="IV9" s="3170"/>
      <c r="IW9" s="3171"/>
    </row>
    <row r="10" spans="1:257" ht="22.5">
      <c r="A10" s="3172"/>
      <c r="B10" s="3173" t="s">
        <v>2922</v>
      </c>
      <c r="C10" s="3172"/>
      <c r="D10" s="3172"/>
      <c r="E10" s="3172"/>
      <c r="F10" s="3172"/>
      <c r="G10" s="3172"/>
      <c r="H10" s="3172"/>
      <c r="I10" s="3146"/>
      <c r="J10" s="3146"/>
      <c r="K10" s="3172"/>
      <c r="L10" s="3173" t="s">
        <v>2923</v>
      </c>
      <c r="M10" s="3172"/>
      <c r="N10" s="3172"/>
      <c r="O10" s="3172"/>
      <c r="P10" s="3172"/>
      <c r="Q10" s="3172"/>
      <c r="R10" s="3172"/>
      <c r="S10" s="3172"/>
      <c r="T10" s="3172"/>
      <c r="U10" s="3172"/>
      <c r="V10" s="3172"/>
      <c r="W10" s="3172"/>
      <c r="X10" s="3172"/>
      <c r="Y10" s="3172"/>
      <c r="Z10" s="3172"/>
      <c r="AA10" s="3174"/>
      <c r="AB10" s="3174"/>
      <c r="AC10" s="3174"/>
      <c r="AD10" s="3174"/>
      <c r="AE10" s="3174"/>
      <c r="AF10" s="3174"/>
      <c r="AG10" s="3174"/>
      <c r="AH10" s="3174"/>
      <c r="AI10" s="3174"/>
      <c r="AJ10" s="3174"/>
      <c r="AK10" s="3174"/>
      <c r="AL10" s="3174"/>
      <c r="AM10" s="3174"/>
      <c r="AN10" s="3174"/>
      <c r="AO10" s="3174"/>
      <c r="AP10" s="3174"/>
      <c r="AQ10" s="3174"/>
      <c r="AR10" s="3174"/>
      <c r="AS10" s="3174"/>
      <c r="AT10" s="3174"/>
      <c r="AU10" s="3174"/>
      <c r="AV10" s="3174"/>
      <c r="AW10" s="3174"/>
      <c r="AX10" s="3174"/>
      <c r="AY10" s="3174"/>
      <c r="AZ10" s="3174"/>
      <c r="BA10" s="3174"/>
      <c r="BB10" s="3174"/>
      <c r="BC10" s="3174"/>
      <c r="BD10" s="3174"/>
      <c r="BE10" s="3174"/>
      <c r="BF10" s="3174"/>
      <c r="BG10" s="3174"/>
      <c r="BH10" s="3174"/>
      <c r="BI10" s="3174"/>
      <c r="BJ10" s="3174"/>
      <c r="BK10" s="3174"/>
      <c r="BL10" s="3174"/>
      <c r="BM10" s="3174"/>
      <c r="BN10" s="3174"/>
      <c r="BO10" s="3174"/>
      <c r="BP10" s="3174"/>
      <c r="BQ10" s="3174"/>
      <c r="BR10" s="3174"/>
      <c r="BS10" s="3174"/>
      <c r="BT10" s="3174"/>
      <c r="BU10" s="3174"/>
      <c r="BV10" s="3174"/>
      <c r="BW10" s="3174"/>
      <c r="BX10" s="3174"/>
      <c r="BY10" s="3174"/>
      <c r="BZ10" s="3174"/>
      <c r="CA10" s="3174"/>
      <c r="CB10" s="3174"/>
      <c r="CC10" s="3174"/>
      <c r="CD10" s="3174"/>
      <c r="CE10" s="3174"/>
      <c r="CF10" s="3174"/>
      <c r="CG10" s="3174"/>
      <c r="CH10" s="3174"/>
      <c r="CI10" s="3174"/>
      <c r="CJ10" s="3174"/>
      <c r="CK10" s="3174"/>
      <c r="CL10" s="3174"/>
      <c r="CM10" s="3174"/>
      <c r="CN10" s="3174"/>
      <c r="CO10" s="3174"/>
      <c r="CP10" s="3174"/>
      <c r="CQ10" s="3174"/>
      <c r="CR10" s="3174"/>
      <c r="CS10" s="3174"/>
      <c r="CT10" s="3174"/>
      <c r="CU10" s="3174"/>
      <c r="CV10" s="3174"/>
      <c r="CW10" s="3174"/>
      <c r="CX10" s="3174"/>
      <c r="CY10" s="3174"/>
      <c r="CZ10" s="3174"/>
      <c r="DA10" s="3174"/>
      <c r="DB10" s="3174"/>
      <c r="DC10" s="3174"/>
      <c r="DD10" s="3174"/>
      <c r="DE10" s="3174"/>
      <c r="DF10" s="3174"/>
      <c r="DG10" s="3174"/>
      <c r="DH10" s="3174"/>
      <c r="DI10" s="3174"/>
      <c r="DJ10" s="3174"/>
      <c r="DK10" s="3174"/>
      <c r="DL10" s="3174"/>
      <c r="DM10" s="3174"/>
      <c r="DN10" s="3174"/>
      <c r="DO10" s="3174"/>
      <c r="DP10" s="3174"/>
      <c r="DQ10" s="3174"/>
      <c r="DR10" s="3174"/>
      <c r="DS10" s="3174"/>
      <c r="DT10" s="3174"/>
      <c r="DU10" s="3174"/>
      <c r="DV10" s="3174"/>
      <c r="DW10" s="3174"/>
      <c r="DX10" s="3174"/>
      <c r="DY10" s="3174"/>
      <c r="DZ10" s="3174"/>
      <c r="EA10" s="3174"/>
      <c r="EB10" s="3174"/>
      <c r="EC10" s="3174"/>
      <c r="ED10" s="3174"/>
      <c r="EE10" s="3174"/>
      <c r="EF10" s="3174"/>
      <c r="EG10" s="3174"/>
      <c r="EH10" s="3174"/>
      <c r="EI10" s="3174"/>
      <c r="EJ10" s="3174"/>
      <c r="EK10" s="3174"/>
      <c r="EL10" s="3174"/>
      <c r="EM10" s="3174"/>
      <c r="EN10" s="3174"/>
      <c r="EO10" s="3174"/>
      <c r="EP10" s="3174"/>
      <c r="EQ10" s="3174"/>
      <c r="ER10" s="3174"/>
      <c r="ES10" s="3174"/>
      <c r="ET10" s="3174"/>
      <c r="EU10" s="3174"/>
      <c r="EV10" s="3174"/>
      <c r="EW10" s="3174"/>
      <c r="EX10" s="3174"/>
      <c r="EY10" s="3174"/>
      <c r="EZ10" s="3174"/>
      <c r="FA10" s="3174"/>
      <c r="FB10" s="3174"/>
      <c r="FC10" s="3174"/>
      <c r="FD10" s="3174"/>
      <c r="FE10" s="3174"/>
      <c r="FF10" s="3174"/>
      <c r="FG10" s="3174"/>
      <c r="FH10" s="3174"/>
      <c r="FI10" s="3174"/>
      <c r="FJ10" s="3174"/>
      <c r="FK10" s="3174"/>
      <c r="FL10" s="3174"/>
      <c r="FM10" s="3174"/>
      <c r="FN10" s="3174"/>
      <c r="FO10" s="3174"/>
      <c r="FP10" s="3174"/>
      <c r="FQ10" s="3174"/>
      <c r="FR10" s="3174"/>
      <c r="FS10" s="3174"/>
      <c r="FT10" s="3174"/>
      <c r="FU10" s="3174"/>
      <c r="FV10" s="3174"/>
      <c r="FW10" s="3174"/>
      <c r="FX10" s="3174"/>
      <c r="FY10" s="3174"/>
      <c r="FZ10" s="3174"/>
      <c r="GA10" s="3174"/>
      <c r="GB10" s="3174"/>
      <c r="GC10" s="3174"/>
      <c r="GD10" s="3174"/>
      <c r="GE10" s="3174"/>
      <c r="GF10" s="3174"/>
      <c r="GG10" s="3174"/>
      <c r="GH10" s="3174"/>
      <c r="GI10" s="3174"/>
      <c r="GJ10" s="3174"/>
      <c r="GK10" s="3174"/>
      <c r="GL10" s="3174"/>
      <c r="GM10" s="3174"/>
      <c r="GN10" s="3174"/>
      <c r="GO10" s="3174"/>
      <c r="GP10" s="3174"/>
      <c r="GQ10" s="3174"/>
      <c r="GR10" s="3174"/>
      <c r="GS10" s="3174"/>
      <c r="GT10" s="3174"/>
      <c r="GU10" s="3174"/>
      <c r="GV10" s="3174"/>
      <c r="GW10" s="3174"/>
      <c r="GX10" s="3174"/>
      <c r="GY10" s="3174"/>
      <c r="GZ10" s="3174"/>
      <c r="HA10" s="3174"/>
      <c r="HB10" s="3174"/>
      <c r="HC10" s="3174"/>
      <c r="HD10" s="3174"/>
      <c r="HE10" s="3174"/>
      <c r="HF10" s="3174"/>
      <c r="HG10" s="3174"/>
      <c r="HH10" s="3174"/>
      <c r="HI10" s="3174"/>
      <c r="HJ10" s="3174"/>
      <c r="HK10" s="3174"/>
      <c r="HL10" s="3174"/>
      <c r="HM10" s="3174"/>
      <c r="HN10" s="3174"/>
      <c r="HO10" s="3174"/>
      <c r="HP10" s="3174"/>
      <c r="HQ10" s="3174"/>
      <c r="HR10" s="3174"/>
      <c r="HS10" s="3174"/>
      <c r="HT10" s="3174"/>
      <c r="HU10" s="3174"/>
      <c r="HV10" s="3174"/>
      <c r="HW10" s="3174"/>
      <c r="HX10" s="3174"/>
      <c r="HY10" s="3174"/>
      <c r="HZ10" s="3174"/>
      <c r="IA10" s="3174"/>
      <c r="IB10" s="3174"/>
      <c r="IC10" s="3174"/>
      <c r="ID10" s="3174"/>
      <c r="IE10" s="3174"/>
      <c r="IF10" s="3174"/>
      <c r="IG10" s="3174"/>
      <c r="IH10" s="3174"/>
      <c r="II10" s="3174"/>
      <c r="IJ10" s="3174"/>
      <c r="IK10" s="3174"/>
      <c r="IL10" s="3174"/>
      <c r="IM10" s="3174"/>
      <c r="IN10" s="3174"/>
      <c r="IO10" s="3174"/>
      <c r="IP10" s="3174"/>
      <c r="IQ10" s="3174"/>
      <c r="IR10" s="3174"/>
      <c r="IS10" s="3174"/>
      <c r="IT10" s="3174"/>
      <c r="IU10" s="3174"/>
      <c r="IV10" s="3174"/>
    </row>
    <row r="11" spans="1:257">
      <c r="A11" s="3175"/>
      <c r="B11" s="3176" t="s">
        <v>2924</v>
      </c>
      <c r="C11" s="3177" t="s">
        <v>2925</v>
      </c>
      <c r="D11" s="3178" t="s">
        <v>2926</v>
      </c>
      <c r="E11" s="3179"/>
      <c r="F11" s="3178" t="s">
        <v>2927</v>
      </c>
      <c r="G11" s="3180"/>
      <c r="H11" s="3179"/>
      <c r="I11" s="3178" t="s">
        <v>2928</v>
      </c>
      <c r="J11" s="3179"/>
      <c r="K11" s="3175"/>
      <c r="L11" s="3176" t="s">
        <v>2924</v>
      </c>
      <c r="M11" s="3177" t="s">
        <v>2925</v>
      </c>
      <c r="N11" s="3176" t="s">
        <v>2929</v>
      </c>
      <c r="O11" s="3178" t="s">
        <v>2930</v>
      </c>
      <c r="P11" s="3180"/>
      <c r="Q11" s="3180"/>
      <c r="R11" s="3180"/>
      <c r="S11" s="3180"/>
      <c r="T11" s="3179"/>
      <c r="U11" s="3178" t="s">
        <v>2931</v>
      </c>
      <c r="V11" s="3180"/>
      <c r="W11" s="3179"/>
      <c r="X11" s="3176" t="s">
        <v>2932</v>
      </c>
      <c r="Y11" s="3176" t="s">
        <v>2933</v>
      </c>
      <c r="Z11" s="3176" t="s">
        <v>2934</v>
      </c>
      <c r="AA11" s="3181"/>
      <c r="AB11" s="3181"/>
      <c r="AC11" s="3181"/>
      <c r="AD11" s="3181"/>
      <c r="AE11" s="3181"/>
      <c r="AF11" s="3181"/>
      <c r="AG11" s="3181"/>
      <c r="AH11" s="3181"/>
      <c r="AI11" s="3181"/>
      <c r="AJ11" s="3181"/>
      <c r="AK11" s="3181"/>
      <c r="AL11" s="3181"/>
      <c r="AM11" s="3181"/>
      <c r="AN11" s="3181"/>
      <c r="AO11" s="3181"/>
      <c r="AP11" s="3181"/>
      <c r="AQ11" s="3181"/>
      <c r="AR11" s="3181"/>
      <c r="AS11" s="3181"/>
      <c r="AT11" s="3181"/>
      <c r="AU11" s="3181"/>
      <c r="AV11" s="3181"/>
      <c r="AW11" s="3181"/>
      <c r="AX11" s="3181"/>
      <c r="AY11" s="3181"/>
      <c r="AZ11" s="3181"/>
      <c r="BA11" s="3181"/>
      <c r="BB11" s="3181"/>
      <c r="BC11" s="3181"/>
      <c r="BD11" s="3181"/>
      <c r="BE11" s="3181"/>
      <c r="BF11" s="3181"/>
      <c r="BG11" s="3181"/>
      <c r="BH11" s="3181"/>
      <c r="BI11" s="3181"/>
      <c r="BJ11" s="3181"/>
      <c r="BK11" s="3181"/>
      <c r="BL11" s="3181"/>
      <c r="BM11" s="3181"/>
      <c r="BN11" s="3181"/>
      <c r="BO11" s="3181"/>
      <c r="BP11" s="3181"/>
      <c r="BQ11" s="3181"/>
      <c r="BR11" s="3181"/>
      <c r="BS11" s="3181"/>
      <c r="BT11" s="3181"/>
      <c r="BU11" s="3181"/>
      <c r="BV11" s="3181"/>
      <c r="BW11" s="3181"/>
      <c r="BX11" s="3181"/>
      <c r="BY11" s="3181"/>
      <c r="BZ11" s="3181"/>
      <c r="CA11" s="3181"/>
      <c r="CB11" s="3181"/>
      <c r="CC11" s="3181"/>
      <c r="CD11" s="3181"/>
      <c r="CE11" s="3181"/>
      <c r="CF11" s="3181"/>
      <c r="CG11" s="3181"/>
      <c r="CH11" s="3181"/>
      <c r="CI11" s="3181"/>
      <c r="CJ11" s="3181"/>
      <c r="CK11" s="3181"/>
      <c r="CL11" s="3181"/>
      <c r="CM11" s="3181"/>
      <c r="CN11" s="3181"/>
      <c r="CO11" s="3181"/>
      <c r="CP11" s="3181"/>
      <c r="CQ11" s="3181"/>
      <c r="CR11" s="3181"/>
      <c r="CS11" s="3181"/>
      <c r="CT11" s="3181"/>
      <c r="CU11" s="3181"/>
      <c r="CV11" s="3181"/>
      <c r="CW11" s="3181"/>
      <c r="CX11" s="3181"/>
      <c r="CY11" s="3181"/>
      <c r="CZ11" s="3181"/>
      <c r="DA11" s="3181"/>
      <c r="DB11" s="3181"/>
      <c r="DC11" s="3181"/>
      <c r="DD11" s="3181"/>
      <c r="DE11" s="3181"/>
      <c r="DF11" s="3181"/>
      <c r="DG11" s="3181"/>
      <c r="DH11" s="3181"/>
      <c r="DI11" s="3181"/>
      <c r="DJ11" s="3181"/>
      <c r="DK11" s="3181"/>
      <c r="DL11" s="3181"/>
      <c r="DM11" s="3181"/>
      <c r="DN11" s="3181"/>
      <c r="DO11" s="3181"/>
      <c r="DP11" s="3181"/>
      <c r="DQ11" s="3181"/>
      <c r="DR11" s="3181"/>
      <c r="DS11" s="3181"/>
      <c r="DT11" s="3181"/>
      <c r="DU11" s="3181"/>
      <c r="DV11" s="3181"/>
      <c r="DW11" s="3181"/>
      <c r="DX11" s="3181"/>
      <c r="DY11" s="3181"/>
      <c r="DZ11" s="3181"/>
      <c r="EA11" s="3181"/>
      <c r="EB11" s="3181"/>
      <c r="EC11" s="3181"/>
      <c r="ED11" s="3181"/>
      <c r="EE11" s="3181"/>
      <c r="EF11" s="3181"/>
      <c r="EG11" s="3181"/>
      <c r="EH11" s="3181"/>
      <c r="EI11" s="3181"/>
      <c r="EJ11" s="3181"/>
      <c r="EK11" s="3181"/>
      <c r="EL11" s="3181"/>
      <c r="EM11" s="3181"/>
      <c r="EN11" s="3181"/>
      <c r="EO11" s="3181"/>
      <c r="EP11" s="3181"/>
      <c r="EQ11" s="3181"/>
      <c r="ER11" s="3181"/>
      <c r="ES11" s="3181"/>
      <c r="ET11" s="3181"/>
      <c r="EU11" s="3181"/>
      <c r="EV11" s="3181"/>
      <c r="EW11" s="3181"/>
      <c r="EX11" s="3181"/>
      <c r="EY11" s="3181"/>
      <c r="EZ11" s="3181"/>
      <c r="FA11" s="3181"/>
      <c r="FB11" s="3181"/>
      <c r="FC11" s="3181"/>
      <c r="FD11" s="3181"/>
      <c r="FE11" s="3181"/>
      <c r="FF11" s="3181"/>
      <c r="FG11" s="3181"/>
      <c r="FH11" s="3181"/>
      <c r="FI11" s="3181"/>
      <c r="FJ11" s="3181"/>
      <c r="FK11" s="3181"/>
      <c r="FL11" s="3181"/>
      <c r="FM11" s="3181"/>
      <c r="FN11" s="3181"/>
      <c r="FO11" s="3181"/>
      <c r="FP11" s="3181"/>
      <c r="FQ11" s="3181"/>
      <c r="FR11" s="3181"/>
      <c r="FS11" s="3181"/>
      <c r="FT11" s="3181"/>
      <c r="FU11" s="3181"/>
      <c r="FV11" s="3181"/>
      <c r="FW11" s="3181"/>
      <c r="FX11" s="3181"/>
      <c r="FY11" s="3181"/>
      <c r="FZ11" s="3181"/>
      <c r="GA11" s="3181"/>
      <c r="GB11" s="3181"/>
      <c r="GC11" s="3181"/>
      <c r="GD11" s="3181"/>
      <c r="GE11" s="3181"/>
      <c r="GF11" s="3181"/>
      <c r="GG11" s="3181"/>
      <c r="GH11" s="3181"/>
      <c r="GI11" s="3181"/>
      <c r="GJ11" s="3181"/>
      <c r="GK11" s="3181"/>
      <c r="GL11" s="3181"/>
      <c r="GM11" s="3181"/>
      <c r="GN11" s="3181"/>
      <c r="GO11" s="3181"/>
      <c r="GP11" s="3181"/>
      <c r="GQ11" s="3181"/>
      <c r="GR11" s="3181"/>
      <c r="GS11" s="3181"/>
      <c r="GT11" s="3181"/>
      <c r="GU11" s="3181"/>
      <c r="GV11" s="3181"/>
      <c r="GW11" s="3181"/>
      <c r="GX11" s="3181"/>
      <c r="GY11" s="3181"/>
      <c r="GZ11" s="3181"/>
      <c r="HA11" s="3181"/>
      <c r="HB11" s="3181"/>
      <c r="HC11" s="3181"/>
      <c r="HD11" s="3181"/>
      <c r="HE11" s="3181"/>
      <c r="HF11" s="3181"/>
      <c r="HG11" s="3181"/>
      <c r="HH11" s="3181"/>
      <c r="HI11" s="3181"/>
      <c r="HJ11" s="3181"/>
      <c r="HK11" s="3181"/>
      <c r="HL11" s="3181"/>
      <c r="HM11" s="3181"/>
      <c r="HN11" s="3181"/>
      <c r="HO11" s="3181"/>
      <c r="HP11" s="3181"/>
      <c r="HQ11" s="3181"/>
      <c r="HR11" s="3181"/>
      <c r="HS11" s="3181"/>
      <c r="HT11" s="3181"/>
      <c r="HU11" s="3181"/>
      <c r="HV11" s="3181"/>
      <c r="HW11" s="3181"/>
      <c r="HX11" s="3181"/>
      <c r="HY11" s="3181"/>
      <c r="HZ11" s="3181"/>
      <c r="IA11" s="3181"/>
      <c r="IB11" s="3181"/>
      <c r="IC11" s="3181"/>
      <c r="ID11" s="3181"/>
      <c r="IE11" s="3181"/>
      <c r="IF11" s="3181"/>
      <c r="IG11" s="3181"/>
      <c r="IH11" s="3181"/>
      <c r="II11" s="3181"/>
      <c r="IJ11" s="3181"/>
      <c r="IK11" s="3181"/>
      <c r="IL11" s="3181"/>
      <c r="IM11" s="3181"/>
      <c r="IN11" s="3181"/>
      <c r="IO11" s="3181"/>
      <c r="IP11" s="3181"/>
      <c r="IQ11" s="3181"/>
      <c r="IR11" s="3181"/>
      <c r="IS11" s="3181"/>
      <c r="IT11" s="3181"/>
      <c r="IU11" s="3181"/>
      <c r="IV11" s="3181"/>
    </row>
    <row r="12" spans="1:257">
      <c r="A12" s="3182"/>
      <c r="B12" s="3183"/>
      <c r="C12" s="3184"/>
      <c r="D12" s="3185" t="s">
        <v>2935</v>
      </c>
      <c r="E12" s="3185" t="s">
        <v>2936</v>
      </c>
      <c r="F12" s="3185" t="s">
        <v>2937</v>
      </c>
      <c r="G12" s="3185" t="s">
        <v>2938</v>
      </c>
      <c r="H12" s="3185" t="s">
        <v>2920</v>
      </c>
      <c r="I12" s="3186" t="s">
        <v>2939</v>
      </c>
      <c r="J12" s="3186" t="s">
        <v>2939</v>
      </c>
      <c r="K12" s="3182"/>
      <c r="L12" s="3183"/>
      <c r="M12" s="3184"/>
      <c r="N12" s="3183"/>
      <c r="O12" s="3186" t="s">
        <v>2940</v>
      </c>
      <c r="P12" s="3186">
        <v>0.5</v>
      </c>
      <c r="Q12" s="3186">
        <v>1</v>
      </c>
      <c r="R12" s="3186">
        <v>2</v>
      </c>
      <c r="S12" s="3186">
        <v>3</v>
      </c>
      <c r="T12" s="3186">
        <v>5</v>
      </c>
      <c r="U12" s="3186">
        <v>1</v>
      </c>
      <c r="V12" s="3186">
        <v>3</v>
      </c>
      <c r="W12" s="3186">
        <v>5</v>
      </c>
      <c r="X12" s="3183"/>
      <c r="Y12" s="3183"/>
      <c r="Z12" s="3183"/>
      <c r="AA12" s="3187"/>
      <c r="AB12" s="3187"/>
      <c r="AC12" s="3187"/>
      <c r="AD12" s="3187"/>
      <c r="AE12" s="3187"/>
      <c r="AF12" s="3187"/>
      <c r="AG12" s="3187"/>
      <c r="AH12" s="3187"/>
      <c r="AI12" s="3187"/>
      <c r="AJ12" s="3187"/>
      <c r="AK12" s="3187"/>
      <c r="AL12" s="3187"/>
      <c r="AM12" s="3187"/>
      <c r="AN12" s="3187"/>
      <c r="AO12" s="3187"/>
      <c r="AP12" s="3187"/>
      <c r="AQ12" s="3187"/>
      <c r="AR12" s="3187"/>
      <c r="AS12" s="3187"/>
      <c r="AT12" s="3187"/>
      <c r="AU12" s="3187"/>
      <c r="AV12" s="3187"/>
      <c r="AW12" s="3187"/>
      <c r="AX12" s="3187"/>
      <c r="AY12" s="3187"/>
      <c r="AZ12" s="3187"/>
      <c r="BA12" s="3187"/>
      <c r="BB12" s="3187"/>
      <c r="BC12" s="3187"/>
      <c r="BD12" s="3187"/>
      <c r="BE12" s="3187"/>
      <c r="BF12" s="3187"/>
      <c r="BG12" s="3187"/>
      <c r="BH12" s="3187"/>
      <c r="BI12" s="3187"/>
      <c r="BJ12" s="3187"/>
      <c r="BK12" s="3187"/>
      <c r="BL12" s="3187"/>
      <c r="BM12" s="3187"/>
      <c r="BN12" s="3187"/>
      <c r="BO12" s="3187"/>
      <c r="BP12" s="3187"/>
      <c r="BQ12" s="3187"/>
      <c r="BR12" s="3187"/>
      <c r="BS12" s="3187"/>
      <c r="BT12" s="3187"/>
      <c r="BU12" s="3187"/>
      <c r="BV12" s="3187"/>
      <c r="BW12" s="3187"/>
      <c r="BX12" s="3187"/>
      <c r="BY12" s="3187"/>
      <c r="BZ12" s="3187"/>
      <c r="CA12" s="3187"/>
      <c r="CB12" s="3187"/>
      <c r="CC12" s="3187"/>
      <c r="CD12" s="3187"/>
      <c r="CE12" s="3187"/>
      <c r="CF12" s="3187"/>
      <c r="CG12" s="3187"/>
      <c r="CH12" s="3187"/>
      <c r="CI12" s="3187"/>
      <c r="CJ12" s="3187"/>
      <c r="CK12" s="3187"/>
      <c r="CL12" s="3187"/>
      <c r="CM12" s="3187"/>
      <c r="CN12" s="3187"/>
      <c r="CO12" s="3187"/>
      <c r="CP12" s="3187"/>
      <c r="CQ12" s="3187"/>
      <c r="CR12" s="3187"/>
      <c r="CS12" s="3187"/>
      <c r="CT12" s="3187"/>
      <c r="CU12" s="3187"/>
      <c r="CV12" s="3187"/>
      <c r="CW12" s="3187"/>
      <c r="CX12" s="3187"/>
      <c r="CY12" s="3187"/>
      <c r="CZ12" s="3187"/>
      <c r="DA12" s="3187"/>
      <c r="DB12" s="3187"/>
      <c r="DC12" s="3187"/>
      <c r="DD12" s="3187"/>
      <c r="DE12" s="3187"/>
      <c r="DF12" s="3187"/>
      <c r="DG12" s="3187"/>
      <c r="DH12" s="3187"/>
      <c r="DI12" s="3187"/>
      <c r="DJ12" s="3187"/>
      <c r="DK12" s="3187"/>
      <c r="DL12" s="3187"/>
      <c r="DM12" s="3187"/>
      <c r="DN12" s="3187"/>
      <c r="DO12" s="3187"/>
      <c r="DP12" s="3187"/>
      <c r="DQ12" s="3187"/>
      <c r="DR12" s="3187"/>
      <c r="DS12" s="3187"/>
      <c r="DT12" s="3187"/>
      <c r="DU12" s="3187"/>
      <c r="DV12" s="3187"/>
      <c r="DW12" s="3187"/>
      <c r="DX12" s="3187"/>
      <c r="DY12" s="3187"/>
      <c r="DZ12" s="3187"/>
      <c r="EA12" s="3187"/>
      <c r="EB12" s="3187"/>
      <c r="EC12" s="3187"/>
      <c r="ED12" s="3187"/>
      <c r="EE12" s="3187"/>
      <c r="EF12" s="3187"/>
      <c r="EG12" s="3187"/>
      <c r="EH12" s="3187"/>
      <c r="EI12" s="3187"/>
      <c r="EJ12" s="3187"/>
      <c r="EK12" s="3187"/>
      <c r="EL12" s="3187"/>
      <c r="EM12" s="3187"/>
      <c r="EN12" s="3187"/>
      <c r="EO12" s="3187"/>
      <c r="EP12" s="3187"/>
      <c r="EQ12" s="3187"/>
      <c r="ER12" s="3187"/>
      <c r="ES12" s="3187"/>
      <c r="ET12" s="3187"/>
      <c r="EU12" s="3187"/>
      <c r="EV12" s="3187"/>
      <c r="EW12" s="3187"/>
      <c r="EX12" s="3187"/>
      <c r="EY12" s="3187"/>
      <c r="EZ12" s="3187"/>
      <c r="FA12" s="3187"/>
      <c r="FB12" s="3187"/>
      <c r="FC12" s="3187"/>
      <c r="FD12" s="3187"/>
      <c r="FE12" s="3187"/>
      <c r="FF12" s="3187"/>
      <c r="FG12" s="3187"/>
      <c r="FH12" s="3187"/>
      <c r="FI12" s="3187"/>
      <c r="FJ12" s="3187"/>
      <c r="FK12" s="3187"/>
      <c r="FL12" s="3187"/>
      <c r="FM12" s="3187"/>
      <c r="FN12" s="3187"/>
      <c r="FO12" s="3187"/>
      <c r="FP12" s="3187"/>
      <c r="FQ12" s="3187"/>
      <c r="FR12" s="3187"/>
      <c r="FS12" s="3187"/>
      <c r="FT12" s="3187"/>
      <c r="FU12" s="3187"/>
      <c r="FV12" s="3187"/>
      <c r="FW12" s="3187"/>
      <c r="FX12" s="3187"/>
      <c r="FY12" s="3187"/>
      <c r="FZ12" s="3187"/>
      <c r="GA12" s="3187"/>
      <c r="GB12" s="3187"/>
      <c r="GC12" s="3187"/>
      <c r="GD12" s="3187"/>
      <c r="GE12" s="3187"/>
      <c r="GF12" s="3187"/>
      <c r="GG12" s="3187"/>
      <c r="GH12" s="3187"/>
      <c r="GI12" s="3187"/>
      <c r="GJ12" s="3187"/>
      <c r="GK12" s="3187"/>
      <c r="GL12" s="3187"/>
      <c r="GM12" s="3187"/>
      <c r="GN12" s="3187"/>
      <c r="GO12" s="3187"/>
      <c r="GP12" s="3187"/>
      <c r="GQ12" s="3187"/>
      <c r="GR12" s="3187"/>
      <c r="GS12" s="3187"/>
      <c r="GT12" s="3187"/>
      <c r="GU12" s="3187"/>
      <c r="GV12" s="3187"/>
      <c r="GW12" s="3187"/>
      <c r="GX12" s="3187"/>
      <c r="GY12" s="3187"/>
      <c r="GZ12" s="3187"/>
      <c r="HA12" s="3187"/>
      <c r="HB12" s="3187"/>
      <c r="HC12" s="3187"/>
      <c r="HD12" s="3187"/>
      <c r="HE12" s="3187"/>
      <c r="HF12" s="3187"/>
      <c r="HG12" s="3187"/>
      <c r="HH12" s="3187"/>
      <c r="HI12" s="3187"/>
      <c r="HJ12" s="3187"/>
      <c r="HK12" s="3187"/>
      <c r="HL12" s="3187"/>
      <c r="HM12" s="3187"/>
      <c r="HN12" s="3187"/>
      <c r="HO12" s="3187"/>
      <c r="HP12" s="3187"/>
      <c r="HQ12" s="3187"/>
      <c r="HR12" s="3187"/>
      <c r="HS12" s="3187"/>
      <c r="HT12" s="3187"/>
      <c r="HU12" s="3187"/>
      <c r="HV12" s="3187"/>
      <c r="HW12" s="3187"/>
      <c r="HX12" s="3187"/>
      <c r="HY12" s="3187"/>
      <c r="HZ12" s="3187"/>
      <c r="IA12" s="3187"/>
      <c r="IB12" s="3187"/>
      <c r="IC12" s="3187"/>
      <c r="ID12" s="3187"/>
      <c r="IE12" s="3187"/>
      <c r="IF12" s="3187"/>
      <c r="IG12" s="3187"/>
      <c r="IH12" s="3187"/>
      <c r="II12" s="3187"/>
      <c r="IJ12" s="3187"/>
      <c r="IK12" s="3187"/>
      <c r="IL12" s="3187"/>
      <c r="IM12" s="3187"/>
      <c r="IN12" s="3187"/>
      <c r="IO12" s="3187"/>
      <c r="IP12" s="3187"/>
      <c r="IQ12" s="3187"/>
      <c r="IR12" s="3187"/>
      <c r="IS12" s="3187"/>
      <c r="IT12" s="3187"/>
      <c r="IU12" s="3187"/>
      <c r="IV12" s="3187"/>
    </row>
    <row r="13" spans="1:257" ht="14.25">
      <c r="A13" s="3188"/>
      <c r="B13" s="3189" t="s">
        <v>2941</v>
      </c>
      <c r="C13" s="3190">
        <v>42301</v>
      </c>
      <c r="D13" s="3191">
        <v>4.3499999999999996</v>
      </c>
      <c r="E13" s="3191">
        <v>4.3499999999999996</v>
      </c>
      <c r="F13" s="3191">
        <v>4.75</v>
      </c>
      <c r="G13" s="3191">
        <v>4.75</v>
      </c>
      <c r="H13" s="3191">
        <v>4.9000000000000004</v>
      </c>
      <c r="I13" s="3191">
        <v>2.75</v>
      </c>
      <c r="J13" s="3191">
        <v>3.25</v>
      </c>
      <c r="K13" s="3188"/>
      <c r="L13" s="3189" t="s">
        <v>2941</v>
      </c>
      <c r="M13" s="3192">
        <v>42301</v>
      </c>
      <c r="N13" s="3191">
        <v>0.35</v>
      </c>
      <c r="O13" s="3191">
        <v>1.1000000000000001</v>
      </c>
      <c r="P13" s="3191">
        <v>1.3</v>
      </c>
      <c r="Q13" s="3191">
        <v>1.5</v>
      </c>
      <c r="R13" s="3191">
        <v>2.1</v>
      </c>
      <c r="S13" s="3191">
        <v>2.75</v>
      </c>
      <c r="T13" s="3191"/>
      <c r="U13" s="3191"/>
      <c r="V13" s="3191"/>
      <c r="W13" s="3191"/>
      <c r="X13" s="3191"/>
      <c r="Y13" s="3191"/>
      <c r="Z13" s="3191"/>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3"/>
      <c r="DP13" s="3193"/>
      <c r="DQ13" s="3193"/>
      <c r="DR13" s="3193"/>
      <c r="DS13" s="3193"/>
      <c r="DT13" s="3193"/>
      <c r="DU13" s="3193"/>
      <c r="DV13" s="3193"/>
      <c r="DW13" s="3193"/>
      <c r="DX13" s="3193"/>
      <c r="DY13" s="3193"/>
      <c r="DZ13" s="3193"/>
      <c r="EA13" s="3193"/>
      <c r="EB13" s="3193"/>
      <c r="EC13" s="3193"/>
      <c r="ED13" s="3193"/>
      <c r="EE13" s="3193"/>
      <c r="EF13" s="3193"/>
      <c r="EG13" s="3193"/>
      <c r="EH13" s="3193"/>
      <c r="EI13" s="3193"/>
      <c r="EJ13" s="3193"/>
      <c r="EK13" s="3193"/>
      <c r="EL13" s="3193"/>
      <c r="EM13" s="3193"/>
      <c r="EN13" s="3193"/>
      <c r="EO13" s="3193"/>
      <c r="EP13" s="3193"/>
      <c r="EQ13" s="3193"/>
      <c r="ER13" s="3193"/>
      <c r="ES13" s="3193"/>
      <c r="ET13" s="3193"/>
      <c r="EU13" s="3193"/>
      <c r="EV13" s="3193"/>
      <c r="EW13" s="3193"/>
      <c r="EX13" s="3193"/>
      <c r="EY13" s="3193"/>
      <c r="EZ13" s="3193"/>
      <c r="FA13" s="3193"/>
      <c r="FB13" s="3193"/>
      <c r="FC13" s="3193"/>
      <c r="FD13" s="3193"/>
      <c r="FE13" s="3193"/>
      <c r="FF13" s="3193"/>
      <c r="FG13" s="3193"/>
      <c r="FH13" s="3193"/>
      <c r="FI13" s="3193"/>
      <c r="FJ13" s="3193"/>
      <c r="FK13" s="3193"/>
      <c r="FL13" s="3193"/>
      <c r="FM13" s="3193"/>
      <c r="FN13" s="3193"/>
      <c r="FO13" s="3193"/>
      <c r="FP13" s="3193"/>
      <c r="FQ13" s="3193"/>
      <c r="FR13" s="3193"/>
      <c r="FS13" s="3193"/>
      <c r="FT13" s="3193"/>
      <c r="FU13" s="3193"/>
      <c r="FV13" s="3193"/>
      <c r="FW13" s="3193"/>
      <c r="FX13" s="3193"/>
      <c r="FY13" s="3193"/>
      <c r="FZ13" s="3193"/>
      <c r="GA13" s="3193"/>
      <c r="GB13" s="3193"/>
      <c r="GC13" s="3193"/>
      <c r="GD13" s="3193"/>
      <c r="GE13" s="3193"/>
      <c r="GF13" s="3193"/>
      <c r="GG13" s="3193"/>
      <c r="GH13" s="3193"/>
      <c r="GI13" s="3193"/>
      <c r="GJ13" s="3193"/>
      <c r="GK13" s="3193"/>
      <c r="GL13" s="3193"/>
      <c r="GM13" s="3193"/>
      <c r="GN13" s="3193"/>
      <c r="GO13" s="3193"/>
      <c r="GP13" s="3193"/>
      <c r="GQ13" s="3193"/>
      <c r="GR13" s="3193"/>
      <c r="GS13" s="3193"/>
      <c r="GT13" s="3193"/>
      <c r="GU13" s="3193"/>
      <c r="GV13" s="3193"/>
      <c r="GW13" s="3193"/>
      <c r="GX13" s="3193"/>
      <c r="GY13" s="3193"/>
      <c r="GZ13" s="3193"/>
      <c r="HA13" s="3193"/>
      <c r="HB13" s="3193"/>
      <c r="HC13" s="3193"/>
      <c r="HD13" s="3193"/>
      <c r="HE13" s="3193"/>
      <c r="HF13" s="3193"/>
      <c r="HG13" s="3193"/>
      <c r="HH13" s="3193"/>
      <c r="HI13" s="3193"/>
      <c r="HJ13" s="3193"/>
      <c r="HK13" s="3193"/>
      <c r="HL13" s="3193"/>
      <c r="HM13" s="3193"/>
      <c r="HN13" s="3193"/>
      <c r="HO13" s="3193"/>
      <c r="HP13" s="3193"/>
      <c r="HQ13" s="3193"/>
      <c r="HR13" s="3193"/>
      <c r="HS13" s="3193"/>
      <c r="HT13" s="3193"/>
      <c r="HU13" s="3193"/>
      <c r="HV13" s="3193"/>
      <c r="HW13" s="3193"/>
      <c r="HX13" s="3193"/>
      <c r="HY13" s="3193"/>
      <c r="HZ13" s="3193"/>
      <c r="IA13" s="3193"/>
      <c r="IB13" s="3193"/>
      <c r="IC13" s="3193"/>
      <c r="ID13" s="3193"/>
      <c r="IE13" s="3193"/>
      <c r="IF13" s="3193"/>
      <c r="IG13" s="3193"/>
      <c r="IH13" s="3193"/>
      <c r="II13" s="3193"/>
      <c r="IJ13" s="3193"/>
      <c r="IK13" s="3193"/>
      <c r="IL13" s="3193"/>
      <c r="IM13" s="3193"/>
      <c r="IN13" s="3193"/>
      <c r="IO13" s="3193"/>
      <c r="IP13" s="3193"/>
      <c r="IQ13" s="3193"/>
      <c r="IR13" s="3193"/>
      <c r="IS13" s="3193"/>
      <c r="IT13" s="3193"/>
      <c r="IU13" s="3193"/>
      <c r="IV13" s="3193"/>
      <c r="IW13" s="3194"/>
    </row>
    <row r="14" spans="1:257">
      <c r="B14" s="3195"/>
      <c r="C14" s="3196">
        <v>42242</v>
      </c>
      <c r="D14" s="3195">
        <v>4.5999999999999996</v>
      </c>
      <c r="E14" s="3195">
        <v>4.5999999999999996</v>
      </c>
      <c r="F14" s="3195">
        <v>5</v>
      </c>
      <c r="G14" s="3195">
        <v>5</v>
      </c>
      <c r="H14" s="3195">
        <v>5.15</v>
      </c>
      <c r="I14" s="3195">
        <v>2.75</v>
      </c>
      <c r="J14" s="3195">
        <v>3.25</v>
      </c>
      <c r="L14" s="3195"/>
      <c r="M14" s="3196">
        <v>42242</v>
      </c>
      <c r="N14" s="3195">
        <v>0.35</v>
      </c>
      <c r="O14" s="3195">
        <v>1.35</v>
      </c>
      <c r="P14" s="3195">
        <v>1.55</v>
      </c>
      <c r="Q14" s="3195">
        <v>1.75</v>
      </c>
      <c r="R14" s="3195">
        <v>2.35</v>
      </c>
      <c r="S14" s="3195">
        <v>3</v>
      </c>
      <c r="T14" s="3195"/>
      <c r="U14" s="3195"/>
      <c r="V14" s="3195"/>
      <c r="W14" s="3195"/>
      <c r="X14" s="3195"/>
      <c r="Y14" s="3195"/>
      <c r="Z14" s="3195"/>
    </row>
    <row r="15" spans="1:257">
      <c r="B15" s="3195"/>
      <c r="C15" s="3196">
        <v>42183</v>
      </c>
      <c r="D15" s="3195">
        <v>4.8499999999999996</v>
      </c>
      <c r="E15" s="3195">
        <v>4.8499999999999996</v>
      </c>
      <c r="F15" s="3195">
        <v>5.25</v>
      </c>
      <c r="G15" s="3195">
        <v>5.25</v>
      </c>
      <c r="H15" s="3195">
        <v>5.4</v>
      </c>
      <c r="I15" s="3195">
        <v>3</v>
      </c>
      <c r="J15" s="3195">
        <v>3.5</v>
      </c>
      <c r="L15" s="3195"/>
      <c r="M15" s="3196">
        <v>42183</v>
      </c>
      <c r="N15" s="3195">
        <v>0.35</v>
      </c>
      <c r="O15" s="3195">
        <v>1.6</v>
      </c>
      <c r="P15" s="3195">
        <v>1.8</v>
      </c>
      <c r="Q15" s="3195">
        <v>2</v>
      </c>
      <c r="R15" s="3195">
        <v>2.6</v>
      </c>
      <c r="S15" s="3195">
        <v>3.25</v>
      </c>
      <c r="T15" s="3195"/>
      <c r="U15" s="3195"/>
      <c r="V15" s="3195"/>
      <c r="W15" s="3195"/>
      <c r="X15" s="3195"/>
      <c r="Y15" s="3195"/>
      <c r="Z15" s="3195"/>
    </row>
    <row r="16" spans="1:257">
      <c r="B16" s="3195"/>
      <c r="C16" s="3196">
        <v>42135</v>
      </c>
      <c r="D16" s="3195">
        <v>5.0999999999999996</v>
      </c>
      <c r="E16" s="3195">
        <v>5.0999999999999996</v>
      </c>
      <c r="F16" s="3195">
        <v>5.5</v>
      </c>
      <c r="G16" s="3195">
        <v>5.5</v>
      </c>
      <c r="H16" s="3195">
        <v>5.65</v>
      </c>
      <c r="I16" s="3195">
        <v>3.25</v>
      </c>
      <c r="J16" s="3195">
        <v>3.75</v>
      </c>
      <c r="L16" s="3195"/>
      <c r="M16" s="3196">
        <v>42135</v>
      </c>
      <c r="N16" s="3195">
        <v>0.35</v>
      </c>
      <c r="O16" s="3195">
        <v>1.85</v>
      </c>
      <c r="P16" s="3195">
        <v>2.0499999999999998</v>
      </c>
      <c r="Q16" s="3195">
        <v>2.25</v>
      </c>
      <c r="R16" s="3195">
        <v>2.85</v>
      </c>
      <c r="S16" s="3195">
        <v>3.5</v>
      </c>
      <c r="T16" s="3195"/>
      <c r="U16" s="3195"/>
      <c r="V16" s="3195"/>
      <c r="W16" s="3195"/>
      <c r="X16" s="3195"/>
      <c r="Y16" s="3195"/>
      <c r="Z16" s="3195"/>
    </row>
    <row r="17" spans="2:26">
      <c r="B17" s="3195"/>
      <c r="C17" s="3196">
        <v>42064</v>
      </c>
      <c r="D17" s="3195">
        <v>5.35</v>
      </c>
      <c r="E17" s="3195">
        <v>5.35</v>
      </c>
      <c r="F17" s="3195">
        <v>5.75</v>
      </c>
      <c r="G17" s="3195">
        <v>5.75</v>
      </c>
      <c r="H17" s="3195">
        <v>5.9</v>
      </c>
      <c r="I17" s="3195"/>
      <c r="J17" s="3195"/>
      <c r="L17" s="3195"/>
      <c r="M17" s="3196">
        <v>42064</v>
      </c>
      <c r="N17" s="3195">
        <v>0.35</v>
      </c>
      <c r="O17" s="3195">
        <v>2.1</v>
      </c>
      <c r="P17" s="3195">
        <v>2.2999999999999998</v>
      </c>
      <c r="Q17" s="3195">
        <v>2.5</v>
      </c>
      <c r="R17" s="3195">
        <v>3.1</v>
      </c>
      <c r="S17" s="3195">
        <v>3.75</v>
      </c>
      <c r="T17" s="3195">
        <v>4.5</v>
      </c>
      <c r="U17" s="3195">
        <v>2.35</v>
      </c>
      <c r="V17" s="3195">
        <v>2.5499999999999998</v>
      </c>
      <c r="W17" s="3195">
        <v>2.75</v>
      </c>
      <c r="X17" s="3195"/>
      <c r="Y17" s="3195">
        <v>0.8</v>
      </c>
      <c r="Z17" s="3195">
        <v>1.35</v>
      </c>
    </row>
    <row r="18" spans="2:26" ht="15">
      <c r="B18" s="3195"/>
      <c r="C18" s="3196">
        <v>41965</v>
      </c>
      <c r="D18" s="3195">
        <v>5.6</v>
      </c>
      <c r="E18" s="3195">
        <v>5.6</v>
      </c>
      <c r="F18" s="3195">
        <v>6</v>
      </c>
      <c r="G18" s="3195">
        <v>6</v>
      </c>
      <c r="H18" s="3195">
        <v>6.15</v>
      </c>
      <c r="I18" s="3195"/>
      <c r="J18" s="3195"/>
      <c r="L18" s="3195"/>
      <c r="M18" s="3196">
        <v>41965</v>
      </c>
      <c r="N18" s="3195">
        <v>0.35</v>
      </c>
      <c r="O18" s="3195">
        <v>2.35</v>
      </c>
      <c r="P18" s="3195">
        <v>2.5499999999999998</v>
      </c>
      <c r="Q18" s="3195">
        <v>2.75</v>
      </c>
      <c r="R18" s="3195">
        <v>3.35</v>
      </c>
      <c r="S18" s="3195">
        <v>4</v>
      </c>
      <c r="T18" s="3195">
        <v>4.75</v>
      </c>
      <c r="U18" s="3197">
        <v>2.35</v>
      </c>
      <c r="V18" s="3197">
        <v>2.5499999999999998</v>
      </c>
      <c r="W18" s="3197">
        <v>2.75</v>
      </c>
      <c r="X18" s="3195"/>
      <c r="Y18" s="3197">
        <v>0.8</v>
      </c>
      <c r="Z18" s="3197">
        <v>1.35</v>
      </c>
    </row>
    <row r="19" spans="2:26">
      <c r="B19" s="3195"/>
      <c r="C19" s="3196">
        <v>41096</v>
      </c>
      <c r="D19" s="3195">
        <v>5.6</v>
      </c>
      <c r="E19" s="3195">
        <v>6</v>
      </c>
      <c r="F19" s="3195">
        <v>6.15</v>
      </c>
      <c r="G19" s="3195">
        <v>6.4</v>
      </c>
      <c r="H19" s="3195">
        <v>6.55</v>
      </c>
      <c r="I19" s="3195">
        <v>4</v>
      </c>
      <c r="J19" s="3195">
        <v>4.5</v>
      </c>
      <c r="L19" s="3195"/>
      <c r="M19" s="3196">
        <v>41096</v>
      </c>
      <c r="N19" s="3195">
        <v>0.35</v>
      </c>
      <c r="O19" s="3195">
        <v>2.6</v>
      </c>
      <c r="P19" s="3195">
        <v>2.8</v>
      </c>
      <c r="Q19" s="3195">
        <v>3</v>
      </c>
      <c r="R19" s="3195">
        <v>3.75</v>
      </c>
      <c r="S19" s="3195">
        <v>4.25</v>
      </c>
      <c r="T19" s="3195">
        <v>4.75</v>
      </c>
      <c r="U19" s="3195">
        <v>2.85</v>
      </c>
      <c r="V19" s="3195">
        <v>2.9</v>
      </c>
      <c r="W19" s="3195">
        <v>3</v>
      </c>
      <c r="X19" s="3195">
        <v>1.1499999999999999</v>
      </c>
      <c r="Y19" s="3195">
        <v>0.8</v>
      </c>
      <c r="Z19" s="3195">
        <v>1.35</v>
      </c>
    </row>
    <row r="20" spans="2:26">
      <c r="B20" s="3195"/>
      <c r="C20" s="3196">
        <v>41068</v>
      </c>
      <c r="D20" s="3195">
        <v>5.85</v>
      </c>
      <c r="E20" s="3195">
        <v>6.31</v>
      </c>
      <c r="F20" s="3195">
        <v>6.4</v>
      </c>
      <c r="G20" s="3195">
        <v>6.65</v>
      </c>
      <c r="H20" s="3195">
        <v>6.8</v>
      </c>
      <c r="I20" s="3195">
        <v>4.2</v>
      </c>
      <c r="J20" s="3195">
        <v>4.7</v>
      </c>
      <c r="L20" s="3195"/>
      <c r="M20" s="3196">
        <v>41068</v>
      </c>
      <c r="N20" s="3195">
        <v>0.4</v>
      </c>
      <c r="O20" s="3195">
        <v>2.85</v>
      </c>
      <c r="P20" s="3195">
        <v>3.05</v>
      </c>
      <c r="Q20" s="3195">
        <v>3.25</v>
      </c>
      <c r="R20" s="3195">
        <v>4.0999999999999996</v>
      </c>
      <c r="S20" s="3195">
        <v>4.6500000000000004</v>
      </c>
      <c r="T20" s="3195">
        <v>5.0999999999999996</v>
      </c>
      <c r="U20" s="3195">
        <v>3.1</v>
      </c>
      <c r="V20" s="3195">
        <v>3.15</v>
      </c>
      <c r="W20" s="3195">
        <v>3.25</v>
      </c>
      <c r="X20" s="3195">
        <v>1.31</v>
      </c>
      <c r="Y20" s="3195">
        <v>0.94</v>
      </c>
      <c r="Z20" s="3195">
        <v>1.49</v>
      </c>
    </row>
    <row r="21" spans="2:26">
      <c r="B21" s="3195"/>
      <c r="C21" s="3196">
        <v>40731</v>
      </c>
      <c r="D21" s="3195">
        <v>6.1</v>
      </c>
      <c r="E21" s="3195">
        <v>6.56</v>
      </c>
      <c r="F21" s="3195">
        <v>6.65</v>
      </c>
      <c r="G21" s="3195">
        <v>6.9</v>
      </c>
      <c r="H21" s="3195">
        <v>7.05</v>
      </c>
      <c r="I21" s="3195">
        <v>4.45</v>
      </c>
      <c r="J21" s="3195">
        <v>4.9000000000000004</v>
      </c>
      <c r="L21" s="3195"/>
      <c r="M21" s="3196">
        <v>40731</v>
      </c>
      <c r="N21" s="3195">
        <v>0.5</v>
      </c>
      <c r="O21" s="3195">
        <v>3.1</v>
      </c>
      <c r="P21" s="3195">
        <v>3.3</v>
      </c>
      <c r="Q21" s="3195">
        <v>3.5</v>
      </c>
      <c r="R21" s="3195">
        <v>4.4000000000000004</v>
      </c>
      <c r="S21" s="3195">
        <v>5</v>
      </c>
      <c r="T21" s="3195">
        <v>5.5</v>
      </c>
      <c r="U21" s="3195">
        <v>3.1</v>
      </c>
      <c r="V21" s="3195">
        <v>3.3</v>
      </c>
      <c r="W21" s="3195">
        <v>3.5</v>
      </c>
      <c r="X21" s="3195">
        <v>1.31</v>
      </c>
      <c r="Y21" s="3195">
        <v>0.95</v>
      </c>
      <c r="Z21" s="3195">
        <v>1.49</v>
      </c>
    </row>
    <row r="22" spans="2:26">
      <c r="B22" s="3195"/>
      <c r="C22" s="3196">
        <v>40639</v>
      </c>
      <c r="D22" s="3195">
        <v>5.85</v>
      </c>
      <c r="E22" s="3195">
        <v>6.31</v>
      </c>
      <c r="F22" s="3195">
        <v>6.4</v>
      </c>
      <c r="G22" s="3195">
        <v>6.65</v>
      </c>
      <c r="H22" s="3195">
        <v>6.8</v>
      </c>
      <c r="I22" s="3195">
        <v>4.2</v>
      </c>
      <c r="J22" s="3195">
        <v>4.7</v>
      </c>
      <c r="L22" s="3195"/>
      <c r="M22" s="3196">
        <v>40639</v>
      </c>
      <c r="N22" s="3195">
        <v>0.5</v>
      </c>
      <c r="O22" s="3195">
        <v>2.85</v>
      </c>
      <c r="P22" s="3195">
        <v>3.05</v>
      </c>
      <c r="Q22" s="3195">
        <v>3.25</v>
      </c>
      <c r="R22" s="3195">
        <v>4.1500000000000004</v>
      </c>
      <c r="S22" s="3195">
        <v>4.75</v>
      </c>
      <c r="T22" s="3195">
        <v>5.25</v>
      </c>
      <c r="U22" s="3195">
        <v>2.85</v>
      </c>
      <c r="V22" s="3195">
        <v>3.05</v>
      </c>
      <c r="W22" s="3195">
        <v>3.25</v>
      </c>
      <c r="X22" s="3195">
        <v>1.31</v>
      </c>
      <c r="Y22" s="3195">
        <v>0.95</v>
      </c>
      <c r="Z22" s="3195">
        <v>1.49</v>
      </c>
    </row>
    <row r="23" spans="2:26">
      <c r="B23" s="3195"/>
      <c r="C23" s="3196">
        <v>40583</v>
      </c>
      <c r="D23" s="3195">
        <v>5.6</v>
      </c>
      <c r="E23" s="3195">
        <v>6.06</v>
      </c>
      <c r="F23" s="3195">
        <v>6.1</v>
      </c>
      <c r="G23" s="3195">
        <v>6.45</v>
      </c>
      <c r="H23" s="3195">
        <v>6.6</v>
      </c>
      <c r="I23" s="3195">
        <v>4</v>
      </c>
      <c r="J23" s="3195">
        <v>4.5</v>
      </c>
      <c r="L23" s="3195"/>
      <c r="M23" s="3196">
        <v>40583</v>
      </c>
      <c r="N23" s="3195">
        <v>0.4</v>
      </c>
      <c r="O23" s="3195">
        <v>2.6</v>
      </c>
      <c r="P23" s="3195">
        <v>2.8</v>
      </c>
      <c r="Q23" s="3195">
        <v>3</v>
      </c>
      <c r="R23" s="3195">
        <v>3.9</v>
      </c>
      <c r="S23" s="3195">
        <v>4.5</v>
      </c>
      <c r="T23" s="3195">
        <v>5</v>
      </c>
      <c r="U23" s="3195">
        <v>2.6</v>
      </c>
      <c r="V23" s="3195">
        <v>2.8</v>
      </c>
      <c r="W23" s="3195">
        <v>3</v>
      </c>
      <c r="X23" s="3195">
        <v>1.21</v>
      </c>
      <c r="Y23" s="3195">
        <v>0.85</v>
      </c>
      <c r="Z23" s="3195">
        <v>1.39</v>
      </c>
    </row>
    <row r="24" spans="2:26">
      <c r="B24" s="3195"/>
      <c r="C24" s="3196">
        <v>40538</v>
      </c>
      <c r="D24" s="3195">
        <v>5.35</v>
      </c>
      <c r="E24" s="3195">
        <v>5.81</v>
      </c>
      <c r="F24" s="3195">
        <v>5.85</v>
      </c>
      <c r="G24" s="3195">
        <v>6.22</v>
      </c>
      <c r="H24" s="3195">
        <v>6.4</v>
      </c>
      <c r="I24" s="3195">
        <v>3.75</v>
      </c>
      <c r="J24" s="3195">
        <v>4.3</v>
      </c>
      <c r="L24" s="3195"/>
      <c r="M24" s="3196">
        <v>40538</v>
      </c>
      <c r="N24" s="3195">
        <v>0.36</v>
      </c>
      <c r="O24" s="3195">
        <v>2.25</v>
      </c>
      <c r="P24" s="3195">
        <v>2.5</v>
      </c>
      <c r="Q24" s="3195">
        <v>2.75</v>
      </c>
      <c r="R24" s="3195">
        <v>3.55</v>
      </c>
      <c r="S24" s="3195">
        <v>4.1500000000000004</v>
      </c>
      <c r="T24" s="3195">
        <v>4.55</v>
      </c>
      <c r="U24" s="3195">
        <v>2.16</v>
      </c>
      <c r="V24" s="3195">
        <v>2.5</v>
      </c>
      <c r="W24" s="3195">
        <v>2.85</v>
      </c>
      <c r="X24" s="3195">
        <v>1.17</v>
      </c>
      <c r="Y24" s="3195">
        <v>0.81</v>
      </c>
      <c r="Z24" s="3195">
        <v>1.35</v>
      </c>
    </row>
    <row r="25" spans="2:26">
      <c r="B25" s="3195"/>
      <c r="C25" s="3196">
        <v>40471</v>
      </c>
      <c r="D25" s="3195">
        <v>5.0999999999999996</v>
      </c>
      <c r="E25" s="3195">
        <v>5.56</v>
      </c>
      <c r="F25" s="3195">
        <v>5.6</v>
      </c>
      <c r="G25" s="3195">
        <v>5.96</v>
      </c>
      <c r="H25" s="3195">
        <v>6.14</v>
      </c>
      <c r="I25" s="3195">
        <v>3.5</v>
      </c>
      <c r="J25" s="3195">
        <v>4.05</v>
      </c>
      <c r="L25" s="3195"/>
      <c r="M25" s="3196">
        <v>40471</v>
      </c>
      <c r="N25" s="3195">
        <v>0.36</v>
      </c>
      <c r="O25" s="3195">
        <v>1.91</v>
      </c>
      <c r="P25" s="3195">
        <v>2.2000000000000002</v>
      </c>
      <c r="Q25" s="3195">
        <v>2.5</v>
      </c>
      <c r="R25" s="3195">
        <v>3.25</v>
      </c>
      <c r="S25" s="3195">
        <v>3.85</v>
      </c>
      <c r="T25" s="3195">
        <v>4.2</v>
      </c>
      <c r="U25" s="3195">
        <v>1.91</v>
      </c>
      <c r="V25" s="3195">
        <v>2.2000000000000002</v>
      </c>
      <c r="W25" s="3195">
        <v>2.5</v>
      </c>
      <c r="X25" s="3195">
        <v>1.17</v>
      </c>
      <c r="Y25" s="3195">
        <v>0.81</v>
      </c>
      <c r="Z25" s="3195">
        <v>1.35</v>
      </c>
    </row>
    <row r="26" spans="2:26">
      <c r="B26" s="3195"/>
      <c r="C26" s="3196">
        <v>39805</v>
      </c>
      <c r="D26" s="3195">
        <v>4.8600000000000003</v>
      </c>
      <c r="E26" s="3195">
        <v>5.31</v>
      </c>
      <c r="F26" s="3195">
        <v>5.4</v>
      </c>
      <c r="G26" s="3195">
        <v>5.76</v>
      </c>
      <c r="H26" s="3195">
        <v>5.94</v>
      </c>
      <c r="I26" s="3195">
        <v>3.33</v>
      </c>
      <c r="J26" s="3195">
        <v>3.87</v>
      </c>
      <c r="L26" s="3195"/>
      <c r="M26" s="3196">
        <v>39805</v>
      </c>
      <c r="N26" s="3195">
        <v>0.36</v>
      </c>
      <c r="O26" s="3195">
        <v>1.71</v>
      </c>
      <c r="P26" s="3195">
        <v>1.98</v>
      </c>
      <c r="Q26" s="3195">
        <v>2.25</v>
      </c>
      <c r="R26" s="3195">
        <v>2.79</v>
      </c>
      <c r="S26" s="3195">
        <v>3.33</v>
      </c>
      <c r="T26" s="3195">
        <v>3.6</v>
      </c>
      <c r="U26" s="3195">
        <v>1.71</v>
      </c>
      <c r="V26" s="3195">
        <v>1.98</v>
      </c>
      <c r="W26" s="3195">
        <v>2.25</v>
      </c>
      <c r="X26" s="3195">
        <v>1.17</v>
      </c>
      <c r="Y26" s="3195">
        <v>0.81</v>
      </c>
      <c r="Z26" s="3195">
        <v>1.35</v>
      </c>
    </row>
    <row r="27" spans="2:26">
      <c r="B27" s="3195"/>
      <c r="C27" s="3196">
        <v>39779</v>
      </c>
      <c r="D27" s="3195">
        <v>5.04</v>
      </c>
      <c r="E27" s="3195">
        <v>5.58</v>
      </c>
      <c r="F27" s="3195">
        <v>5.67</v>
      </c>
      <c r="G27" s="3195">
        <v>5.94</v>
      </c>
      <c r="H27" s="3195">
        <v>6.12</v>
      </c>
      <c r="I27" s="3195">
        <v>3.51</v>
      </c>
      <c r="J27" s="3195">
        <v>4.05</v>
      </c>
      <c r="L27" s="3195"/>
      <c r="M27" s="3196">
        <v>39779</v>
      </c>
      <c r="N27" s="3195">
        <v>0.36</v>
      </c>
      <c r="O27" s="3195">
        <v>1.98</v>
      </c>
      <c r="P27" s="3195">
        <v>2.25</v>
      </c>
      <c r="Q27" s="3195">
        <v>2.52</v>
      </c>
      <c r="R27" s="3195">
        <v>3.06</v>
      </c>
      <c r="S27" s="3195">
        <v>3.6</v>
      </c>
      <c r="T27" s="3195">
        <v>3.87</v>
      </c>
      <c r="U27" s="3195">
        <v>1.98</v>
      </c>
      <c r="V27" s="3195">
        <v>2.25</v>
      </c>
      <c r="W27" s="3195">
        <v>2.52</v>
      </c>
      <c r="X27" s="3195">
        <v>1.17</v>
      </c>
      <c r="Y27" s="3195">
        <v>0.81</v>
      </c>
      <c r="Z27" s="3195">
        <v>1.35</v>
      </c>
    </row>
    <row r="28" spans="2:26">
      <c r="B28" s="3195"/>
      <c r="C28" s="3196">
        <v>39751</v>
      </c>
      <c r="D28" s="3195">
        <v>6.03</v>
      </c>
      <c r="E28" s="3195">
        <v>6.66</v>
      </c>
      <c r="F28" s="3195">
        <v>6.75</v>
      </c>
      <c r="G28" s="3195">
        <v>7.02</v>
      </c>
      <c r="H28" s="3195">
        <v>7.2</v>
      </c>
      <c r="I28" s="3195">
        <v>4.05</v>
      </c>
      <c r="J28" s="3195">
        <v>4.59</v>
      </c>
      <c r="L28" s="3195"/>
      <c r="M28" s="3196">
        <v>39751</v>
      </c>
      <c r="N28" s="3195">
        <v>0.72</v>
      </c>
      <c r="O28" s="3195">
        <v>2.88</v>
      </c>
      <c r="P28" s="3195">
        <v>3.24</v>
      </c>
      <c r="Q28" s="3195">
        <v>3.6</v>
      </c>
      <c r="R28" s="3195">
        <v>4.1399999999999997</v>
      </c>
      <c r="S28" s="3195">
        <v>4.7699999999999996</v>
      </c>
      <c r="T28" s="3195">
        <v>5.13</v>
      </c>
      <c r="U28" s="3195">
        <v>2.88</v>
      </c>
      <c r="V28" s="3195">
        <v>3.24</v>
      </c>
      <c r="W28" s="3195">
        <v>3.6</v>
      </c>
      <c r="X28" s="3195">
        <v>1.53</v>
      </c>
      <c r="Y28" s="3195">
        <v>1.17</v>
      </c>
      <c r="Z28" s="3195">
        <v>1.71</v>
      </c>
    </row>
    <row r="29" spans="2:26">
      <c r="B29" s="3195"/>
      <c r="C29" s="3198">
        <v>39748</v>
      </c>
      <c r="D29" s="3195">
        <v>6.12</v>
      </c>
      <c r="E29" s="3195">
        <v>6.93</v>
      </c>
      <c r="F29" s="3195">
        <v>7.02</v>
      </c>
      <c r="G29" s="3195">
        <v>7.29</v>
      </c>
      <c r="H29" s="3195">
        <v>7.47</v>
      </c>
      <c r="I29" s="3195">
        <v>4.05</v>
      </c>
      <c r="J29" s="3195">
        <v>4.59</v>
      </c>
      <c r="L29" s="3195"/>
      <c r="M29" s="3198">
        <v>39736</v>
      </c>
      <c r="N29" s="3195">
        <v>0.72</v>
      </c>
      <c r="O29" s="3195">
        <v>3.15</v>
      </c>
      <c r="P29" s="3195">
        <v>3.51</v>
      </c>
      <c r="Q29" s="3195">
        <v>3.87</v>
      </c>
      <c r="R29" s="3195">
        <v>4.41</v>
      </c>
      <c r="S29" s="3195">
        <v>5.13</v>
      </c>
      <c r="T29" s="3195">
        <v>5.58</v>
      </c>
      <c r="U29" s="3195">
        <v>3.15</v>
      </c>
      <c r="V29" s="3195">
        <v>3.51</v>
      </c>
      <c r="W29" s="3195">
        <v>3.87</v>
      </c>
      <c r="X29" s="3195">
        <v>1.53</v>
      </c>
      <c r="Y29" s="3195">
        <v>1.17</v>
      </c>
      <c r="Z29" s="3195">
        <v>1.71</v>
      </c>
    </row>
    <row r="30" spans="2:26">
      <c r="B30" s="3195"/>
      <c r="C30" s="3196">
        <v>39730</v>
      </c>
      <c r="D30" s="3195">
        <v>6.12</v>
      </c>
      <c r="E30" s="3195">
        <v>6.93</v>
      </c>
      <c r="F30" s="3195">
        <v>7.02</v>
      </c>
      <c r="G30" s="3195">
        <v>7.29</v>
      </c>
      <c r="H30" s="3195">
        <v>7.47</v>
      </c>
      <c r="I30" s="3195">
        <v>4.32</v>
      </c>
      <c r="J30" s="3195">
        <v>4.8600000000000003</v>
      </c>
      <c r="L30" s="3195"/>
      <c r="M30" s="3196">
        <v>39730</v>
      </c>
      <c r="N30" s="3195">
        <v>0.72</v>
      </c>
      <c r="O30" s="3195">
        <v>3.15</v>
      </c>
      <c r="P30" s="3195">
        <v>3.51</v>
      </c>
      <c r="Q30" s="3195">
        <v>3.87</v>
      </c>
      <c r="R30" s="3195">
        <v>4.41</v>
      </c>
      <c r="S30" s="3195">
        <v>5.13</v>
      </c>
      <c r="T30" s="3195">
        <v>5.58</v>
      </c>
      <c r="U30" s="3195">
        <v>3.15</v>
      </c>
      <c r="V30" s="3195">
        <v>3.51</v>
      </c>
      <c r="W30" s="3195">
        <v>3.87</v>
      </c>
      <c r="X30" s="3195">
        <v>1.53</v>
      </c>
      <c r="Y30" s="3195">
        <v>1.17</v>
      </c>
      <c r="Z30" s="3195">
        <v>1.71</v>
      </c>
    </row>
    <row r="31" spans="2:26">
      <c r="B31" s="3195"/>
      <c r="C31" s="3196">
        <v>39707</v>
      </c>
      <c r="D31" s="3195">
        <v>6.21</v>
      </c>
      <c r="E31" s="3195">
        <v>7.2</v>
      </c>
      <c r="F31" s="3195">
        <v>7.29</v>
      </c>
      <c r="G31" s="3195">
        <v>7.56</v>
      </c>
      <c r="H31" s="3195">
        <v>7.74</v>
      </c>
      <c r="I31" s="3195">
        <v>4.59</v>
      </c>
      <c r="J31" s="3195">
        <v>5.13</v>
      </c>
      <c r="L31" s="3195"/>
      <c r="M31" s="3196">
        <v>39437</v>
      </c>
      <c r="N31" s="3195">
        <v>0.72</v>
      </c>
      <c r="O31" s="3195">
        <v>3.33</v>
      </c>
      <c r="P31" s="3195">
        <v>3.78</v>
      </c>
      <c r="Q31" s="3195">
        <v>4.1399999999999997</v>
      </c>
      <c r="R31" s="3195">
        <v>4.68</v>
      </c>
      <c r="S31" s="3195">
        <v>5.4</v>
      </c>
      <c r="T31" s="3195">
        <v>5.85</v>
      </c>
      <c r="U31" s="3195">
        <v>3.33</v>
      </c>
      <c r="V31" s="3195">
        <v>3.78</v>
      </c>
      <c r="W31" s="3195">
        <v>4.1399999999999997</v>
      </c>
      <c r="X31" s="3195">
        <v>1.53</v>
      </c>
      <c r="Y31" s="3195">
        <v>1.17</v>
      </c>
      <c r="Z31" s="3195">
        <v>1.71</v>
      </c>
    </row>
    <row r="32" spans="2:26">
      <c r="B32" s="3195"/>
      <c r="C32" s="3196">
        <v>39437</v>
      </c>
      <c r="D32" s="3195">
        <v>6.57</v>
      </c>
      <c r="E32" s="3195">
        <v>7.47</v>
      </c>
      <c r="F32" s="3195">
        <v>7.56</v>
      </c>
      <c r="G32" s="3195">
        <v>7.74</v>
      </c>
      <c r="H32" s="3195">
        <v>7.83</v>
      </c>
      <c r="I32" s="3195">
        <v>4.7699999999999996</v>
      </c>
      <c r="J32" s="3195">
        <v>5.22</v>
      </c>
      <c r="L32" s="3195"/>
      <c r="M32" s="3196">
        <v>39340</v>
      </c>
      <c r="N32" s="3195">
        <v>0.81</v>
      </c>
      <c r="O32" s="3195">
        <v>2.88</v>
      </c>
      <c r="P32" s="3195">
        <v>3.42</v>
      </c>
      <c r="Q32" s="3195">
        <v>3.87</v>
      </c>
      <c r="R32" s="3195">
        <v>4.5</v>
      </c>
      <c r="S32" s="3195">
        <v>5.22</v>
      </c>
      <c r="T32" s="3195">
        <v>5.76</v>
      </c>
      <c r="U32" s="3195">
        <v>2.88</v>
      </c>
      <c r="V32" s="3195">
        <v>3.42</v>
      </c>
      <c r="W32" s="3195">
        <v>3.87</v>
      </c>
      <c r="X32" s="3195">
        <v>1.53</v>
      </c>
      <c r="Y32" s="3195">
        <v>1.17</v>
      </c>
      <c r="Z32" s="3195">
        <v>1.71</v>
      </c>
    </row>
    <row r="33" spans="2:26">
      <c r="B33" s="3195"/>
      <c r="C33" s="3196">
        <v>39340</v>
      </c>
      <c r="D33" s="3195">
        <v>6.48</v>
      </c>
      <c r="E33" s="3195">
        <v>7.29</v>
      </c>
      <c r="F33" s="3195">
        <v>7.47</v>
      </c>
      <c r="G33" s="3195">
        <v>7.65</v>
      </c>
      <c r="H33" s="3195">
        <v>7.83</v>
      </c>
      <c r="I33" s="3195">
        <v>4.7699999999999996</v>
      </c>
      <c r="J33" s="3195">
        <v>5.22</v>
      </c>
      <c r="L33" s="3195"/>
      <c r="M33" s="3196">
        <v>39316</v>
      </c>
      <c r="N33" s="3195">
        <v>0.81</v>
      </c>
      <c r="O33" s="3195">
        <v>2.61</v>
      </c>
      <c r="P33" s="3195">
        <v>3.15</v>
      </c>
      <c r="Q33" s="3195">
        <v>3.6</v>
      </c>
      <c r="R33" s="3195">
        <v>4.2300000000000004</v>
      </c>
      <c r="S33" s="3195">
        <v>4.95</v>
      </c>
      <c r="T33" s="3195">
        <v>5.49</v>
      </c>
      <c r="U33" s="3195">
        <v>2.61</v>
      </c>
      <c r="V33" s="3195">
        <v>3.15</v>
      </c>
      <c r="W33" s="3195">
        <v>3.6</v>
      </c>
      <c r="X33" s="3195">
        <v>1.53</v>
      </c>
      <c r="Y33" s="3195">
        <v>1.17</v>
      </c>
      <c r="Z33" s="3195">
        <v>1.71</v>
      </c>
    </row>
    <row r="34" spans="2:26">
      <c r="B34" s="3195"/>
      <c r="C34" s="3196">
        <v>39316</v>
      </c>
      <c r="D34" s="3195">
        <v>6.21</v>
      </c>
      <c r="E34" s="3195">
        <v>7.02</v>
      </c>
      <c r="F34" s="3195">
        <v>7.2</v>
      </c>
      <c r="G34" s="3195">
        <v>7.38</v>
      </c>
      <c r="H34" s="3195">
        <v>7.56</v>
      </c>
      <c r="I34" s="3195">
        <v>4.59</v>
      </c>
      <c r="J34" s="3195">
        <v>5.04</v>
      </c>
      <c r="L34" s="3195"/>
      <c r="M34" s="3196">
        <v>39284</v>
      </c>
      <c r="N34" s="3195">
        <v>0.81</v>
      </c>
      <c r="O34" s="3195">
        <v>2.34</v>
      </c>
      <c r="P34" s="3195">
        <v>2.88</v>
      </c>
      <c r="Q34" s="3195">
        <v>3.33</v>
      </c>
      <c r="R34" s="3195">
        <v>3.96</v>
      </c>
      <c r="S34" s="3195">
        <v>4.68</v>
      </c>
      <c r="T34" s="3195">
        <v>5.22</v>
      </c>
      <c r="U34" s="3195">
        <v>2.34</v>
      </c>
      <c r="V34" s="3195">
        <v>2.88</v>
      </c>
      <c r="W34" s="3195">
        <v>3.33</v>
      </c>
      <c r="X34" s="3195">
        <v>1.53</v>
      </c>
      <c r="Y34" s="3195">
        <v>1.17</v>
      </c>
      <c r="Z34" s="3195">
        <v>1.71</v>
      </c>
    </row>
    <row r="35" spans="2:26">
      <c r="B35" s="3195"/>
      <c r="C35" s="3196">
        <v>39284</v>
      </c>
      <c r="D35" s="3195">
        <v>6.03</v>
      </c>
      <c r="E35" s="3195">
        <v>6.84</v>
      </c>
      <c r="F35" s="3195">
        <v>7.02</v>
      </c>
      <c r="G35" s="3195">
        <v>7.2</v>
      </c>
      <c r="H35" s="3195">
        <v>7.38</v>
      </c>
      <c r="I35" s="3195">
        <v>4.5</v>
      </c>
      <c r="J35" s="3195">
        <v>4.95</v>
      </c>
      <c r="L35" s="3195"/>
      <c r="M35" s="3196">
        <v>39221</v>
      </c>
      <c r="N35" s="3195">
        <v>0.72</v>
      </c>
      <c r="O35" s="3195">
        <v>2.0699999999999998</v>
      </c>
      <c r="P35" s="3195">
        <v>2.61</v>
      </c>
      <c r="Q35" s="3195">
        <v>3.06</v>
      </c>
      <c r="R35" s="3195">
        <v>3.69</v>
      </c>
      <c r="S35" s="3195">
        <v>4.41</v>
      </c>
      <c r="T35" s="3195">
        <v>4.95</v>
      </c>
      <c r="U35" s="3195">
        <v>2.0699999999999998</v>
      </c>
      <c r="V35" s="3195">
        <v>2.61</v>
      </c>
      <c r="W35" s="3195">
        <v>3.06</v>
      </c>
      <c r="X35" s="3195">
        <v>1.44</v>
      </c>
      <c r="Y35" s="3195">
        <v>1.08</v>
      </c>
      <c r="Z35" s="3195">
        <v>1.62</v>
      </c>
    </row>
    <row r="36" spans="2:26">
      <c r="B36" s="3195"/>
      <c r="C36" s="3196">
        <v>39221</v>
      </c>
      <c r="D36" s="3195">
        <v>5.85</v>
      </c>
      <c r="E36" s="3195">
        <v>6.57</v>
      </c>
      <c r="F36" s="3195">
        <v>6.75</v>
      </c>
      <c r="G36" s="3195">
        <v>6.93</v>
      </c>
      <c r="H36" s="3195">
        <v>7.2</v>
      </c>
      <c r="I36" s="3195">
        <v>4.41</v>
      </c>
      <c r="J36" s="3195">
        <v>4.8600000000000003</v>
      </c>
      <c r="L36" s="3195"/>
      <c r="M36" s="3196">
        <v>39159</v>
      </c>
      <c r="N36" s="3195">
        <v>0.72</v>
      </c>
      <c r="O36" s="3195">
        <v>1.98</v>
      </c>
      <c r="P36" s="3195">
        <v>2.4300000000000002</v>
      </c>
      <c r="Q36" s="3195">
        <v>2.79</v>
      </c>
      <c r="R36" s="3195">
        <v>3.33</v>
      </c>
      <c r="S36" s="3195">
        <v>3.96</v>
      </c>
      <c r="T36" s="3195">
        <v>4.41</v>
      </c>
      <c r="U36" s="3195">
        <v>1.98</v>
      </c>
      <c r="V36" s="3195">
        <v>2.4300000000000002</v>
      </c>
      <c r="W36" s="3195">
        <v>2.79</v>
      </c>
      <c r="X36" s="3195">
        <v>1.44</v>
      </c>
      <c r="Y36" s="3195">
        <v>1.08</v>
      </c>
      <c r="Z36" s="3195">
        <v>1.62</v>
      </c>
    </row>
    <row r="37" spans="2:26">
      <c r="B37" s="3195"/>
      <c r="C37" s="3196">
        <v>39159</v>
      </c>
      <c r="D37" s="3195">
        <v>5.67</v>
      </c>
      <c r="E37" s="3195">
        <v>6.39</v>
      </c>
      <c r="F37" s="3195">
        <v>6.57</v>
      </c>
      <c r="G37" s="3195">
        <v>6.75</v>
      </c>
      <c r="H37" s="3195">
        <v>7.11</v>
      </c>
      <c r="I37" s="3195">
        <v>4.32</v>
      </c>
      <c r="J37" s="3195">
        <v>4.7699999999999996</v>
      </c>
      <c r="L37" s="3195"/>
      <c r="M37" s="3196">
        <v>38948</v>
      </c>
      <c r="N37" s="3195">
        <v>0.72</v>
      </c>
      <c r="O37" s="3195">
        <v>1.8</v>
      </c>
      <c r="P37" s="3195">
        <v>2.25</v>
      </c>
      <c r="Q37" s="3195">
        <v>2.52</v>
      </c>
      <c r="R37" s="3195">
        <v>3.06</v>
      </c>
      <c r="S37" s="3195">
        <v>3.69</v>
      </c>
      <c r="T37" s="3195">
        <v>4.1399999999999997</v>
      </c>
      <c r="U37" s="3195">
        <v>1.8</v>
      </c>
      <c r="V37" s="3195">
        <v>2.25</v>
      </c>
      <c r="W37" s="3195">
        <v>2.52</v>
      </c>
      <c r="X37" s="3195">
        <v>1.44</v>
      </c>
      <c r="Y37" s="3195">
        <v>1.08</v>
      </c>
      <c r="Z37" s="3195">
        <v>1.62</v>
      </c>
    </row>
    <row r="38" spans="2:26">
      <c r="B38" s="3195"/>
      <c r="C38" s="3196">
        <v>38948</v>
      </c>
      <c r="D38" s="3195">
        <v>5.58</v>
      </c>
      <c r="E38" s="3195">
        <v>6.12</v>
      </c>
      <c r="F38" s="3195">
        <v>6.3</v>
      </c>
      <c r="G38" s="3195">
        <v>6.48</v>
      </c>
      <c r="H38" s="3195">
        <v>6.84</v>
      </c>
      <c r="I38" s="3195">
        <v>4.1399999999999997</v>
      </c>
      <c r="J38" s="3195">
        <v>4.59</v>
      </c>
      <c r="L38" s="3195"/>
      <c r="M38" s="3196">
        <v>38289</v>
      </c>
      <c r="N38" s="3195">
        <v>0.72</v>
      </c>
      <c r="O38" s="3195">
        <v>1.71</v>
      </c>
      <c r="P38" s="3195">
        <v>2.0699999999999998</v>
      </c>
      <c r="Q38" s="3195">
        <v>2.25</v>
      </c>
      <c r="R38" s="3195">
        <v>2.7</v>
      </c>
      <c r="S38" s="3195">
        <v>3.24</v>
      </c>
      <c r="T38" s="3195">
        <v>3.6</v>
      </c>
      <c r="U38" s="3195">
        <v>1.71</v>
      </c>
      <c r="V38" s="3195">
        <v>2.0699999999999998</v>
      </c>
      <c r="W38" s="3195">
        <v>2.25</v>
      </c>
      <c r="X38" s="3195">
        <v>1.44</v>
      </c>
      <c r="Y38" s="3195">
        <v>1.08</v>
      </c>
      <c r="Z38" s="3195">
        <v>1.62</v>
      </c>
    </row>
    <row r="39" spans="2:26">
      <c r="B39" s="3195"/>
      <c r="C39" s="3196">
        <v>38835</v>
      </c>
      <c r="D39" s="3195">
        <v>5.4</v>
      </c>
      <c r="E39" s="3195">
        <v>5.85</v>
      </c>
      <c r="F39" s="3195">
        <v>6.03</v>
      </c>
      <c r="G39" s="3195">
        <v>6.12</v>
      </c>
      <c r="H39" s="3195">
        <v>6.39</v>
      </c>
      <c r="I39" s="3195">
        <v>4.1399999999999997</v>
      </c>
      <c r="J39" s="3195">
        <v>4.59</v>
      </c>
      <c r="L39" s="3195"/>
      <c r="M39" s="3196">
        <v>37308</v>
      </c>
      <c r="N39" s="3195">
        <v>0.72</v>
      </c>
      <c r="O39" s="3195">
        <v>1.71</v>
      </c>
      <c r="P39" s="3195">
        <v>1.89</v>
      </c>
      <c r="Q39" s="3195">
        <v>1.98</v>
      </c>
      <c r="R39" s="3195">
        <v>2.25</v>
      </c>
      <c r="S39" s="3195">
        <v>2.52</v>
      </c>
      <c r="T39" s="3195">
        <v>2.79</v>
      </c>
      <c r="U39" s="3195">
        <v>1.71</v>
      </c>
      <c r="V39" s="3195">
        <v>1.89</v>
      </c>
      <c r="W39" s="3195">
        <v>1.98</v>
      </c>
      <c r="X39" s="3195">
        <v>1.44</v>
      </c>
      <c r="Y39" s="3195">
        <v>1.08</v>
      </c>
      <c r="Z39" s="3195">
        <v>1.62</v>
      </c>
    </row>
    <row r="40" spans="2:26">
      <c r="B40" s="3195"/>
      <c r="C40" s="3196">
        <v>38428</v>
      </c>
      <c r="D40" s="3195">
        <v>5.22</v>
      </c>
      <c r="E40" s="3195">
        <v>5.58</v>
      </c>
      <c r="F40" s="3195">
        <v>5.76</v>
      </c>
      <c r="G40" s="3195">
        <v>5.85</v>
      </c>
      <c r="H40" s="3195">
        <v>6.12</v>
      </c>
      <c r="I40" s="3195">
        <v>3.96</v>
      </c>
      <c r="J40" s="3195">
        <v>4.41</v>
      </c>
      <c r="L40" s="3195"/>
      <c r="M40" s="3196">
        <v>36321</v>
      </c>
      <c r="N40" s="3195">
        <v>0.99</v>
      </c>
      <c r="O40" s="3195">
        <v>1.98</v>
      </c>
      <c r="P40" s="3195">
        <v>2.16</v>
      </c>
      <c r="Q40" s="3195">
        <v>2.25</v>
      </c>
      <c r="R40" s="3195">
        <v>2.4300000000000002</v>
      </c>
      <c r="S40" s="3195">
        <v>2.7</v>
      </c>
      <c r="T40" s="3195">
        <v>2.88</v>
      </c>
      <c r="U40" s="3195">
        <v>1.98</v>
      </c>
      <c r="V40" s="3195">
        <v>2.16</v>
      </c>
      <c r="W40" s="3195">
        <v>2.25</v>
      </c>
      <c r="X40" s="3195">
        <v>1.71</v>
      </c>
      <c r="Y40" s="3195">
        <v>1.35</v>
      </c>
      <c r="Z40" s="3195">
        <v>1.89</v>
      </c>
    </row>
    <row r="41" spans="2:26">
      <c r="B41" s="3195"/>
      <c r="C41" s="3196">
        <v>38289</v>
      </c>
      <c r="D41" s="3195">
        <v>5.22</v>
      </c>
      <c r="E41" s="3195">
        <v>5.58</v>
      </c>
      <c r="F41" s="3195">
        <v>5.76</v>
      </c>
      <c r="G41" s="3195">
        <v>5.85</v>
      </c>
      <c r="H41" s="3195">
        <v>6.12</v>
      </c>
      <c r="I41" s="3195">
        <v>3.78</v>
      </c>
      <c r="J41" s="3195">
        <v>4.2300000000000004</v>
      </c>
      <c r="L41" s="3195"/>
      <c r="M41" s="3196">
        <v>36136</v>
      </c>
      <c r="N41" s="3195">
        <v>1.44</v>
      </c>
      <c r="O41" s="3195">
        <v>2.79</v>
      </c>
      <c r="P41" s="3195">
        <v>3.33</v>
      </c>
      <c r="Q41" s="3195">
        <v>3.78</v>
      </c>
      <c r="R41" s="3195">
        <v>3.96</v>
      </c>
      <c r="S41" s="3195">
        <v>4.1399999999999997</v>
      </c>
      <c r="T41" s="3195">
        <v>4.5</v>
      </c>
      <c r="U41" s="3195">
        <v>3.33</v>
      </c>
      <c r="V41" s="3195">
        <v>3.78</v>
      </c>
      <c r="W41" s="3195">
        <v>4.1399999999999997</v>
      </c>
      <c r="X41" s="3195">
        <v>2.16</v>
      </c>
      <c r="Y41" s="3195">
        <v>1.8</v>
      </c>
      <c r="Z41" s="3195">
        <v>2.34</v>
      </c>
    </row>
    <row r="42" spans="2:26">
      <c r="B42" s="3195"/>
      <c r="C42" s="3196">
        <v>37308</v>
      </c>
      <c r="D42" s="3195">
        <v>5.04</v>
      </c>
      <c r="E42" s="3195">
        <v>5.31</v>
      </c>
      <c r="F42" s="3195">
        <v>5.49</v>
      </c>
      <c r="G42" s="3195">
        <v>5.58</v>
      </c>
      <c r="H42" s="3195">
        <v>5.76</v>
      </c>
      <c r="I42" s="3195">
        <v>3.6</v>
      </c>
      <c r="J42" s="3195">
        <v>4.05</v>
      </c>
      <c r="L42" s="3195"/>
      <c r="M42" s="3196">
        <v>35977</v>
      </c>
      <c r="N42" s="3195">
        <v>1.44</v>
      </c>
      <c r="O42" s="3195">
        <v>2.79</v>
      </c>
      <c r="P42" s="3195">
        <v>3.96</v>
      </c>
      <c r="Q42" s="3195">
        <v>4.7699999999999996</v>
      </c>
      <c r="R42" s="3195">
        <v>4.8600000000000003</v>
      </c>
      <c r="S42" s="3195">
        <v>4.95</v>
      </c>
      <c r="T42" s="3195">
        <v>5.22</v>
      </c>
      <c r="U42" s="3195">
        <v>3.96</v>
      </c>
      <c r="V42" s="3195">
        <v>4.7699999999999996</v>
      </c>
      <c r="W42" s="3195">
        <v>4.95</v>
      </c>
      <c r="X42" s="3195" t="s">
        <v>2942</v>
      </c>
      <c r="Y42" s="3195" t="s">
        <v>2942</v>
      </c>
      <c r="Z42" s="3195" t="s">
        <v>2942</v>
      </c>
    </row>
    <row r="43" spans="2:26">
      <c r="B43" s="3195"/>
      <c r="C43" s="3196">
        <v>36321</v>
      </c>
      <c r="D43" s="3195">
        <v>5.58</v>
      </c>
      <c r="E43" s="3195">
        <v>5.85</v>
      </c>
      <c r="F43" s="3195">
        <v>5.94</v>
      </c>
      <c r="G43" s="3195">
        <v>6.03</v>
      </c>
      <c r="H43" s="3195">
        <v>6.21</v>
      </c>
      <c r="I43" s="3195">
        <v>4.1399999999999997</v>
      </c>
      <c r="J43" s="3195">
        <v>4.59</v>
      </c>
      <c r="L43" s="3195"/>
      <c r="M43" s="3196">
        <v>35879</v>
      </c>
      <c r="N43" s="3195">
        <v>1.71</v>
      </c>
      <c r="O43" s="3195">
        <v>2.88</v>
      </c>
      <c r="P43" s="3195">
        <v>4.1399999999999997</v>
      </c>
      <c r="Q43" s="3195">
        <v>5.22</v>
      </c>
      <c r="R43" s="3195">
        <v>5.58</v>
      </c>
      <c r="S43" s="3195">
        <v>6.21</v>
      </c>
      <c r="T43" s="3195">
        <v>6.66</v>
      </c>
      <c r="U43" s="3195">
        <v>4.1399999999999997</v>
      </c>
      <c r="V43" s="3195">
        <v>5.22</v>
      </c>
      <c r="W43" s="3195">
        <v>6.21</v>
      </c>
      <c r="X43" s="3195" t="s">
        <v>2942</v>
      </c>
      <c r="Y43" s="3195" t="s">
        <v>2942</v>
      </c>
      <c r="Z43" s="3195" t="s">
        <v>2942</v>
      </c>
    </row>
    <row r="44" spans="2:26">
      <c r="B44" s="3195"/>
      <c r="C44" s="3196">
        <v>36136</v>
      </c>
      <c r="D44" s="3195">
        <v>6.12</v>
      </c>
      <c r="E44" s="3195">
        <v>6.39</v>
      </c>
      <c r="F44" s="3195">
        <v>6.66</v>
      </c>
      <c r="G44" s="3195">
        <v>7.2</v>
      </c>
      <c r="H44" s="3195">
        <v>7.56</v>
      </c>
      <c r="I44" s="3195">
        <v>0</v>
      </c>
      <c r="J44" s="3195">
        <v>0</v>
      </c>
      <c r="L44" s="3195"/>
      <c r="M44" s="3196">
        <v>35726</v>
      </c>
      <c r="N44" s="3195">
        <v>1.71</v>
      </c>
      <c r="O44" s="3195">
        <v>2.88</v>
      </c>
      <c r="P44" s="3195">
        <v>4.1399999999999997</v>
      </c>
      <c r="Q44" s="3195">
        <v>5.67</v>
      </c>
      <c r="R44" s="3195">
        <v>5.94</v>
      </c>
      <c r="S44" s="3195">
        <v>6.21</v>
      </c>
      <c r="T44" s="3195">
        <v>6.66</v>
      </c>
      <c r="U44" s="3195">
        <v>4.1399999999999997</v>
      </c>
      <c r="V44" s="3195">
        <v>5.67</v>
      </c>
      <c r="W44" s="3195">
        <v>6.21</v>
      </c>
      <c r="X44" s="3195" t="s">
        <v>2942</v>
      </c>
      <c r="Y44" s="3195" t="s">
        <v>2942</v>
      </c>
      <c r="Z44" s="3195" t="s">
        <v>2942</v>
      </c>
    </row>
    <row r="45" spans="2:26">
      <c r="B45" s="3195"/>
      <c r="C45" s="3196">
        <v>35977</v>
      </c>
      <c r="D45" s="3195">
        <v>6.57</v>
      </c>
      <c r="E45" s="3195">
        <v>6.93</v>
      </c>
      <c r="F45" s="3195">
        <v>7.11</v>
      </c>
      <c r="G45" s="3195">
        <v>7.65</v>
      </c>
      <c r="H45" s="3195">
        <v>8.01</v>
      </c>
      <c r="I45" s="3195">
        <v>0</v>
      </c>
      <c r="J45" s="3195">
        <v>0</v>
      </c>
      <c r="L45" s="3195"/>
      <c r="M45" s="3196">
        <v>35300</v>
      </c>
      <c r="N45" s="3195">
        <v>1.98</v>
      </c>
      <c r="O45" s="3195">
        <v>3.33</v>
      </c>
      <c r="P45" s="3195">
        <v>5.4</v>
      </c>
      <c r="Q45" s="3195">
        <v>7.47</v>
      </c>
      <c r="R45" s="3195">
        <v>7.92</v>
      </c>
      <c r="S45" s="3195">
        <v>8.2799999999999994</v>
      </c>
      <c r="T45" s="3195">
        <v>9</v>
      </c>
      <c r="U45" s="3195">
        <v>5.4</v>
      </c>
      <c r="V45" s="3195">
        <v>7.47</v>
      </c>
      <c r="W45" s="3195">
        <v>8.2799999999999994</v>
      </c>
      <c r="X45" s="3195" t="s">
        <v>2942</v>
      </c>
      <c r="Y45" s="3195" t="s">
        <v>2942</v>
      </c>
      <c r="Z45" s="3195" t="s">
        <v>2942</v>
      </c>
    </row>
    <row r="46" spans="2:26">
      <c r="B46" s="3195"/>
      <c r="C46" s="3196">
        <v>35879</v>
      </c>
      <c r="D46" s="3195">
        <v>7.02</v>
      </c>
      <c r="E46" s="3195">
        <v>7.92</v>
      </c>
      <c r="F46" s="3195">
        <v>9</v>
      </c>
      <c r="G46" s="3195">
        <v>9.7200000000000006</v>
      </c>
      <c r="H46" s="3195">
        <v>10.35</v>
      </c>
      <c r="I46" s="3195">
        <v>0</v>
      </c>
      <c r="J46" s="3195">
        <v>0</v>
      </c>
      <c r="L46" s="3195"/>
      <c r="M46" s="3196">
        <v>35186</v>
      </c>
      <c r="N46" s="3195">
        <v>2.97</v>
      </c>
      <c r="O46" s="3195">
        <v>4.8600000000000003</v>
      </c>
      <c r="P46" s="3195">
        <v>7.2</v>
      </c>
      <c r="Q46" s="3195">
        <v>9.18</v>
      </c>
      <c r="R46" s="3195">
        <v>9.9</v>
      </c>
      <c r="S46" s="3195">
        <v>10.8</v>
      </c>
      <c r="T46" s="3195">
        <v>12.06</v>
      </c>
      <c r="U46" s="3195">
        <v>7.2</v>
      </c>
      <c r="V46" s="3195">
        <v>9.18</v>
      </c>
      <c r="W46" s="3195">
        <v>10.8</v>
      </c>
      <c r="X46" s="3195" t="s">
        <v>2942</v>
      </c>
      <c r="Y46" s="3195" t="s">
        <v>2942</v>
      </c>
      <c r="Z46" s="3195" t="s">
        <v>2942</v>
      </c>
    </row>
    <row r="47" spans="2:26">
      <c r="B47" s="3195"/>
      <c r="C47" s="3196">
        <v>35726</v>
      </c>
      <c r="D47" s="3195">
        <v>7.65</v>
      </c>
      <c r="E47" s="3195">
        <v>8.64</v>
      </c>
      <c r="F47" s="3195">
        <v>9.36</v>
      </c>
      <c r="G47" s="3195">
        <v>9.9</v>
      </c>
      <c r="H47" s="3195">
        <v>10.53</v>
      </c>
      <c r="I47" s="3195">
        <v>0</v>
      </c>
      <c r="J47" s="3195">
        <v>0</v>
      </c>
      <c r="L47" s="3195"/>
      <c r="M47" s="3196">
        <v>34161</v>
      </c>
      <c r="N47" s="3195">
        <v>3.15</v>
      </c>
      <c r="O47" s="3195">
        <v>6.66</v>
      </c>
      <c r="P47" s="3195">
        <v>9</v>
      </c>
      <c r="Q47" s="3195">
        <v>10.98</v>
      </c>
      <c r="R47" s="3195">
        <v>11.7</v>
      </c>
      <c r="S47" s="3195">
        <v>12.24</v>
      </c>
      <c r="T47" s="3195">
        <v>13.86</v>
      </c>
      <c r="U47" s="3195">
        <v>9</v>
      </c>
      <c r="V47" s="3195">
        <v>10.98</v>
      </c>
      <c r="W47" s="3195">
        <v>12.24</v>
      </c>
      <c r="X47" s="3195" t="s">
        <v>2942</v>
      </c>
      <c r="Y47" s="3195" t="s">
        <v>2942</v>
      </c>
      <c r="Z47" s="3195" t="s">
        <v>2942</v>
      </c>
    </row>
    <row r="48" spans="2:26">
      <c r="B48" s="3195"/>
      <c r="C48" s="3196">
        <v>35300</v>
      </c>
      <c r="D48" s="3195">
        <v>9.18</v>
      </c>
      <c r="E48" s="3195">
        <v>10.08</v>
      </c>
      <c r="F48" s="3195">
        <v>10.98</v>
      </c>
      <c r="G48" s="3195">
        <v>11.7</v>
      </c>
      <c r="H48" s="3195">
        <v>12.42</v>
      </c>
      <c r="I48" s="3195">
        <v>0</v>
      </c>
      <c r="J48" s="3195">
        <v>0</v>
      </c>
      <c r="L48" s="3195"/>
      <c r="M48" s="3196">
        <v>34104</v>
      </c>
      <c r="N48" s="3195">
        <v>2.16</v>
      </c>
      <c r="O48" s="3195">
        <v>4.8600000000000003</v>
      </c>
      <c r="P48" s="3195">
        <v>7.2</v>
      </c>
      <c r="Q48" s="3195">
        <v>9.18</v>
      </c>
      <c r="R48" s="3195">
        <v>9.9</v>
      </c>
      <c r="S48" s="3195">
        <v>10.8</v>
      </c>
      <c r="T48" s="3195">
        <v>12.06</v>
      </c>
      <c r="U48" s="3195">
        <v>7.2</v>
      </c>
      <c r="V48" s="3195">
        <v>9.18</v>
      </c>
      <c r="W48" s="3195">
        <v>10.8</v>
      </c>
      <c r="X48" s="3195" t="s">
        <v>2942</v>
      </c>
      <c r="Y48" s="3195" t="s">
        <v>2942</v>
      </c>
      <c r="Z48" s="3195" t="s">
        <v>2942</v>
      </c>
    </row>
    <row r="49" spans="2:26">
      <c r="B49" s="3195"/>
      <c r="C49" s="3196">
        <v>35186</v>
      </c>
      <c r="D49" s="3195">
        <v>9.7200000000000006</v>
      </c>
      <c r="E49" s="3195">
        <v>10.98</v>
      </c>
      <c r="F49" s="3195">
        <v>13.14</v>
      </c>
      <c r="G49" s="3195">
        <v>14.94</v>
      </c>
      <c r="H49" s="3195">
        <v>15.12</v>
      </c>
      <c r="I49" s="3195">
        <v>0</v>
      </c>
      <c r="J49" s="3195">
        <v>0</v>
      </c>
      <c r="L49" s="3195"/>
      <c r="M49" s="3196">
        <v>33349</v>
      </c>
      <c r="N49" s="3195">
        <v>1.8</v>
      </c>
      <c r="O49" s="3195">
        <v>3.24</v>
      </c>
      <c r="P49" s="3195">
        <v>5.4</v>
      </c>
      <c r="Q49" s="3195">
        <v>7.56</v>
      </c>
      <c r="R49" s="3195">
        <v>7.92</v>
      </c>
      <c r="S49" s="3195">
        <v>8.2799999999999994</v>
      </c>
      <c r="T49" s="3195">
        <v>9</v>
      </c>
      <c r="U49" s="3195">
        <v>6.12</v>
      </c>
      <c r="V49" s="3195">
        <v>6.84</v>
      </c>
      <c r="W49" s="3195">
        <v>7.56</v>
      </c>
      <c r="X49" s="3195" t="s">
        <v>2942</v>
      </c>
      <c r="Y49" s="3195" t="s">
        <v>2942</v>
      </c>
      <c r="Z49" s="3195" t="s">
        <v>2942</v>
      </c>
    </row>
    <row r="50" spans="2:26">
      <c r="B50" s="3195"/>
      <c r="C50" s="3196">
        <v>34881</v>
      </c>
      <c r="D50" s="3195">
        <v>10.08</v>
      </c>
      <c r="E50" s="3195">
        <v>12.06</v>
      </c>
      <c r="F50" s="3195">
        <v>13.5</v>
      </c>
      <c r="G50" s="3195">
        <v>15.12</v>
      </c>
      <c r="H50" s="3195">
        <v>15.3</v>
      </c>
      <c r="I50" s="3195">
        <v>0</v>
      </c>
      <c r="J50" s="3195">
        <v>0</v>
      </c>
      <c r="L50" s="3195"/>
      <c r="M50" s="3196">
        <v>33106</v>
      </c>
      <c r="N50" s="3195">
        <v>2.16</v>
      </c>
      <c r="O50" s="3195">
        <v>4.32</v>
      </c>
      <c r="P50" s="3195">
        <v>6.48</v>
      </c>
      <c r="Q50" s="3195">
        <v>8.64</v>
      </c>
      <c r="R50" s="3195">
        <v>9.36</v>
      </c>
      <c r="S50" s="3195">
        <v>10.08</v>
      </c>
      <c r="T50" s="3195">
        <v>11.52</v>
      </c>
      <c r="U50" s="3195">
        <v>7.2</v>
      </c>
      <c r="V50" s="3195">
        <v>8.64</v>
      </c>
      <c r="W50" s="3195">
        <v>10.08</v>
      </c>
      <c r="X50" s="3195" t="s">
        <v>2942</v>
      </c>
      <c r="Y50" s="3195" t="s">
        <v>2942</v>
      </c>
      <c r="Z50" s="3195" t="s">
        <v>2942</v>
      </c>
    </row>
    <row r="51" spans="2:26">
      <c r="B51" s="3195"/>
      <c r="C51" s="3196">
        <v>34700</v>
      </c>
      <c r="D51" s="3195">
        <v>9</v>
      </c>
      <c r="E51" s="3195">
        <v>10.98</v>
      </c>
      <c r="F51" s="3195">
        <v>12.96</v>
      </c>
      <c r="G51" s="3195">
        <v>14.58</v>
      </c>
      <c r="H51" s="3195">
        <v>14.76</v>
      </c>
      <c r="I51" s="3195">
        <v>0</v>
      </c>
      <c r="J51" s="3195">
        <v>0</v>
      </c>
      <c r="L51" s="3195"/>
      <c r="M51" s="3196">
        <v>32978</v>
      </c>
      <c r="N51" s="3195">
        <v>2.88</v>
      </c>
      <c r="O51" s="3195">
        <v>6.3</v>
      </c>
      <c r="P51" s="3195">
        <v>7.74</v>
      </c>
      <c r="Q51" s="3195">
        <v>10.08</v>
      </c>
      <c r="R51" s="3195">
        <v>10.98</v>
      </c>
      <c r="S51" s="3195">
        <v>11.88</v>
      </c>
      <c r="T51" s="3195">
        <v>13.68</v>
      </c>
      <c r="U51" s="3195" t="s">
        <v>2942</v>
      </c>
      <c r="V51" s="3195" t="s">
        <v>2942</v>
      </c>
      <c r="W51" s="3195" t="s">
        <v>2942</v>
      </c>
      <c r="X51" s="3195" t="s">
        <v>2942</v>
      </c>
      <c r="Y51" s="3195" t="s">
        <v>2942</v>
      </c>
      <c r="Z51" s="3195" t="s">
        <v>2942</v>
      </c>
    </row>
    <row r="52" spans="2:26">
      <c r="B52" s="3195"/>
      <c r="C52" s="3196">
        <v>34161</v>
      </c>
      <c r="D52" s="3195">
        <v>9</v>
      </c>
      <c r="E52" s="3195">
        <v>10.98</v>
      </c>
      <c r="F52" s="3195">
        <v>12.24</v>
      </c>
      <c r="G52" s="3195">
        <v>13.86</v>
      </c>
      <c r="H52" s="3195">
        <v>14.04</v>
      </c>
      <c r="I52" s="3195">
        <v>0</v>
      </c>
      <c r="J52" s="3195">
        <v>0</v>
      </c>
      <c r="L52" s="3195"/>
      <c r="M52" s="3196"/>
      <c r="N52" s="3195"/>
      <c r="O52" s="3195"/>
      <c r="P52" s="3195"/>
      <c r="Q52" s="3195"/>
      <c r="R52" s="3195"/>
      <c r="S52" s="3195"/>
      <c r="T52" s="3195"/>
      <c r="U52" s="3195"/>
      <c r="V52" s="3195"/>
      <c r="W52" s="3195"/>
      <c r="X52" s="3195"/>
      <c r="Y52" s="3195"/>
      <c r="Z52" s="3195"/>
    </row>
    <row r="53" spans="2:26">
      <c r="B53" s="3195"/>
      <c r="C53" s="3196">
        <v>34104</v>
      </c>
      <c r="D53" s="3195">
        <v>8.82</v>
      </c>
      <c r="E53" s="3195">
        <v>9.36</v>
      </c>
      <c r="F53" s="3195">
        <v>10.8</v>
      </c>
      <c r="G53" s="3195">
        <v>12.06</v>
      </c>
      <c r="H53" s="3195">
        <v>12.24</v>
      </c>
      <c r="I53" s="3195">
        <v>0</v>
      </c>
      <c r="J53" s="3195">
        <v>0</v>
      </c>
      <c r="L53" s="3195"/>
      <c r="M53" s="3196"/>
      <c r="N53" s="3195"/>
      <c r="O53" s="3195"/>
      <c r="P53" s="3195"/>
      <c r="Q53" s="3195"/>
      <c r="R53" s="3195"/>
      <c r="S53" s="3195"/>
      <c r="T53" s="3195"/>
      <c r="U53" s="3195"/>
      <c r="V53" s="3195"/>
      <c r="W53" s="3195"/>
      <c r="X53" s="3195"/>
      <c r="Y53" s="3195"/>
      <c r="Z53" s="3195"/>
    </row>
    <row r="54" spans="2:26">
      <c r="B54" s="3195"/>
      <c r="C54" s="3196">
        <v>33349</v>
      </c>
      <c r="D54" s="3195">
        <v>8.1</v>
      </c>
      <c r="E54" s="3195">
        <v>8.64</v>
      </c>
      <c r="F54" s="3195">
        <v>9</v>
      </c>
      <c r="G54" s="3195">
        <v>9.5399999999999991</v>
      </c>
      <c r="H54" s="3195">
        <v>9.7200000000000006</v>
      </c>
      <c r="I54" s="3195">
        <v>0</v>
      </c>
      <c r="J54" s="3195">
        <v>0</v>
      </c>
      <c r="L54" s="3195"/>
      <c r="M54" s="3196"/>
      <c r="N54" s="3195"/>
      <c r="O54" s="3195"/>
      <c r="P54" s="3195"/>
      <c r="Q54" s="3195"/>
      <c r="R54" s="3195"/>
      <c r="S54" s="3195"/>
      <c r="T54" s="3195"/>
      <c r="U54" s="3195"/>
      <c r="V54" s="3195"/>
      <c r="W54" s="3195"/>
      <c r="X54" s="3195"/>
      <c r="Y54" s="3195"/>
      <c r="Z54" s="3195"/>
    </row>
    <row r="55" spans="2:26">
      <c r="B55" s="3195"/>
      <c r="C55" s="3196">
        <v>33318</v>
      </c>
      <c r="D55" s="3195">
        <v>9</v>
      </c>
      <c r="E55" s="3195">
        <v>10.08</v>
      </c>
      <c r="F55" s="3195">
        <v>10.8</v>
      </c>
      <c r="G55" s="3195">
        <v>11.52</v>
      </c>
      <c r="H55" s="3195">
        <v>11.88</v>
      </c>
      <c r="I55" s="3195" t="s">
        <v>2942</v>
      </c>
      <c r="J55" s="3195" t="s">
        <v>2942</v>
      </c>
      <c r="L55" s="3195"/>
      <c r="M55" s="3196"/>
      <c r="N55" s="3195"/>
      <c r="O55" s="3195"/>
      <c r="P55" s="3195"/>
      <c r="Q55" s="3195"/>
      <c r="R55" s="3195"/>
      <c r="S55" s="3195"/>
      <c r="T55" s="3195"/>
      <c r="U55" s="3195"/>
      <c r="V55" s="3195"/>
      <c r="W55" s="3195"/>
      <c r="X55" s="3195"/>
      <c r="Y55" s="3195"/>
      <c r="Z55" s="3195"/>
    </row>
    <row r="56" spans="2:26">
      <c r="B56" s="3195"/>
      <c r="C56" s="3196">
        <v>33106</v>
      </c>
      <c r="D56" s="3195">
        <v>8.64</v>
      </c>
      <c r="E56" s="3195">
        <v>9.36</v>
      </c>
      <c r="F56" s="3195">
        <v>10.08</v>
      </c>
      <c r="G56" s="3195">
        <v>10.8</v>
      </c>
      <c r="H56" s="3195">
        <v>11.16</v>
      </c>
      <c r="I56" s="3195">
        <v>0</v>
      </c>
      <c r="J56" s="3195">
        <v>0</v>
      </c>
      <c r="L56" s="3195"/>
      <c r="M56" s="3196"/>
      <c r="N56" s="3195"/>
      <c r="O56" s="3195"/>
      <c r="P56" s="3195"/>
      <c r="Q56" s="3195"/>
      <c r="R56" s="3195"/>
      <c r="S56" s="3195"/>
      <c r="T56" s="3195"/>
      <c r="U56" s="3195"/>
      <c r="V56" s="3195"/>
      <c r="W56" s="3195"/>
      <c r="X56" s="3195"/>
      <c r="Y56" s="3195"/>
      <c r="Z56" s="3195"/>
    </row>
    <row r="57" spans="2:26">
      <c r="B57" s="3195"/>
      <c r="C57" s="3196">
        <v>32540</v>
      </c>
      <c r="D57" s="3195">
        <v>11.34</v>
      </c>
      <c r="E57" s="3195">
        <v>11.34</v>
      </c>
      <c r="F57" s="3195">
        <v>12.78</v>
      </c>
      <c r="G57" s="3195">
        <v>14.4</v>
      </c>
      <c r="H57" s="3195">
        <v>19.260000000000002</v>
      </c>
      <c r="I57" s="3195">
        <v>0</v>
      </c>
      <c r="J57" s="3195">
        <v>0</v>
      </c>
      <c r="L57" s="3195"/>
      <c r="M57" s="3196"/>
      <c r="N57" s="3195"/>
      <c r="O57" s="3195"/>
      <c r="P57" s="3195"/>
      <c r="Q57" s="3195"/>
      <c r="R57" s="3195"/>
      <c r="S57" s="3195"/>
      <c r="T57" s="3195"/>
      <c r="U57" s="3195"/>
      <c r="V57" s="3195"/>
      <c r="W57" s="3195"/>
      <c r="X57" s="3195"/>
      <c r="Y57" s="3195"/>
      <c r="Z57" s="3195"/>
    </row>
    <row r="58" spans="2:26">
      <c r="B58" s="3195"/>
      <c r="C58" s="3196"/>
      <c r="D58" s="3195"/>
      <c r="E58" s="3195"/>
      <c r="F58" s="3195"/>
      <c r="G58" s="3195"/>
      <c r="H58" s="3195"/>
      <c r="I58" s="3195"/>
      <c r="J58" s="3195"/>
    </row>
    <row r="59" spans="2:26">
      <c r="B59" s="3199"/>
      <c r="C59" s="3200"/>
      <c r="D59" s="3199"/>
      <c r="E59" s="3199"/>
      <c r="F59" s="3199"/>
      <c r="G59" s="3199"/>
      <c r="H59" s="3199"/>
      <c r="I59" s="3199"/>
      <c r="J59" s="3199"/>
    </row>
    <row r="60" spans="2:26">
      <c r="B60" s="3199"/>
      <c r="C60" s="3200"/>
      <c r="D60" s="3199"/>
      <c r="E60" s="3199"/>
      <c r="F60" s="3199"/>
      <c r="G60" s="3199"/>
      <c r="H60" s="3199"/>
      <c r="I60" s="3199"/>
      <c r="J60" s="3199"/>
    </row>
    <row r="61" spans="2:26">
      <c r="B61" s="3199"/>
      <c r="C61" s="3200"/>
      <c r="D61" s="3199"/>
      <c r="E61" s="3199"/>
      <c r="F61" s="3199"/>
      <c r="G61" s="3199"/>
      <c r="H61" s="3199"/>
      <c r="I61" s="3199"/>
      <c r="J61" s="3199"/>
    </row>
    <row r="62" spans="2:26">
      <c r="B62" s="3146"/>
      <c r="C62" s="3146"/>
      <c r="D62" s="3146"/>
      <c r="E62" s="3146"/>
      <c r="F62" s="3146"/>
      <c r="G62" s="3146"/>
      <c r="H62" s="3146"/>
      <c r="I62" s="3146"/>
      <c r="J62" s="3146"/>
    </row>
    <row r="63" spans="2:26">
      <c r="B63" s="3146"/>
      <c r="C63" s="3146"/>
      <c r="D63" s="3146"/>
      <c r="E63" s="3146"/>
      <c r="F63" s="3146"/>
      <c r="G63" s="3146"/>
      <c r="H63" s="3146"/>
      <c r="I63" s="3146"/>
      <c r="J63" s="3146"/>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U74"/>
  <sheetViews>
    <sheetView workbookViewId="0">
      <selection activeCell="L73" sqref="L73"/>
    </sheetView>
  </sheetViews>
  <sheetFormatPr defaultRowHeight="13.5"/>
  <cols>
    <col min="11" max="11" width="18.375" customWidth="1"/>
    <col min="12" max="12" width="13.5" customWidth="1"/>
  </cols>
  <sheetData>
    <row r="4" spans="1:21" s="3143" customFormat="1">
      <c r="A4" s="3143" t="s">
        <v>3069</v>
      </c>
      <c r="B4" s="3143" t="s">
        <v>3070</v>
      </c>
      <c r="C4" s="3143" t="s">
        <v>3071</v>
      </c>
      <c r="D4" s="3143" t="s">
        <v>3072</v>
      </c>
      <c r="E4" s="3143" t="s">
        <v>3073</v>
      </c>
      <c r="F4" s="3143" t="s">
        <v>3074</v>
      </c>
      <c r="G4" s="3143" t="s">
        <v>3075</v>
      </c>
      <c r="H4" s="3143" t="s">
        <v>3076</v>
      </c>
      <c r="I4" s="3143" t="s">
        <v>3077</v>
      </c>
      <c r="J4" s="3143" t="s">
        <v>3078</v>
      </c>
      <c r="K4" s="3143" t="s">
        <v>3079</v>
      </c>
      <c r="L4" s="3143" t="s">
        <v>3080</v>
      </c>
      <c r="M4" s="3143" t="s">
        <v>3081</v>
      </c>
      <c r="N4" s="3143" t="s">
        <v>3082</v>
      </c>
      <c r="O4" s="3143" t="s">
        <v>3083</v>
      </c>
      <c r="P4" s="3143" t="s">
        <v>3084</v>
      </c>
      <c r="Q4" s="3143" t="s">
        <v>3085</v>
      </c>
      <c r="R4" s="3143" t="s">
        <v>3086</v>
      </c>
      <c r="S4" s="3143" t="s">
        <v>3087</v>
      </c>
      <c r="T4" s="3143" t="s">
        <v>3088</v>
      </c>
      <c r="U4" s="3143" t="s">
        <v>3089</v>
      </c>
    </row>
    <row r="5" spans="1:21" s="3332" customFormat="1">
      <c r="A5" s="3332" t="s">
        <v>3090</v>
      </c>
      <c r="B5" s="3332" t="s">
        <v>3091</v>
      </c>
      <c r="C5" s="3332" t="s">
        <v>3092</v>
      </c>
      <c r="D5" s="3332" t="s">
        <v>3093</v>
      </c>
      <c r="E5" s="3332">
        <v>13326.99</v>
      </c>
      <c r="F5" s="3332">
        <v>46644</v>
      </c>
      <c r="G5" s="3332">
        <v>3.5</v>
      </c>
      <c r="H5" s="3332" t="s">
        <v>2942</v>
      </c>
      <c r="I5" s="3332" t="s">
        <v>3094</v>
      </c>
      <c r="J5" s="3332" t="s">
        <v>3095</v>
      </c>
      <c r="K5" s="3332" t="s">
        <v>3095</v>
      </c>
      <c r="L5" s="3332" t="s">
        <v>3096</v>
      </c>
      <c r="M5" s="3332" t="s">
        <v>3097</v>
      </c>
      <c r="N5" s="3332" t="s">
        <v>3098</v>
      </c>
      <c r="O5" s="3332">
        <v>68000</v>
      </c>
      <c r="P5" s="3332">
        <v>141000</v>
      </c>
      <c r="Q5" s="3332">
        <v>7053.36</v>
      </c>
      <c r="R5" s="3332">
        <v>30228.97</v>
      </c>
      <c r="S5" s="3332" t="s">
        <v>2942</v>
      </c>
      <c r="T5" s="3332">
        <v>107.35</v>
      </c>
      <c r="U5" s="3332" t="s">
        <v>3099</v>
      </c>
    </row>
    <row r="6" spans="1:21" s="3143" customFormat="1">
      <c r="A6" s="3143" t="s">
        <v>3100</v>
      </c>
      <c r="B6" s="3143" t="s">
        <v>3091</v>
      </c>
      <c r="C6" s="3143" t="s">
        <v>3092</v>
      </c>
      <c r="D6" s="3143" t="s">
        <v>3093</v>
      </c>
      <c r="E6" s="3143">
        <v>17629.740000000002</v>
      </c>
      <c r="F6" s="3143">
        <v>52889</v>
      </c>
      <c r="G6" s="3143">
        <v>3</v>
      </c>
      <c r="H6" s="3143" t="s">
        <v>2942</v>
      </c>
      <c r="I6" s="3143" t="s">
        <v>3101</v>
      </c>
      <c r="J6" s="3143" t="s">
        <v>3102</v>
      </c>
      <c r="K6" s="3143" t="s">
        <v>3102</v>
      </c>
      <c r="L6" s="3143" t="s">
        <v>3103</v>
      </c>
      <c r="M6" s="3143" t="s">
        <v>3097</v>
      </c>
      <c r="N6" s="3143" t="s">
        <v>3104</v>
      </c>
      <c r="O6" s="3143">
        <v>63500</v>
      </c>
      <c r="P6" s="3143">
        <v>64200</v>
      </c>
      <c r="Q6" s="3143">
        <v>2427.7199999999998</v>
      </c>
      <c r="R6" s="3143">
        <v>12138.62</v>
      </c>
      <c r="S6" s="3143" t="s">
        <v>2942</v>
      </c>
      <c r="T6" s="3143">
        <v>1.1000000000000001</v>
      </c>
      <c r="U6" s="3143" t="s">
        <v>3099</v>
      </c>
    </row>
    <row r="7" spans="1:21" s="3143" customFormat="1">
      <c r="A7" s="3143" t="s">
        <v>3105</v>
      </c>
      <c r="B7" s="3143" t="s">
        <v>3091</v>
      </c>
      <c r="C7" s="3143" t="s">
        <v>3092</v>
      </c>
      <c r="D7" s="3143" t="s">
        <v>3093</v>
      </c>
      <c r="E7" s="3143">
        <v>20680.23</v>
      </c>
      <c r="F7" s="3143">
        <v>62041</v>
      </c>
      <c r="G7" s="3143">
        <v>3</v>
      </c>
      <c r="H7" s="3143" t="s">
        <v>2942</v>
      </c>
      <c r="I7" s="3143" t="s">
        <v>3106</v>
      </c>
      <c r="J7" s="3143" t="s">
        <v>3107</v>
      </c>
      <c r="K7" s="3143" t="s">
        <v>3107</v>
      </c>
      <c r="L7" s="3143" t="s">
        <v>3108</v>
      </c>
      <c r="M7" s="3143" t="s">
        <v>3097</v>
      </c>
      <c r="N7" s="3143" t="s">
        <v>3109</v>
      </c>
      <c r="O7" s="3143">
        <v>75000</v>
      </c>
      <c r="P7" s="3143">
        <v>81000</v>
      </c>
      <c r="Q7" s="3143">
        <v>2611.19</v>
      </c>
      <c r="R7" s="3143">
        <v>13055.87</v>
      </c>
      <c r="S7" s="3143" t="s">
        <v>2942</v>
      </c>
      <c r="T7" s="3143">
        <v>8</v>
      </c>
      <c r="U7" s="3143" t="s">
        <v>3099</v>
      </c>
    </row>
    <row r="8" spans="1:21" s="3143" customFormat="1">
      <c r="A8" s="3143" t="s">
        <v>3110</v>
      </c>
      <c r="B8" s="3143" t="s">
        <v>3091</v>
      </c>
      <c r="C8" s="3143" t="s">
        <v>3092</v>
      </c>
      <c r="D8" s="3143" t="s">
        <v>3093</v>
      </c>
      <c r="E8" s="3143">
        <v>59750.39</v>
      </c>
      <c r="F8" s="3143">
        <v>149376</v>
      </c>
      <c r="G8" s="3143">
        <v>2.5</v>
      </c>
      <c r="H8" s="3143" t="s">
        <v>2942</v>
      </c>
      <c r="I8" s="3143" t="s">
        <v>3111</v>
      </c>
      <c r="J8" s="3143" t="s">
        <v>3112</v>
      </c>
      <c r="K8" s="3143" t="s">
        <v>3112</v>
      </c>
      <c r="L8" s="3143" t="s">
        <v>3113</v>
      </c>
      <c r="M8" s="3143" t="s">
        <v>3097</v>
      </c>
      <c r="N8" s="3143" t="s">
        <v>3114</v>
      </c>
      <c r="O8" s="3143">
        <v>180000</v>
      </c>
      <c r="P8" s="3143">
        <v>182700</v>
      </c>
      <c r="Q8" s="3143">
        <v>2038.48</v>
      </c>
      <c r="R8" s="3143">
        <v>12230.87</v>
      </c>
      <c r="S8" s="3143" t="s">
        <v>2942</v>
      </c>
      <c r="T8" s="3143">
        <v>1.5</v>
      </c>
      <c r="U8" s="3143" t="s">
        <v>3115</v>
      </c>
    </row>
    <row r="9" spans="1:21" s="3143" customFormat="1">
      <c r="A9" s="3143" t="s">
        <v>3116</v>
      </c>
      <c r="B9" s="3143" t="s">
        <v>3091</v>
      </c>
      <c r="C9" s="3143" t="s">
        <v>3092</v>
      </c>
      <c r="D9" s="3143" t="s">
        <v>3093</v>
      </c>
      <c r="E9" s="3143">
        <v>18865.5</v>
      </c>
      <c r="F9" s="3143">
        <v>22639</v>
      </c>
      <c r="G9" s="3143">
        <v>1.2</v>
      </c>
      <c r="H9" s="3143" t="s">
        <v>2942</v>
      </c>
      <c r="I9" s="3143" t="s">
        <v>3117</v>
      </c>
      <c r="J9" s="3143" t="s">
        <v>3118</v>
      </c>
      <c r="K9" s="3143" t="s">
        <v>3118</v>
      </c>
      <c r="L9" s="3143" t="s">
        <v>3119</v>
      </c>
      <c r="M9" s="3143" t="s">
        <v>3097</v>
      </c>
      <c r="N9" s="3143" t="s">
        <v>3120</v>
      </c>
      <c r="O9" s="3143">
        <v>25400</v>
      </c>
      <c r="P9" s="3143">
        <v>25400</v>
      </c>
      <c r="Q9" s="3143">
        <v>897.58</v>
      </c>
      <c r="R9" s="3143">
        <v>11219.57</v>
      </c>
      <c r="S9" s="3143" t="s">
        <v>2942</v>
      </c>
      <c r="T9" s="3143">
        <v>0</v>
      </c>
      <c r="U9" s="3143" t="s">
        <v>3115</v>
      </c>
    </row>
    <row r="10" spans="1:21" s="3143" customFormat="1">
      <c r="A10" s="3143" t="s">
        <v>3121</v>
      </c>
      <c r="B10" s="3143" t="s">
        <v>3091</v>
      </c>
      <c r="C10" s="3143" t="s">
        <v>3092</v>
      </c>
      <c r="D10" s="3143" t="s">
        <v>3093</v>
      </c>
      <c r="E10" s="3143">
        <v>27884.6</v>
      </c>
      <c r="F10" s="3143">
        <v>81543</v>
      </c>
      <c r="G10" s="3143">
        <v>2.92</v>
      </c>
      <c r="H10" s="3143" t="s">
        <v>2942</v>
      </c>
      <c r="I10" s="3143" t="s">
        <v>3122</v>
      </c>
      <c r="J10" s="3143" t="s">
        <v>3123</v>
      </c>
      <c r="K10" s="3143" t="s">
        <v>3123</v>
      </c>
      <c r="L10" s="3143" t="s">
        <v>3124</v>
      </c>
      <c r="M10" s="3143" t="s">
        <v>3097</v>
      </c>
      <c r="N10" s="3143" t="s">
        <v>3125</v>
      </c>
      <c r="O10" s="3143">
        <v>110100</v>
      </c>
      <c r="P10" s="3143">
        <v>110100</v>
      </c>
      <c r="Q10" s="3143">
        <v>2632.28</v>
      </c>
      <c r="R10" s="3143">
        <v>13502.07</v>
      </c>
      <c r="S10" s="3143" t="s">
        <v>2942</v>
      </c>
      <c r="T10" s="3143">
        <v>0</v>
      </c>
      <c r="U10" s="3143" t="s">
        <v>3115</v>
      </c>
    </row>
    <row r="11" spans="1:21" s="3143" customFormat="1">
      <c r="A11" s="3143" t="s">
        <v>3126</v>
      </c>
      <c r="B11" s="3143" t="s">
        <v>3091</v>
      </c>
      <c r="C11" s="3143" t="s">
        <v>3092</v>
      </c>
      <c r="D11" s="3143" t="s">
        <v>3093</v>
      </c>
      <c r="E11" s="3143">
        <v>30547.5</v>
      </c>
      <c r="F11" s="3143">
        <v>83674</v>
      </c>
      <c r="G11" s="3143">
        <v>2.74</v>
      </c>
      <c r="H11" s="3143" t="s">
        <v>2942</v>
      </c>
      <c r="I11" s="3143" t="s">
        <v>3122</v>
      </c>
      <c r="J11" s="3143" t="s">
        <v>3123</v>
      </c>
      <c r="K11" s="3143" t="s">
        <v>3123</v>
      </c>
      <c r="L11" s="3143" t="s">
        <v>3127</v>
      </c>
      <c r="M11" s="3143" t="s">
        <v>3097</v>
      </c>
      <c r="N11" s="3143" t="s">
        <v>3125</v>
      </c>
      <c r="O11" s="3143">
        <v>113000</v>
      </c>
      <c r="P11" s="3143">
        <v>113000</v>
      </c>
      <c r="Q11" s="3143">
        <v>2466.1</v>
      </c>
      <c r="R11" s="3143">
        <v>13504.79</v>
      </c>
      <c r="S11" s="3143" t="s">
        <v>2942</v>
      </c>
      <c r="T11" s="3143">
        <v>0</v>
      </c>
      <c r="U11" s="3143" t="s">
        <v>3115</v>
      </c>
    </row>
    <row r="15" spans="1:21" s="3143" customFormat="1">
      <c r="A15" s="3143" t="s">
        <v>3069</v>
      </c>
      <c r="B15" s="3143" t="s">
        <v>3070</v>
      </c>
      <c r="C15" s="3143" t="s">
        <v>3071</v>
      </c>
      <c r="D15" s="3143" t="s">
        <v>3072</v>
      </c>
      <c r="E15" s="3143" t="s">
        <v>3073</v>
      </c>
      <c r="F15" s="3143" t="s">
        <v>3074</v>
      </c>
      <c r="G15" s="3143" t="s">
        <v>3075</v>
      </c>
      <c r="H15" s="3143" t="s">
        <v>3076</v>
      </c>
      <c r="I15" s="3143" t="s">
        <v>3077</v>
      </c>
      <c r="J15" s="3143" t="s">
        <v>3078</v>
      </c>
      <c r="K15" s="3143" t="s">
        <v>3079</v>
      </c>
      <c r="L15" s="3143" t="s">
        <v>3080</v>
      </c>
      <c r="M15" s="3143" t="s">
        <v>3081</v>
      </c>
      <c r="N15" s="3143" t="s">
        <v>3082</v>
      </c>
      <c r="O15" s="3143" t="s">
        <v>3083</v>
      </c>
      <c r="P15" s="3143" t="s">
        <v>3084</v>
      </c>
      <c r="Q15" s="3143" t="s">
        <v>3085</v>
      </c>
      <c r="R15" s="3143" t="s">
        <v>3086</v>
      </c>
      <c r="S15" s="3143" t="s">
        <v>3087</v>
      </c>
      <c r="T15" s="3143" t="s">
        <v>3088</v>
      </c>
      <c r="U15" s="3143" t="s">
        <v>3089</v>
      </c>
    </row>
    <row r="16" spans="1:21" s="3143" customFormat="1">
      <c r="A16" s="3143" t="s">
        <v>3128</v>
      </c>
      <c r="B16" s="3143" t="s">
        <v>3091</v>
      </c>
      <c r="C16" s="3143" t="s">
        <v>3092</v>
      </c>
      <c r="D16" s="3143" t="s">
        <v>3093</v>
      </c>
      <c r="E16" s="3143">
        <v>27295.08</v>
      </c>
      <c r="F16" s="3143">
        <v>160000</v>
      </c>
      <c r="G16" s="3143">
        <v>5.8</v>
      </c>
      <c r="H16" s="3143" t="s">
        <v>2942</v>
      </c>
      <c r="I16" s="3143" t="s">
        <v>3129</v>
      </c>
      <c r="J16" s="3143" t="s">
        <v>3130</v>
      </c>
      <c r="K16" s="3143" t="s">
        <v>3130</v>
      </c>
      <c r="L16" s="3143" t="s">
        <v>3131</v>
      </c>
      <c r="M16" s="3143" t="s">
        <v>3097</v>
      </c>
      <c r="N16" s="3143" t="s">
        <v>3132</v>
      </c>
      <c r="O16" s="3143">
        <v>432000</v>
      </c>
      <c r="P16" s="3143">
        <v>434000</v>
      </c>
      <c r="Q16" s="3143">
        <v>10600.2</v>
      </c>
      <c r="R16" s="3143">
        <v>27125</v>
      </c>
      <c r="S16" s="3143" t="s">
        <v>2942</v>
      </c>
      <c r="T16" s="3143">
        <v>0.46</v>
      </c>
      <c r="U16" s="3143" t="s">
        <v>3133</v>
      </c>
    </row>
    <row r="17" spans="1:21" s="3332" customFormat="1">
      <c r="A17" s="3332" t="s">
        <v>3134</v>
      </c>
      <c r="B17" s="3332" t="s">
        <v>3091</v>
      </c>
      <c r="C17" s="3332" t="s">
        <v>3092</v>
      </c>
      <c r="D17" s="3332" t="s">
        <v>3093</v>
      </c>
      <c r="E17" s="3332">
        <v>14788.3</v>
      </c>
      <c r="F17" s="3332">
        <v>59153</v>
      </c>
      <c r="G17" s="3332">
        <v>4</v>
      </c>
      <c r="H17" s="3332" t="s">
        <v>2942</v>
      </c>
      <c r="I17" s="3332" t="s">
        <v>3135</v>
      </c>
      <c r="J17" s="3332" t="s">
        <v>3136</v>
      </c>
      <c r="K17" s="3332" t="s">
        <v>3136</v>
      </c>
      <c r="L17" s="3332" t="s">
        <v>3137</v>
      </c>
      <c r="M17" s="3332" t="s">
        <v>3097</v>
      </c>
      <c r="N17" s="3332" t="s">
        <v>3138</v>
      </c>
      <c r="O17" s="3332">
        <v>71500</v>
      </c>
      <c r="P17" s="3332">
        <v>176000</v>
      </c>
      <c r="Q17" s="3332">
        <v>7934.2</v>
      </c>
      <c r="R17" s="3332">
        <v>29753.34</v>
      </c>
      <c r="S17" s="3332" t="s">
        <v>2942</v>
      </c>
      <c r="T17" s="3332">
        <v>146.15</v>
      </c>
      <c r="U17" s="3332" t="s">
        <v>3099</v>
      </c>
    </row>
    <row r="18" spans="1:21" s="3332" customFormat="1">
      <c r="A18" s="3332" t="s">
        <v>3139</v>
      </c>
      <c r="B18" s="3332" t="s">
        <v>3091</v>
      </c>
      <c r="C18" s="3332" t="s">
        <v>3092</v>
      </c>
      <c r="D18" s="3332" t="s">
        <v>3093</v>
      </c>
      <c r="E18" s="3332">
        <v>29500</v>
      </c>
      <c r="F18" s="3332">
        <v>118000</v>
      </c>
      <c r="G18" s="3332">
        <v>4</v>
      </c>
      <c r="H18" s="3332" t="s">
        <v>2942</v>
      </c>
      <c r="I18" s="3332" t="s">
        <v>3135</v>
      </c>
      <c r="J18" s="3332" t="s">
        <v>3136</v>
      </c>
      <c r="K18" s="3332" t="s">
        <v>3136</v>
      </c>
      <c r="L18" s="3332" t="s">
        <v>3140</v>
      </c>
      <c r="M18" s="3332" t="s">
        <v>3097</v>
      </c>
      <c r="N18" s="3332" t="s">
        <v>3138</v>
      </c>
      <c r="O18" s="3332">
        <v>142000</v>
      </c>
      <c r="P18" s="3332">
        <v>342000</v>
      </c>
      <c r="Q18" s="3332">
        <v>7728.81</v>
      </c>
      <c r="R18" s="3332">
        <v>28983.040000000001</v>
      </c>
      <c r="S18" s="3332" t="s">
        <v>2942</v>
      </c>
      <c r="T18" s="3332">
        <v>140.85</v>
      </c>
      <c r="U18" s="3332" t="s">
        <v>3099</v>
      </c>
    </row>
    <row r="19" spans="1:21" s="3143" customFormat="1">
      <c r="A19" s="3143" t="s">
        <v>3141</v>
      </c>
      <c r="B19" s="3143" t="s">
        <v>3091</v>
      </c>
      <c r="C19" s="3143" t="s">
        <v>3092</v>
      </c>
      <c r="D19" s="3143" t="s">
        <v>3093</v>
      </c>
      <c r="E19" s="3143">
        <v>15089.35</v>
      </c>
      <c r="F19" s="3143">
        <v>60357</v>
      </c>
      <c r="G19" s="3143">
        <v>4</v>
      </c>
      <c r="H19" s="3143" t="s">
        <v>2942</v>
      </c>
      <c r="I19" s="3143" t="s">
        <v>3142</v>
      </c>
      <c r="J19" s="3143" t="s">
        <v>3143</v>
      </c>
      <c r="K19" s="3143" t="s">
        <v>3143</v>
      </c>
      <c r="L19" s="3143" t="s">
        <v>3144</v>
      </c>
      <c r="M19" s="3143" t="s">
        <v>3097</v>
      </c>
      <c r="N19" s="3143" t="s">
        <v>3145</v>
      </c>
      <c r="O19" s="3143">
        <v>71000</v>
      </c>
      <c r="P19" s="3143">
        <v>110000</v>
      </c>
      <c r="Q19" s="3143">
        <v>4859.9399999999996</v>
      </c>
      <c r="R19" s="3143">
        <v>18224.900000000001</v>
      </c>
      <c r="S19" s="3143" t="s">
        <v>2942</v>
      </c>
      <c r="T19" s="3143">
        <v>54.93</v>
      </c>
      <c r="U19" s="3143" t="s">
        <v>3099</v>
      </c>
    </row>
    <row r="20" spans="1:21" s="3143" customFormat="1">
      <c r="A20" s="3143" t="s">
        <v>3146</v>
      </c>
      <c r="B20" s="3143" t="s">
        <v>3091</v>
      </c>
      <c r="C20" s="3143" t="s">
        <v>3092</v>
      </c>
      <c r="D20" s="3143" t="s">
        <v>3093</v>
      </c>
      <c r="E20" s="3143">
        <v>27500</v>
      </c>
      <c r="F20" s="3143">
        <v>110000</v>
      </c>
      <c r="G20" s="3143">
        <v>4</v>
      </c>
      <c r="H20" s="3143" t="s">
        <v>2942</v>
      </c>
      <c r="I20" s="3143" t="s">
        <v>3147</v>
      </c>
      <c r="J20" s="3143" t="s">
        <v>3148</v>
      </c>
      <c r="K20" s="3143" t="s">
        <v>3148</v>
      </c>
      <c r="L20" s="3143" t="s">
        <v>3149</v>
      </c>
      <c r="M20" s="3143" t="s">
        <v>3097</v>
      </c>
      <c r="N20" s="3143" t="s">
        <v>3150</v>
      </c>
      <c r="O20" s="3143">
        <v>129000</v>
      </c>
      <c r="P20" s="3143">
        <v>176000</v>
      </c>
      <c r="Q20" s="3143">
        <v>4266.67</v>
      </c>
      <c r="R20" s="3143">
        <v>16000</v>
      </c>
      <c r="S20" s="3143" t="s">
        <v>2942</v>
      </c>
      <c r="T20" s="3143">
        <v>36.43</v>
      </c>
      <c r="U20" s="3143" t="s">
        <v>3115</v>
      </c>
    </row>
    <row r="21" spans="1:21" s="3143" customFormat="1">
      <c r="A21" s="3143" t="s">
        <v>3151</v>
      </c>
      <c r="B21" s="3143" t="s">
        <v>3091</v>
      </c>
      <c r="C21" s="3143" t="s">
        <v>3092</v>
      </c>
      <c r="D21" s="3143" t="s">
        <v>3093</v>
      </c>
      <c r="E21" s="3143">
        <v>35708.800000000003</v>
      </c>
      <c r="F21" s="3143">
        <v>336000</v>
      </c>
      <c r="G21" s="3143">
        <v>9.4</v>
      </c>
      <c r="H21" s="3143" t="s">
        <v>2942</v>
      </c>
      <c r="I21" s="3143" t="s">
        <v>3152</v>
      </c>
      <c r="J21" s="3143" t="s">
        <v>3153</v>
      </c>
      <c r="K21" s="3143" t="s">
        <v>3153</v>
      </c>
      <c r="L21" s="3143" t="s">
        <v>3154</v>
      </c>
      <c r="M21" s="3143" t="s">
        <v>3097</v>
      </c>
      <c r="N21" s="3143" t="s">
        <v>3155</v>
      </c>
      <c r="O21" s="3143">
        <v>504000</v>
      </c>
      <c r="P21" s="3143">
        <v>504000</v>
      </c>
      <c r="Q21" s="3143">
        <v>9409.4500000000007</v>
      </c>
      <c r="R21" s="3143">
        <v>15000</v>
      </c>
      <c r="S21" s="3143" t="s">
        <v>2942</v>
      </c>
      <c r="T21" s="3143">
        <v>0</v>
      </c>
      <c r="U21" s="3143" t="s">
        <v>3115</v>
      </c>
    </row>
    <row r="22" spans="1:21" s="3143" customFormat="1">
      <c r="A22" s="3143" t="s">
        <v>3156</v>
      </c>
      <c r="B22" s="3143" t="s">
        <v>3091</v>
      </c>
      <c r="C22" s="3143" t="s">
        <v>3092</v>
      </c>
      <c r="D22" s="3143" t="s">
        <v>3157</v>
      </c>
      <c r="E22" s="3143">
        <v>35418.839999999997</v>
      </c>
      <c r="F22" s="3143">
        <v>141675</v>
      </c>
      <c r="G22" s="3143">
        <v>4</v>
      </c>
      <c r="H22" s="3143" t="s">
        <v>2942</v>
      </c>
      <c r="I22" s="3143" t="s">
        <v>3158</v>
      </c>
      <c r="J22" s="3143" t="s">
        <v>3159</v>
      </c>
      <c r="K22" s="3143" t="s">
        <v>3159</v>
      </c>
      <c r="L22" s="3143" t="s">
        <v>3160</v>
      </c>
      <c r="M22" s="3143" t="s">
        <v>3097</v>
      </c>
      <c r="N22" s="3143" t="s">
        <v>3161</v>
      </c>
      <c r="O22" s="3143" t="s">
        <v>2942</v>
      </c>
      <c r="P22" s="3143">
        <v>255015</v>
      </c>
      <c r="Q22" s="3143">
        <v>4799.99</v>
      </c>
      <c r="R22" s="3143">
        <v>18000</v>
      </c>
      <c r="S22" s="3143" t="s">
        <v>2942</v>
      </c>
      <c r="T22" s="3143" t="s">
        <v>2942</v>
      </c>
      <c r="U22" s="3143" t="s">
        <v>3115</v>
      </c>
    </row>
    <row r="23" spans="1:21" s="3143" customFormat="1">
      <c r="A23" s="3143" t="s">
        <v>3162</v>
      </c>
      <c r="B23" s="3143" t="s">
        <v>3091</v>
      </c>
      <c r="C23" s="3143" t="s">
        <v>3092</v>
      </c>
      <c r="D23" s="3143" t="s">
        <v>3093</v>
      </c>
      <c r="E23" s="3143">
        <v>19979.490000000002</v>
      </c>
      <c r="F23" s="3143">
        <v>120000</v>
      </c>
      <c r="G23" s="3143">
        <v>6</v>
      </c>
      <c r="H23" s="3143" t="s">
        <v>2942</v>
      </c>
      <c r="I23" s="3143" t="s">
        <v>3163</v>
      </c>
      <c r="J23" s="3143" t="s">
        <v>3164</v>
      </c>
      <c r="K23" s="3143" t="s">
        <v>3164</v>
      </c>
      <c r="L23" s="3143" t="s">
        <v>3165</v>
      </c>
      <c r="M23" s="3143" t="s">
        <v>3097</v>
      </c>
      <c r="N23" s="3143" t="s">
        <v>3166</v>
      </c>
      <c r="O23" s="3143">
        <v>180000</v>
      </c>
      <c r="P23" s="3143">
        <v>251000</v>
      </c>
      <c r="Q23" s="3143">
        <v>8375.26</v>
      </c>
      <c r="R23" s="3143">
        <v>20916.66</v>
      </c>
      <c r="S23" s="3143" t="s">
        <v>2942</v>
      </c>
      <c r="T23" s="3143">
        <v>39.44</v>
      </c>
      <c r="U23" s="3143" t="s">
        <v>3115</v>
      </c>
    </row>
    <row r="24" spans="1:21" s="3143" customFormat="1">
      <c r="A24" s="3143" t="s">
        <v>3167</v>
      </c>
      <c r="B24" s="3143" t="s">
        <v>3091</v>
      </c>
      <c r="C24" s="3143" t="s">
        <v>3092</v>
      </c>
      <c r="D24" s="3143" t="s">
        <v>3093</v>
      </c>
      <c r="E24" s="3143">
        <v>20070.2</v>
      </c>
      <c r="F24" s="3143">
        <v>45275</v>
      </c>
      <c r="G24" s="3143">
        <v>2.2599999999999998</v>
      </c>
      <c r="H24" s="3143" t="s">
        <v>2942</v>
      </c>
      <c r="I24" s="3143" t="s">
        <v>3168</v>
      </c>
      <c r="J24" s="3143" t="s">
        <v>3169</v>
      </c>
      <c r="K24" s="3143" t="s">
        <v>3169</v>
      </c>
      <c r="L24" s="3143" t="s">
        <v>3170</v>
      </c>
      <c r="M24" s="3143" t="s">
        <v>3097</v>
      </c>
      <c r="N24" s="3143" t="s">
        <v>3171</v>
      </c>
      <c r="O24" s="3143">
        <v>55000</v>
      </c>
      <c r="P24" s="3143">
        <v>55000</v>
      </c>
      <c r="Q24" s="3143">
        <v>1826.92</v>
      </c>
      <c r="R24" s="3143">
        <v>12147.97</v>
      </c>
      <c r="S24" s="3143" t="s">
        <v>2942</v>
      </c>
      <c r="T24" s="3143">
        <v>0</v>
      </c>
      <c r="U24" s="3143" t="s">
        <v>3115</v>
      </c>
    </row>
    <row r="25" spans="1:21" s="3143" customFormat="1">
      <c r="A25" s="3143" t="s">
        <v>3172</v>
      </c>
      <c r="B25" s="3143" t="s">
        <v>3091</v>
      </c>
      <c r="C25" s="3143" t="s">
        <v>3092</v>
      </c>
      <c r="D25" s="3143" t="s">
        <v>3093</v>
      </c>
      <c r="E25" s="3143">
        <v>21137.72</v>
      </c>
      <c r="F25" s="3143">
        <v>84551</v>
      </c>
      <c r="G25" s="3143">
        <v>4</v>
      </c>
      <c r="H25" s="3143" t="s">
        <v>2942</v>
      </c>
      <c r="I25" s="3143" t="s">
        <v>3173</v>
      </c>
      <c r="J25" s="3143" t="s">
        <v>3174</v>
      </c>
      <c r="K25" s="3143" t="s">
        <v>3174</v>
      </c>
      <c r="L25" s="3143" t="s">
        <v>3175</v>
      </c>
      <c r="M25" s="3143" t="s">
        <v>3097</v>
      </c>
      <c r="N25" s="3143" t="s">
        <v>3176</v>
      </c>
      <c r="O25" s="3143">
        <v>85000</v>
      </c>
      <c r="P25" s="3143">
        <v>85000</v>
      </c>
      <c r="Q25" s="3143">
        <v>2680.83</v>
      </c>
      <c r="R25" s="3143">
        <v>10053.1</v>
      </c>
      <c r="S25" s="3143" t="s">
        <v>2942</v>
      </c>
      <c r="T25" s="3143">
        <v>0</v>
      </c>
      <c r="U25" s="3143" t="s">
        <v>3115</v>
      </c>
    </row>
    <row r="26" spans="1:21" s="3143" customFormat="1">
      <c r="A26" s="3143" t="s">
        <v>3177</v>
      </c>
      <c r="B26" s="3143" t="s">
        <v>3091</v>
      </c>
      <c r="C26" s="3143" t="s">
        <v>3092</v>
      </c>
      <c r="D26" s="3143" t="s">
        <v>3093</v>
      </c>
      <c r="E26" s="3143">
        <v>54711.27</v>
      </c>
      <c r="F26" s="3143">
        <v>164134</v>
      </c>
      <c r="G26" s="3143">
        <v>3</v>
      </c>
      <c r="H26" s="3143" t="s">
        <v>2942</v>
      </c>
      <c r="I26" s="3143" t="s">
        <v>3178</v>
      </c>
      <c r="J26" s="3143" t="s">
        <v>3179</v>
      </c>
      <c r="K26" s="3143" t="s">
        <v>3179</v>
      </c>
      <c r="L26" s="3143" t="s">
        <v>3180</v>
      </c>
      <c r="M26" s="3143" t="s">
        <v>3097</v>
      </c>
      <c r="N26" s="3143" t="s">
        <v>3181</v>
      </c>
      <c r="O26" s="3143">
        <v>165000</v>
      </c>
      <c r="P26" s="3143">
        <v>258000</v>
      </c>
      <c r="Q26" s="3143">
        <v>3143.78</v>
      </c>
      <c r="R26" s="3143">
        <v>15718.86</v>
      </c>
      <c r="S26" s="3143" t="s">
        <v>2942</v>
      </c>
      <c r="T26" s="3143">
        <v>56.36</v>
      </c>
      <c r="U26" s="3143" t="s">
        <v>3115</v>
      </c>
    </row>
    <row r="27" spans="1:21" s="3143" customFormat="1">
      <c r="A27" s="3143" t="s">
        <v>3182</v>
      </c>
      <c r="B27" s="3143" t="s">
        <v>3091</v>
      </c>
      <c r="C27" s="3143" t="s">
        <v>3092</v>
      </c>
      <c r="D27" s="3143" t="s">
        <v>3093</v>
      </c>
      <c r="E27" s="3143">
        <v>4435.8599999999997</v>
      </c>
      <c r="F27" s="3143">
        <v>10000</v>
      </c>
      <c r="G27" s="3143">
        <v>2.25</v>
      </c>
      <c r="H27" s="3143" t="s">
        <v>2942</v>
      </c>
      <c r="I27" s="3143" t="s">
        <v>3183</v>
      </c>
      <c r="J27" s="3143" t="s">
        <v>3178</v>
      </c>
      <c r="K27" s="3143" t="s">
        <v>3178</v>
      </c>
      <c r="L27" s="3143" t="s">
        <v>3184</v>
      </c>
      <c r="M27" s="3143" t="s">
        <v>3097</v>
      </c>
      <c r="N27" s="3143" t="s">
        <v>3185</v>
      </c>
      <c r="O27" s="3143">
        <v>15350</v>
      </c>
      <c r="P27" s="3143">
        <v>15350</v>
      </c>
      <c r="Q27" s="3143">
        <v>2306.96</v>
      </c>
      <c r="R27" s="3143">
        <v>15350</v>
      </c>
      <c r="S27" s="3143" t="s">
        <v>2942</v>
      </c>
      <c r="T27" s="3143">
        <v>0</v>
      </c>
      <c r="U27" s="3143" t="s">
        <v>3115</v>
      </c>
    </row>
    <row r="69" spans="10:14" ht="14.25" thickBot="1"/>
    <row r="70" spans="10:14" ht="15" thickBot="1">
      <c r="J70" s="3707" t="s">
        <v>217</v>
      </c>
      <c r="K70" s="3708">
        <f>项目基本情况!B3</f>
        <v>42928</v>
      </c>
      <c r="L70" s="3709"/>
      <c r="M70" s="3709"/>
      <c r="N70" s="3709"/>
    </row>
    <row r="71" spans="10:14" ht="40.5">
      <c r="J71" s="3710" t="s">
        <v>3245</v>
      </c>
      <c r="K71" s="3711" t="s">
        <v>3246</v>
      </c>
      <c r="L71" s="3712" t="s">
        <v>3247</v>
      </c>
      <c r="M71" s="3711" t="s">
        <v>3248</v>
      </c>
      <c r="N71" s="3713" t="s">
        <v>3249</v>
      </c>
    </row>
    <row r="72" spans="10:14" ht="14.25">
      <c r="J72" s="3714">
        <v>40</v>
      </c>
      <c r="K72" s="3715">
        <v>43577</v>
      </c>
      <c r="L72" s="3716">
        <f>ROUNDDOWN(MIN((K72-K70)/365,J72),2)</f>
        <v>1.77</v>
      </c>
      <c r="M72" s="3717">
        <f>IF(ISERROR(ROUND(POWER(1+N72,J72-L72)*(POWER(1+N72,L72)-1)/(POWER(1+N72,J72)-1),3)),0,ROUND(POWER(1+N72,J72-L72)*(POWER(1+N72,L72)-1)/(POWER(1+N72,J72)-1),3))</f>
        <v>0.14000000000000001</v>
      </c>
      <c r="N72" s="3718">
        <v>8.5000000000000006E-2</v>
      </c>
    </row>
    <row r="73" spans="10:14" ht="14.25">
      <c r="J73" s="3714"/>
      <c r="K73" s="3715"/>
      <c r="L73" s="3716">
        <f>ROUNDDOWN(MIN((K73-$B$1)/365,J73),2)</f>
        <v>0</v>
      </c>
      <c r="M73" s="3717">
        <f>IF(ISERROR(ROUND(POWER(1+N73,J73-L73)*(POWER(1+N73,L73)-1)/(POWER(1+N73,J73)-1),3)),0,ROUND(POWER(1+N73,J73-L73)*(POWER(1+N73,L73)-1)/(POWER(1+N73,J73)-1),3))</f>
        <v>0</v>
      </c>
      <c r="N73" s="3718">
        <v>0.04</v>
      </c>
    </row>
    <row r="74" spans="10:14" ht="15" thickBot="1">
      <c r="J74" s="3719"/>
      <c r="K74" s="3720"/>
      <c r="L74" s="3721">
        <f>ROUNDDOWN(MIN((K74-$B$1)/365,J74),2)</f>
        <v>0</v>
      </c>
      <c r="M74" s="3722">
        <f>IF(ISERROR(ROUND(POWER(1+N74,J74-L74)*(POWER(1+N74,L74)-1)/(POWER(1+N74,J74)-1),3)),0,ROUND(POWER(1+N74,J74-L74)*(POWER(1+N74,L74)-1)/(POWER(1+N74,J74)-1),3))</f>
        <v>0</v>
      </c>
      <c r="N74" s="3723">
        <v>0.04</v>
      </c>
    </row>
  </sheetData>
  <phoneticPr fontId="205" type="noConversion"/>
  <dataValidations count="1">
    <dataValidation type="list" allowBlank="1" showInputMessage="1" showErrorMessage="1" sqref="J72:J74">
      <formula1>"40,50,70"</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6" t="s">
        <v>2043</v>
      </c>
      <c r="B1" s="3346"/>
      <c r="C1" s="3346"/>
      <c r="D1" s="3346"/>
      <c r="E1" s="3346"/>
      <c r="F1" s="3346"/>
      <c r="G1" s="3346"/>
      <c r="H1" s="3346"/>
      <c r="I1" s="3346"/>
    </row>
    <row r="2" spans="1:9" ht="30" customHeight="1" thickTop="1">
      <c r="A2" s="3347" t="s">
        <v>2880</v>
      </c>
      <c r="B2" s="3347" t="s">
        <v>2044</v>
      </c>
      <c r="C2" s="3347" t="s">
        <v>2045</v>
      </c>
      <c r="D2" s="3347" t="str">
        <f>结果表!D116</f>
        <v>出让国有建设用地使用权价值</v>
      </c>
      <c r="E2" s="3347"/>
      <c r="F2" s="3347" t="str">
        <f>结果表!F116</f>
        <v>在建建筑物价值</v>
      </c>
      <c r="G2" s="3347"/>
      <c r="H2" s="3347" t="s">
        <v>6</v>
      </c>
      <c r="I2" s="3347"/>
    </row>
    <row r="3" spans="1:9" ht="14.25">
      <c r="A3" s="3348"/>
      <c r="B3" s="3348"/>
      <c r="C3" s="3348"/>
      <c r="D3" s="1914" t="s">
        <v>7</v>
      </c>
      <c r="E3" s="1914" t="s">
        <v>2046</v>
      </c>
      <c r="F3" s="1914" t="s">
        <v>7</v>
      </c>
      <c r="G3" s="1914" t="s">
        <v>8</v>
      </c>
      <c r="H3" s="1914" t="s">
        <v>7</v>
      </c>
      <c r="I3" s="1914" t="s">
        <v>8</v>
      </c>
    </row>
    <row r="4" spans="1:9" ht="15">
      <c r="A4" s="1984" t="str">
        <f>项目基本情况!S2</f>
        <v>房地产</v>
      </c>
      <c r="B4" s="1978">
        <f>项目基本情况!C17</f>
        <v>7148.0899999999992</v>
      </c>
      <c r="C4" s="1978">
        <f>项目基本情况!C18</f>
        <v>1927.24</v>
      </c>
      <c r="D4" s="1978" t="e">
        <f ca="1">结果表!D118</f>
        <v>#REF!</v>
      </c>
      <c r="E4" s="1978" t="e">
        <f ca="1">结果表!E118</f>
        <v>#REF!</v>
      </c>
      <c r="F4" s="1978" t="e">
        <f ca="1">结果表!F118</f>
        <v>#REF!</v>
      </c>
      <c r="G4" s="1978" t="e">
        <f ca="1">结果表!G118</f>
        <v>#REF!</v>
      </c>
      <c r="H4" s="1978">
        <f ca="1">结果表!H118</f>
        <v>17005</v>
      </c>
      <c r="I4" s="1978">
        <f ca="1">结果表!I118</f>
        <v>23790</v>
      </c>
    </row>
    <row r="5" spans="1:9" ht="30" customHeight="1">
      <c r="A5" s="3348" t="s">
        <v>9</v>
      </c>
      <c r="B5" s="3348"/>
      <c r="C5" s="3348"/>
      <c r="D5" s="3349" t="e">
        <f ca="1">结果表!D119</f>
        <v>#REF!</v>
      </c>
      <c r="E5" s="3349"/>
      <c r="F5" s="3349" t="e">
        <f ca="1">结果表!F119</f>
        <v>#REF!</v>
      </c>
      <c r="G5" s="3349"/>
      <c r="H5" s="3349" t="str">
        <f ca="1">结果表!H119</f>
        <v>壹亿柒仟零伍万元整</v>
      </c>
      <c r="I5" s="3349"/>
    </row>
    <row r="6" spans="1:9" ht="15.75">
      <c r="A6" s="3350" t="str">
        <f>结果表!A120</f>
        <v>估价师知悉的法定优先受偿款</v>
      </c>
      <c r="B6" s="3350"/>
      <c r="C6" s="3350"/>
      <c r="D6" s="3351">
        <f>结果表!D120</f>
        <v>0</v>
      </c>
      <c r="E6" s="3351"/>
      <c r="F6" s="3351"/>
      <c r="G6" s="3351"/>
      <c r="H6" s="3351"/>
      <c r="I6" s="3351"/>
    </row>
    <row r="7" spans="1:9" ht="14.25">
      <c r="A7" s="3348" t="s">
        <v>9</v>
      </c>
      <c r="B7" s="3348"/>
      <c r="C7" s="3348"/>
      <c r="D7" s="3352" t="str">
        <f>结果表!D121</f>
        <v>零元整</v>
      </c>
      <c r="E7" s="3353"/>
      <c r="F7" s="3353"/>
      <c r="G7" s="3353"/>
      <c r="H7" s="3353"/>
      <c r="I7" s="3354"/>
    </row>
    <row r="8" spans="1:9" ht="15.75">
      <c r="A8" s="3350" t="str">
        <f>结果表!A122</f>
        <v>房地产抵押价值</v>
      </c>
      <c r="B8" s="3350"/>
      <c r="C8" s="3350"/>
      <c r="D8" s="3351">
        <f ca="1">结果表!D122</f>
        <v>17005</v>
      </c>
      <c r="E8" s="3351"/>
      <c r="F8" s="3351"/>
      <c r="G8" s="3351"/>
      <c r="H8" s="3351"/>
      <c r="I8" s="3351"/>
    </row>
    <row r="9" spans="1:9" ht="14.25">
      <c r="A9" s="3348" t="s">
        <v>9</v>
      </c>
      <c r="B9" s="3348"/>
      <c r="C9" s="3348"/>
      <c r="D9" s="3349" t="str">
        <f ca="1">结果表!D123</f>
        <v>壹亿柒仟零伍万元整</v>
      </c>
      <c r="E9" s="3349"/>
      <c r="F9" s="3349"/>
      <c r="G9" s="3349"/>
      <c r="H9" s="3349"/>
      <c r="I9" s="3349"/>
    </row>
    <row r="10" spans="1:9" ht="15.75">
      <c r="A10" s="3350" t="str">
        <f>结果表!A124</f>
        <v/>
      </c>
      <c r="B10" s="3350"/>
      <c r="C10" s="3350"/>
      <c r="D10" s="3351" t="str">
        <f>结果表!D124</f>
        <v>——</v>
      </c>
      <c r="E10" s="3351"/>
      <c r="F10" s="3351"/>
      <c r="G10" s="3351"/>
      <c r="H10" s="3351"/>
      <c r="I10" s="3351"/>
    </row>
    <row r="11" spans="1:9" ht="14.25">
      <c r="A11" s="3348" t="s">
        <v>9</v>
      </c>
      <c r="B11" s="3348"/>
      <c r="C11" s="3348"/>
      <c r="D11" s="3349" t="e">
        <f>结果表!D125</f>
        <v>#VALUE!</v>
      </c>
      <c r="E11" s="3349"/>
      <c r="F11" s="3349"/>
      <c r="G11" s="3349"/>
      <c r="H11" s="3349"/>
      <c r="I11" s="3349"/>
    </row>
    <row r="12" spans="1:9" ht="15.75">
      <c r="A12" s="3350" t="str">
        <f>结果表!A126</f>
        <v/>
      </c>
      <c r="B12" s="3350"/>
      <c r="C12" s="3350"/>
      <c r="D12" s="3351" t="str">
        <f>结果表!D126</f>
        <v>——</v>
      </c>
      <c r="E12" s="3351"/>
      <c r="F12" s="3351"/>
      <c r="G12" s="3351"/>
      <c r="H12" s="3351"/>
      <c r="I12" s="3351"/>
    </row>
    <row r="13" spans="1:9" ht="15" thickBot="1">
      <c r="A13" s="3355" t="s">
        <v>9</v>
      </c>
      <c r="B13" s="3355"/>
      <c r="C13" s="3355"/>
      <c r="D13" s="3356" t="e">
        <f>结果表!D127</f>
        <v>#VALUE!</v>
      </c>
      <c r="E13" s="3356"/>
      <c r="F13" s="3356"/>
      <c r="G13" s="3356"/>
      <c r="H13" s="3356"/>
      <c r="I13" s="3356"/>
    </row>
    <row r="14" spans="1:9" ht="14.25" thickTop="1">
      <c r="A14" s="3357" t="s">
        <v>2047</v>
      </c>
      <c r="B14" s="3357"/>
      <c r="C14" s="3357"/>
      <c r="D14" s="3357"/>
      <c r="E14" s="3357"/>
      <c r="F14" s="3357"/>
      <c r="G14" s="3357"/>
      <c r="H14" s="3357"/>
      <c r="I14" s="3357"/>
    </row>
    <row r="16" spans="1:9" ht="18.75">
      <c r="A16" s="1993" t="s">
        <v>2048</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8" t="s">
        <v>2856</v>
      </c>
      <c r="B1" s="3358"/>
      <c r="C1" s="3358"/>
      <c r="D1" s="3358"/>
    </row>
    <row r="2" spans="1:4" ht="18.75">
      <c r="A2" s="3359" t="s">
        <v>2116</v>
      </c>
      <c r="B2" s="3359"/>
      <c r="C2" s="3359"/>
      <c r="D2" s="3359"/>
    </row>
    <row r="3" spans="1:4" ht="18.75">
      <c r="A3" s="2613" t="s">
        <v>2117</v>
      </c>
      <c r="B3" s="2613" t="s">
        <v>2118</v>
      </c>
      <c r="C3" s="2613" t="s">
        <v>2119</v>
      </c>
      <c r="D3" s="2613" t="s">
        <v>2120</v>
      </c>
    </row>
    <row r="4" spans="1:4" ht="56.25" customHeight="1">
      <c r="A4" s="2619">
        <f>项目基本情况!B4</f>
        <v>0</v>
      </c>
      <c r="B4" s="2614">
        <f>项目基本情况!C4</f>
        <v>0</v>
      </c>
      <c r="C4" s="2617"/>
      <c r="D4" s="2615" t="s">
        <v>2121</v>
      </c>
    </row>
    <row r="5" spans="1:4" ht="56.25" customHeight="1">
      <c r="A5" s="2619">
        <f>项目基本情况!D4</f>
        <v>0</v>
      </c>
      <c r="B5" s="2614">
        <f>项目基本情况!E4</f>
        <v>0</v>
      </c>
      <c r="C5" s="2618"/>
      <c r="D5" s="2615" t="s">
        <v>2121</v>
      </c>
    </row>
    <row r="6" spans="1:4" ht="18.75">
      <c r="A6" s="3359" t="s">
        <v>2618</v>
      </c>
      <c r="B6" s="3359"/>
      <c r="C6" s="3359"/>
      <c r="D6" s="3359"/>
    </row>
    <row r="7" spans="1:4" ht="18.75">
      <c r="A7" s="2613" t="s">
        <v>2117</v>
      </c>
      <c r="B7" s="2614" t="s">
        <v>2122</v>
      </c>
      <c r="C7" s="2613" t="s">
        <v>2119</v>
      </c>
      <c r="D7" s="2613" t="s">
        <v>2120</v>
      </c>
    </row>
    <row r="8" spans="1:4" ht="56.25" customHeight="1">
      <c r="A8" s="2616" t="s">
        <v>2123</v>
      </c>
      <c r="B8" s="2616" t="s">
        <v>23</v>
      </c>
      <c r="C8" s="2617"/>
      <c r="D8" s="2615" t="s">
        <v>2121</v>
      </c>
    </row>
    <row r="9" spans="1:4">
      <c r="A9" s="1496"/>
      <c r="B9" s="1496"/>
      <c r="C9" s="1496"/>
      <c r="D9" s="1496"/>
    </row>
    <row r="10" spans="1:4" ht="18.75">
      <c r="A10" s="2095" t="s">
        <v>2124</v>
      </c>
      <c r="B10" s="1496"/>
      <c r="C10" s="1496"/>
      <c r="D10" s="1496"/>
    </row>
    <row r="11" spans="1:4" ht="30" customHeight="1">
      <c r="A11" s="3360" t="s">
        <v>2710</v>
      </c>
      <c r="B11" s="3361"/>
      <c r="C11" s="3361"/>
      <c r="D11" s="3361"/>
    </row>
    <row r="12" spans="1:4" ht="14.25">
      <c r="A12" s="3361" t="str">
        <f>IF(项目基本情况!B8="抵押","2.本《评估意见函》仅供金融机构进行内部审核使用，不做其他目的之用。","")</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4" t="s">
        <v>2128</v>
      </c>
      <c r="B16" s="3364"/>
      <c r="C16" s="3364"/>
      <c r="D16" s="3364"/>
    </row>
    <row r="17" spans="1:4" ht="144" customHeight="1">
      <c r="A17" s="3364" t="s">
        <v>2129</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2878</v>
      </c>
      <c r="B22" s="3366"/>
      <c r="C22" s="3366"/>
      <c r="D22" s="3366"/>
    </row>
    <row r="23" spans="1:4">
      <c r="A23" s="1985"/>
      <c r="B23" s="1994"/>
      <c r="C23" s="1994"/>
      <c r="D23" s="1994"/>
    </row>
    <row r="24" spans="1:4">
      <c r="A24" s="1985"/>
      <c r="B24" s="1994"/>
      <c r="C24" s="1994"/>
      <c r="D24" s="1994"/>
    </row>
    <row r="25" spans="1:4" ht="18.75">
      <c r="A25" s="1983" t="s">
        <v>2125</v>
      </c>
    </row>
    <row r="26" spans="1:4" ht="18.75">
      <c r="A26" s="1955"/>
    </row>
    <row r="27" spans="1:4" ht="18.75">
      <c r="A27" s="1955" t="s">
        <v>2126</v>
      </c>
    </row>
    <row r="30" spans="1:4" ht="18.75">
      <c r="D30" s="1983" t="s">
        <v>2127</v>
      </c>
    </row>
    <row r="31" spans="1:4" ht="13.5" customHeight="1">
      <c r="C31" s="3363">
        <v>42551</v>
      </c>
      <c r="D31" s="336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5" t="s">
        <v>2132</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579</v>
      </c>
    </row>
    <row r="3" spans="1:7">
      <c r="A3" s="1139" t="s">
        <v>552</v>
      </c>
      <c r="B3" s="1140" t="s">
        <v>553</v>
      </c>
      <c r="G3" s="1141"/>
    </row>
    <row r="4" spans="1:7">
      <c r="G4" s="1141"/>
    </row>
    <row r="5" spans="1:7">
      <c r="A5" s="1143" t="s">
        <v>543</v>
      </c>
      <c r="B5" s="1140" t="s">
        <v>554</v>
      </c>
      <c r="G5" s="1141"/>
    </row>
    <row r="6" spans="1:7">
      <c r="G6" s="1141"/>
    </row>
    <row r="7" spans="1:7">
      <c r="A7" s="1144" t="s">
        <v>1136</v>
      </c>
      <c r="B7" s="1140" t="s">
        <v>555</v>
      </c>
      <c r="G7" s="1141"/>
    </row>
    <row r="8" spans="1:7">
      <c r="G8" s="1141"/>
    </row>
    <row r="9" spans="1:7">
      <c r="A9" s="1145" t="s">
        <v>544</v>
      </c>
      <c r="B9" s="1140" t="s">
        <v>556</v>
      </c>
    </row>
    <row r="11" spans="1:7">
      <c r="A11" s="1146" t="s">
        <v>545</v>
      </c>
      <c r="B11" s="1147" t="s">
        <v>542</v>
      </c>
    </row>
    <row r="13" spans="1:7">
      <c r="A13" s="1148" t="s">
        <v>557</v>
      </c>
    </row>
    <row r="15" spans="1:7" ht="13.5">
      <c r="A15" s="3372" t="s">
        <v>558</v>
      </c>
      <c r="B15" s="3367" t="s">
        <v>1137</v>
      </c>
      <c r="C15" s="3368"/>
    </row>
    <row r="16" spans="1:7" ht="13.5">
      <c r="A16" s="3373"/>
      <c r="B16" s="3367" t="s">
        <v>531</v>
      </c>
      <c r="C16" s="3368"/>
    </row>
    <row r="17" spans="1:3" ht="13.5">
      <c r="A17" s="3373"/>
      <c r="B17" s="3370" t="s">
        <v>559</v>
      </c>
      <c r="C17" s="1149" t="s">
        <v>558</v>
      </c>
    </row>
    <row r="18" spans="1:3" ht="13.5">
      <c r="A18" s="3373"/>
      <c r="B18" s="3370"/>
      <c r="C18" s="1149" t="s">
        <v>560</v>
      </c>
    </row>
    <row r="19" spans="1:3" ht="13.5">
      <c r="A19" s="3373"/>
      <c r="B19" s="3370"/>
      <c r="C19" s="1149" t="s">
        <v>561</v>
      </c>
    </row>
    <row r="20" spans="1:3" ht="13.5">
      <c r="A20" s="3374"/>
      <c r="B20" s="3369" t="s">
        <v>562</v>
      </c>
      <c r="C20" s="3368"/>
    </row>
    <row r="21" spans="1:3" ht="13.5">
      <c r="A21" s="1150" t="s">
        <v>563</v>
      </c>
      <c r="B21" s="1151"/>
      <c r="C21" s="1152"/>
    </row>
    <row r="22" spans="1:3" ht="13.5">
      <c r="A22" s="3371" t="s">
        <v>564</v>
      </c>
      <c r="B22" s="3369" t="s">
        <v>565</v>
      </c>
      <c r="C22" s="3368"/>
    </row>
    <row r="23" spans="1:3" ht="13.5">
      <c r="A23" s="3371"/>
      <c r="B23" s="3369" t="s">
        <v>566</v>
      </c>
      <c r="C23" s="3368"/>
    </row>
    <row r="24" spans="1:3" ht="13.5">
      <c r="A24" s="3371"/>
      <c r="B24" s="3369" t="s">
        <v>567</v>
      </c>
      <c r="C24" s="3368"/>
    </row>
    <row r="25" spans="1:3" ht="13.5">
      <c r="A25" s="3371"/>
      <c r="B25" s="3370" t="s">
        <v>568</v>
      </c>
      <c r="C25" s="1149" t="s">
        <v>569</v>
      </c>
    </row>
    <row r="26" spans="1:3" ht="13.5">
      <c r="A26" s="3371"/>
      <c r="B26" s="3370"/>
      <c r="C26" s="1149" t="s">
        <v>570</v>
      </c>
    </row>
    <row r="27" spans="1:3" ht="13.5">
      <c r="A27" s="3371"/>
      <c r="B27" s="3370"/>
      <c r="C27" s="1149" t="s">
        <v>571</v>
      </c>
    </row>
    <row r="28" spans="1:3" ht="13.5">
      <c r="A28" s="3371"/>
      <c r="B28" s="3370"/>
      <c r="C28" s="1149" t="s">
        <v>572</v>
      </c>
    </row>
    <row r="29" spans="1:3" ht="13.5">
      <c r="A29" s="3371"/>
      <c r="B29" s="3370"/>
      <c r="C29" s="1149" t="s">
        <v>573</v>
      </c>
    </row>
    <row r="30" spans="1:3" ht="13.5">
      <c r="A30" s="3371"/>
      <c r="B30" s="3370"/>
      <c r="C30" s="1149" t="s">
        <v>574</v>
      </c>
    </row>
    <row r="31" spans="1:3" ht="13.5">
      <c r="A31" s="3371"/>
      <c r="B31" s="3370"/>
      <c r="C31" s="1149" t="s">
        <v>575</v>
      </c>
    </row>
    <row r="32" spans="1:3" ht="13.5">
      <c r="A32" s="3371"/>
      <c r="B32" s="3370"/>
      <c r="C32" s="1149" t="s">
        <v>576</v>
      </c>
    </row>
    <row r="33" spans="1:3" ht="13.5">
      <c r="A33" s="3371"/>
      <c r="B33" s="3370"/>
      <c r="C33" s="1149" t="s">
        <v>577</v>
      </c>
    </row>
    <row r="34" spans="1:3">
      <c r="A34" s="1153" t="s">
        <v>546</v>
      </c>
    </row>
    <row r="37" spans="1:3">
      <c r="A37" s="1153" t="s">
        <v>578</v>
      </c>
    </row>
    <row r="38" spans="1:3" ht="13.5">
      <c r="A38" s="1154" t="s">
        <v>547</v>
      </c>
    </row>
    <row r="39" spans="1:3" ht="13.5">
      <c r="A39" s="1154" t="s">
        <v>548</v>
      </c>
    </row>
    <row r="40" spans="1:3" ht="13.5">
      <c r="A40" s="1154" t="s">
        <v>549</v>
      </c>
    </row>
    <row r="41" spans="1:3" ht="13.5">
      <c r="A41" s="1155" t="s">
        <v>550</v>
      </c>
    </row>
    <row r="42" spans="1:3" ht="13.5">
      <c r="A42" s="1154"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1971</v>
      </c>
      <c r="B2" s="1892">
        <f ca="1">TODAY()</f>
        <v>42929</v>
      </c>
      <c r="C2" s="1893" t="s">
        <v>1972</v>
      </c>
      <c r="D2" s="1893"/>
    </row>
    <row r="3" spans="1:6" ht="24" customHeight="1">
      <c r="A3" s="1894" t="s">
        <v>1973</v>
      </c>
      <c r="B3" s="1895" t="s">
        <v>1974</v>
      </c>
      <c r="C3" s="1895" t="s">
        <v>1975</v>
      </c>
      <c r="D3" s="1896" t="s">
        <v>1976</v>
      </c>
      <c r="E3" s="1897" t="s">
        <v>1977</v>
      </c>
      <c r="F3" s="1895" t="s">
        <v>1975</v>
      </c>
    </row>
    <row r="4" spans="1:6" ht="24" customHeight="1">
      <c r="A4" s="3210" t="s">
        <v>1978</v>
      </c>
      <c r="B4" s="1897">
        <f ca="1">IF(C4&lt;B2,"已过期",1119970066)</f>
        <v>1119970066</v>
      </c>
      <c r="C4" s="3211">
        <v>43849</v>
      </c>
      <c r="D4" s="3210" t="s">
        <v>1978</v>
      </c>
      <c r="E4" s="1897">
        <f ca="1">IF(F4&lt;B2,"已过期",96010014)</f>
        <v>96010014</v>
      </c>
      <c r="F4" s="1906">
        <v>47118</v>
      </c>
    </row>
    <row r="5" spans="1:6" ht="24" customHeight="1">
      <c r="A5" s="3210" t="s">
        <v>1979</v>
      </c>
      <c r="B5" s="1897">
        <f ca="1">IF(C5&lt;B2,"已过期",1119970074)</f>
        <v>1119970074</v>
      </c>
      <c r="C5" s="3211">
        <v>43849</v>
      </c>
      <c r="D5" s="3210" t="s">
        <v>1979</v>
      </c>
      <c r="E5" s="1897">
        <f ca="1">IF(F5&lt;B2,"已过期",2002110027)</f>
        <v>2002110027</v>
      </c>
      <c r="F5" s="1906">
        <v>46752</v>
      </c>
    </row>
    <row r="6" spans="1:6" ht="24" customHeight="1">
      <c r="A6" s="3210" t="s">
        <v>1980</v>
      </c>
      <c r="B6" s="1897">
        <f ca="1">IF(C6&lt;B2,"已过期",1119970111)</f>
        <v>1119970111</v>
      </c>
      <c r="C6" s="3211">
        <v>43849</v>
      </c>
      <c r="D6" s="3210" t="s">
        <v>1980</v>
      </c>
      <c r="E6" s="1897">
        <f ca="1">IF(F6&lt;B2,"已过期",94010078)</f>
        <v>94010078</v>
      </c>
      <c r="F6" s="1906">
        <v>46387</v>
      </c>
    </row>
    <row r="7" spans="1:6" ht="24" customHeight="1">
      <c r="A7" s="3210" t="s">
        <v>1981</v>
      </c>
      <c r="B7" s="1897">
        <f ca="1">IF(C7&lt;B2,"已过期",1120050019)</f>
        <v>1120050019</v>
      </c>
      <c r="C7" s="3211">
        <v>43359</v>
      </c>
      <c r="D7" s="3210" t="s">
        <v>1981</v>
      </c>
      <c r="E7" s="1897">
        <f ca="1">IF(F7&lt;B2,"已过期",2002110030)</f>
        <v>2002110030</v>
      </c>
      <c r="F7" s="1906">
        <v>46387</v>
      </c>
    </row>
    <row r="8" spans="1:6" ht="24" customHeight="1">
      <c r="A8" s="3210" t="s">
        <v>1982</v>
      </c>
      <c r="B8" s="1897">
        <f ca="1">IF(C8&lt;B2,"已过期",1120000080)</f>
        <v>1120000080</v>
      </c>
      <c r="C8" s="3211">
        <v>43849</v>
      </c>
      <c r="D8" s="3210" t="s">
        <v>1982</v>
      </c>
      <c r="E8" s="1897">
        <f ca="1">IF(F8&lt;B2,"已过期",2000110082)</f>
        <v>2000110082</v>
      </c>
      <c r="F8" s="1906">
        <v>46387</v>
      </c>
    </row>
    <row r="9" spans="1:6" ht="24" customHeight="1">
      <c r="A9" s="3210" t="s">
        <v>1983</v>
      </c>
      <c r="B9" s="1897">
        <f ca="1">IF(C9&lt;B2,"已过期",1419970001)</f>
        <v>1419970001</v>
      </c>
      <c r="C9" s="3211">
        <v>43867</v>
      </c>
      <c r="D9" s="3210" t="s">
        <v>1983</v>
      </c>
      <c r="E9" s="1897">
        <f ca="1">IF(F9&lt;B2,"已过期",2002110125)</f>
        <v>2002110125</v>
      </c>
      <c r="F9" s="1906">
        <v>47118</v>
      </c>
    </row>
    <row r="10" spans="1:6" ht="24" customHeight="1">
      <c r="A10" s="3210" t="s">
        <v>1984</v>
      </c>
      <c r="B10" s="1897">
        <f ca="1">IF(C10&lt;B2,"已过期",1120060040)</f>
        <v>1120060040</v>
      </c>
      <c r="C10" s="3211">
        <v>43483</v>
      </c>
      <c r="D10" s="3210" t="s">
        <v>1984</v>
      </c>
      <c r="E10" s="1897">
        <f ca="1">IF(F10&lt;B2,"已过期",2004110096)</f>
        <v>2004110096</v>
      </c>
      <c r="F10" s="1906">
        <v>47118</v>
      </c>
    </row>
    <row r="11" spans="1:6" ht="24" customHeight="1">
      <c r="A11" s="3210" t="s">
        <v>1985</v>
      </c>
      <c r="B11" s="1897">
        <f ca="1">IF(C11&lt;B2,"已过期",1120100036)</f>
        <v>1120100036</v>
      </c>
      <c r="C11" s="3211">
        <v>43622</v>
      </c>
      <c r="D11" s="3210" t="s">
        <v>1985</v>
      </c>
      <c r="E11" s="1897">
        <f ca="1">IF(F11&lt;B2,"已过期",2010110070)</f>
        <v>2010110070</v>
      </c>
      <c r="F11" s="1906">
        <v>47907</v>
      </c>
    </row>
    <row r="12" spans="1:6" ht="24" customHeight="1">
      <c r="A12" s="3210"/>
      <c r="B12" s="1897"/>
      <c r="C12" s="3211"/>
      <c r="D12" s="3210"/>
      <c r="E12" s="1897"/>
      <c r="F12" s="1897"/>
    </row>
    <row r="13" spans="1:6" ht="24" customHeight="1">
      <c r="A13" s="3210" t="s">
        <v>1986</v>
      </c>
      <c r="B13" s="1897">
        <f ca="1">IF(C13&lt;B2,"已过期",1120070131)</f>
        <v>1120070131</v>
      </c>
      <c r="C13" s="3211">
        <v>43814</v>
      </c>
      <c r="D13" s="3210" t="s">
        <v>1986</v>
      </c>
      <c r="E13" s="1897">
        <v>2014110011</v>
      </c>
      <c r="F13" s="1906">
        <v>49302</v>
      </c>
    </row>
    <row r="14" spans="1:6" ht="24" customHeight="1">
      <c r="A14" s="3210" t="s">
        <v>1987</v>
      </c>
      <c r="B14" s="1897">
        <f ca="1">IF(C14&lt;B2,"已过期",1120130020)</f>
        <v>1120130020</v>
      </c>
      <c r="C14" s="3211">
        <v>43622</v>
      </c>
      <c r="D14" s="3210"/>
      <c r="E14" s="1897"/>
      <c r="F14" s="1897"/>
    </row>
    <row r="15" spans="1:6" ht="24" customHeight="1">
      <c r="A15" s="3212" t="s">
        <v>2708</v>
      </c>
      <c r="B15" s="1897">
        <v>1120070085</v>
      </c>
      <c r="C15" s="3211">
        <v>43814</v>
      </c>
      <c r="D15" s="3212" t="s">
        <v>2708</v>
      </c>
      <c r="E15" s="1897">
        <v>2004110128</v>
      </c>
      <c r="F15" s="1898">
        <v>47118</v>
      </c>
    </row>
    <row r="16" spans="1:6" ht="24" customHeight="1">
      <c r="A16" s="3210" t="s">
        <v>1988</v>
      </c>
      <c r="B16" s="1897">
        <f ca="1">IF(C16&lt;B2,"已过期",1120140022)</f>
        <v>1120140022</v>
      </c>
      <c r="C16" s="3211">
        <v>42987</v>
      </c>
      <c r="D16" s="3210" t="s">
        <v>1988</v>
      </c>
      <c r="E16" s="1897">
        <f ca="1">IF(F16&lt;B2,"已过期",2008110059)</f>
        <v>2008110059</v>
      </c>
      <c r="F16" s="1906">
        <v>47177</v>
      </c>
    </row>
    <row r="17" spans="1:7" ht="24" customHeight="1">
      <c r="A17" s="3210" t="s">
        <v>1989</v>
      </c>
      <c r="B17" s="1897">
        <f ca="1">IF(C17&lt;B2,"已过期",1120140020)</f>
        <v>1120140020</v>
      </c>
      <c r="C17" s="3211">
        <v>42987</v>
      </c>
      <c r="D17" s="3210"/>
      <c r="E17" s="1897"/>
      <c r="F17" s="1906"/>
    </row>
    <row r="18" spans="1:7" ht="24" customHeight="1">
      <c r="A18" s="3210" t="s">
        <v>1990</v>
      </c>
      <c r="B18" s="1897">
        <f ca="1">IF(C18&lt;B2,"已过期",1120140024)</f>
        <v>1120140024</v>
      </c>
      <c r="C18" s="3211">
        <v>42987</v>
      </c>
      <c r="D18" s="3210" t="s">
        <v>1990</v>
      </c>
      <c r="E18" s="1897">
        <f ca="1">IF(F18&lt;B2,"已过期",2011110048)</f>
        <v>2011110048</v>
      </c>
      <c r="F18" s="1906">
        <v>48302</v>
      </c>
    </row>
    <row r="19" spans="1:7" ht="24" customHeight="1">
      <c r="A19" s="3210" t="s">
        <v>1991</v>
      </c>
      <c r="B19" s="1897">
        <f ca="1">IF(C19&lt;B2,"已过期",1120140019)</f>
        <v>1120140019</v>
      </c>
      <c r="C19" s="3211">
        <v>42987</v>
      </c>
      <c r="D19" s="3210"/>
      <c r="E19" s="1897"/>
      <c r="F19" s="1897"/>
    </row>
    <row r="20" spans="1:7" ht="24" customHeight="1">
      <c r="A20" s="3210" t="s">
        <v>1992</v>
      </c>
      <c r="B20" s="1897">
        <f ca="1">IF(C20&lt;B2,"已过期",1120140023)</f>
        <v>1120140023</v>
      </c>
      <c r="C20" s="3211">
        <v>42987</v>
      </c>
      <c r="D20" s="3210"/>
      <c r="E20" s="1897"/>
      <c r="F20" s="1897"/>
    </row>
    <row r="21" spans="1:7" ht="24" customHeight="1">
      <c r="A21" s="3210"/>
      <c r="B21" s="1897"/>
      <c r="C21" s="3211"/>
      <c r="D21" s="3210" t="s">
        <v>1993</v>
      </c>
      <c r="E21" s="1897">
        <f ca="1">IF(F21&lt;B2,"已过期",2011110090)</f>
        <v>2011110090</v>
      </c>
      <c r="F21" s="1906">
        <v>48302</v>
      </c>
    </row>
    <row r="22" spans="1:7" ht="24" customHeight="1">
      <c r="A22" s="3210" t="s">
        <v>1994</v>
      </c>
      <c r="B22" s="1897">
        <f ca="1">IF(C22&lt;B2,"已过期",1120020033)</f>
        <v>1120020033</v>
      </c>
      <c r="C22" s="3211">
        <v>43304</v>
      </c>
      <c r="D22" s="3210" t="s">
        <v>1994</v>
      </c>
      <c r="E22" s="1897">
        <f ca="1">IF(F22&lt;B2,"已过期",2000110137)</f>
        <v>2000110137</v>
      </c>
      <c r="F22" s="1906">
        <v>46387</v>
      </c>
    </row>
    <row r="23" spans="1:7" ht="24" customHeight="1">
      <c r="A23" s="3210" t="s">
        <v>1995</v>
      </c>
      <c r="B23" s="1897">
        <f ca="1">IF(C23&lt;B2,"已过期",1120130048)</f>
        <v>1120130048</v>
      </c>
      <c r="C23" s="3211">
        <v>43686</v>
      </c>
      <c r="D23" s="3210"/>
      <c r="E23" s="1897"/>
      <c r="F23" s="1897"/>
    </row>
    <row r="24" spans="1:7" s="1899" customFormat="1" ht="24" customHeight="1">
      <c r="A24" s="3212" t="s">
        <v>2944</v>
      </c>
      <c r="B24" s="3212" t="s">
        <v>2944</v>
      </c>
      <c r="C24" s="3212" t="s">
        <v>2944</v>
      </c>
      <c r="D24" s="3212" t="s">
        <v>2944</v>
      </c>
      <c r="E24" s="3212" t="s">
        <v>2944</v>
      </c>
      <c r="F24" s="3212" t="s">
        <v>2944</v>
      </c>
    </row>
    <row r="25" spans="1:7" ht="24" customHeight="1">
      <c r="A25" s="3375" t="s">
        <v>1996</v>
      </c>
      <c r="B25" s="3375"/>
      <c r="C25" s="3375"/>
      <c r="D25" s="3375"/>
      <c r="E25" s="3375"/>
      <c r="F25" s="3375"/>
      <c r="G25" s="3375"/>
    </row>
    <row r="26" spans="1:7" s="1901" customFormat="1" ht="24" customHeight="1">
      <c r="A26" s="3376" t="s">
        <v>1997</v>
      </c>
      <c r="B26" s="3376"/>
      <c r="C26" s="3376"/>
      <c r="D26" s="1900"/>
      <c r="E26" s="3376" t="s">
        <v>1998</v>
      </c>
      <c r="F26" s="3376"/>
      <c r="G26" s="3376"/>
    </row>
    <row r="27" spans="1:7" s="1903" customFormat="1" ht="24" customHeight="1">
      <c r="A27" s="1902" t="s">
        <v>1999</v>
      </c>
      <c r="B27" s="1895" t="s">
        <v>2000</v>
      </c>
      <c r="C27" s="1895" t="s">
        <v>2001</v>
      </c>
      <c r="D27" s="1895"/>
      <c r="E27" s="1897" t="s">
        <v>1999</v>
      </c>
      <c r="F27" s="1895" t="s">
        <v>2000</v>
      </c>
      <c r="G27" s="1895" t="s">
        <v>2001</v>
      </c>
    </row>
    <row r="28" spans="1:7" s="1903" customFormat="1" ht="24" customHeight="1">
      <c r="A28" s="1904" t="s">
        <v>2002</v>
      </c>
      <c r="B28" s="1905" t="s">
        <v>2003</v>
      </c>
      <c r="C28" s="1906">
        <v>43725</v>
      </c>
      <c r="D28" s="1906"/>
      <c r="E28" s="1904" t="s">
        <v>2004</v>
      </c>
      <c r="F28" s="1904" t="s">
        <v>2005</v>
      </c>
      <c r="G28" s="2114">
        <v>44377</v>
      </c>
    </row>
    <row r="29" spans="1:7" s="1903" customFormat="1" ht="24" customHeight="1">
      <c r="A29" s="1904"/>
      <c r="B29" s="1904"/>
      <c r="C29" s="1907"/>
      <c r="D29" s="1907"/>
      <c r="E29" s="1904" t="s">
        <v>2006</v>
      </c>
      <c r="F29" s="2440" t="s">
        <v>2387</v>
      </c>
      <c r="G29" s="244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199" priority="55">
      <formula>AND($C28-TODAY()&lt;30,TODAY()&lt;$C28)</formula>
    </cfRule>
  </conditionalFormatting>
  <conditionalFormatting sqref="C28:D28 F4">
    <cfRule type="cellIs" dxfId="198" priority="57" stopIfTrue="1" operator="lessThan">
      <formula>$B$2</formula>
    </cfRule>
  </conditionalFormatting>
  <conditionalFormatting sqref="C5">
    <cfRule type="expression" dxfId="197" priority="52">
      <formula>AND($C5-TODAY()&lt;30,TODAY()&lt;$C5)</formula>
    </cfRule>
  </conditionalFormatting>
  <conditionalFormatting sqref="C5 F5">
    <cfRule type="cellIs" dxfId="196" priority="53" stopIfTrue="1" operator="lessThan">
      <formula>$B$2</formula>
    </cfRule>
  </conditionalFormatting>
  <conditionalFormatting sqref="F6 F8 F10">
    <cfRule type="cellIs" dxfId="195" priority="51" stopIfTrue="1" operator="lessThan">
      <formula>$B$2</formula>
    </cfRule>
  </conditionalFormatting>
  <conditionalFormatting sqref="C4:C23">
    <cfRule type="expression" dxfId="194" priority="49">
      <formula>AND($C4-TODAY()&lt;30,TODAY()&lt;$C4)</formula>
    </cfRule>
  </conditionalFormatting>
  <conditionalFormatting sqref="F7 F9 F11 C4:C23">
    <cfRule type="cellIs" dxfId="193" priority="50" stopIfTrue="1" operator="lessThan">
      <formula>$B$2</formula>
    </cfRule>
  </conditionalFormatting>
  <conditionalFormatting sqref="C12">
    <cfRule type="expression" dxfId="192" priority="47">
      <formula>AND($C12-TODAY()&lt;30,TODAY()&lt;$C12)</formula>
    </cfRule>
  </conditionalFormatting>
  <conditionalFormatting sqref="C12">
    <cfRule type="cellIs" dxfId="191" priority="48" stopIfTrue="1" operator="lessThan">
      <formula>$B$2</formula>
    </cfRule>
  </conditionalFormatting>
  <conditionalFormatting sqref="C14">
    <cfRule type="expression" dxfId="190" priority="43">
      <formula>AND($C14-TODAY()&lt;30,TODAY()&lt;$C14)</formula>
    </cfRule>
  </conditionalFormatting>
  <conditionalFormatting sqref="C14">
    <cfRule type="cellIs" dxfId="189" priority="44" stopIfTrue="1" operator="lessThan">
      <formula>$B$2</formula>
    </cfRule>
  </conditionalFormatting>
  <conditionalFormatting sqref="C16">
    <cfRule type="expression" dxfId="188" priority="41">
      <formula>AND($C16-TODAY()&lt;30,TODAY()&lt;$C16)</formula>
    </cfRule>
  </conditionalFormatting>
  <conditionalFormatting sqref="C16">
    <cfRule type="cellIs" dxfId="187" priority="42" stopIfTrue="1" operator="lessThan">
      <formula>$B$2</formula>
    </cfRule>
  </conditionalFormatting>
  <conditionalFormatting sqref="C18">
    <cfRule type="expression" dxfId="186" priority="39">
      <formula>AND($C18-TODAY()&lt;30,TODAY()&lt;$C18)</formula>
    </cfRule>
  </conditionalFormatting>
  <conditionalFormatting sqref="C18">
    <cfRule type="cellIs" dxfId="185" priority="40" stopIfTrue="1" operator="lessThan">
      <formula>$B$2</formula>
    </cfRule>
  </conditionalFormatting>
  <conditionalFormatting sqref="C20">
    <cfRule type="expression" dxfId="184" priority="37">
      <formula>AND($C20-TODAY()&lt;30,TODAY()&lt;$C20)</formula>
    </cfRule>
  </conditionalFormatting>
  <conditionalFormatting sqref="C20">
    <cfRule type="cellIs" dxfId="183" priority="38" stopIfTrue="1" operator="lessThan">
      <formula>$B$2</formula>
    </cfRule>
  </conditionalFormatting>
  <conditionalFormatting sqref="C22">
    <cfRule type="expression" dxfId="182" priority="35">
      <formula>AND($C22-TODAY()&lt;30,TODAY()&lt;$C22)</formula>
    </cfRule>
  </conditionalFormatting>
  <conditionalFormatting sqref="C22">
    <cfRule type="cellIs" dxfId="181" priority="36" stopIfTrue="1" operator="lessThan">
      <formula>$B$2</formula>
    </cfRule>
  </conditionalFormatting>
  <conditionalFormatting sqref="C15">
    <cfRule type="expression" dxfId="180" priority="33">
      <formula>AND($C15-TODAY()&lt;30,TODAY()&lt;$C15)</formula>
    </cfRule>
  </conditionalFormatting>
  <conditionalFormatting sqref="C15">
    <cfRule type="cellIs" dxfId="179" priority="34" stopIfTrue="1" operator="lessThan">
      <formula>$B$2</formula>
    </cfRule>
  </conditionalFormatting>
  <conditionalFormatting sqref="C17">
    <cfRule type="expression" dxfId="178" priority="31">
      <formula>AND($C17-TODAY()&lt;30,TODAY()&lt;$C17)</formula>
    </cfRule>
  </conditionalFormatting>
  <conditionalFormatting sqref="C17">
    <cfRule type="cellIs" dxfId="177" priority="32" stopIfTrue="1" operator="lessThan">
      <formula>$B$2</formula>
    </cfRule>
  </conditionalFormatting>
  <conditionalFormatting sqref="C19">
    <cfRule type="expression" dxfId="176" priority="29">
      <formula>AND($C19-TODAY()&lt;30,TODAY()&lt;$C19)</formula>
    </cfRule>
  </conditionalFormatting>
  <conditionalFormatting sqref="C19">
    <cfRule type="cellIs" dxfId="175" priority="30" stopIfTrue="1" operator="lessThan">
      <formula>$B$2</formula>
    </cfRule>
  </conditionalFormatting>
  <conditionalFormatting sqref="C21">
    <cfRule type="expression" dxfId="174" priority="27">
      <formula>AND($C21-TODAY()&lt;30,TODAY()&lt;$C21)</formula>
    </cfRule>
  </conditionalFormatting>
  <conditionalFormatting sqref="C21">
    <cfRule type="cellIs" dxfId="173" priority="28" stopIfTrue="1" operator="lessThan">
      <formula>$B$2</formula>
    </cfRule>
  </conditionalFormatting>
  <conditionalFormatting sqref="C23">
    <cfRule type="expression" dxfId="172" priority="25">
      <formula>AND($C23-TODAY()&lt;30,TODAY()&lt;$C23)</formula>
    </cfRule>
  </conditionalFormatting>
  <conditionalFormatting sqref="C23">
    <cfRule type="cellIs" dxfId="171" priority="26" stopIfTrue="1" operator="lessThan">
      <formula>$B$2</formula>
    </cfRule>
  </conditionalFormatting>
  <conditionalFormatting sqref="F16">
    <cfRule type="cellIs" dxfId="170" priority="23" stopIfTrue="1" operator="lessThan">
      <formula>$B$2</formula>
    </cfRule>
  </conditionalFormatting>
  <conditionalFormatting sqref="F18">
    <cfRule type="cellIs" dxfId="169" priority="22" stopIfTrue="1" operator="lessThan">
      <formula>$B$2</formula>
    </cfRule>
  </conditionalFormatting>
  <conditionalFormatting sqref="F22">
    <cfRule type="cellIs" dxfId="168" priority="21" stopIfTrue="1" operator="lessThan">
      <formula>$B$2</formula>
    </cfRule>
  </conditionalFormatting>
  <conditionalFormatting sqref="F21">
    <cfRule type="cellIs" dxfId="167" priority="20" stopIfTrue="1" operator="lessThan">
      <formula>$B$2</formula>
    </cfRule>
  </conditionalFormatting>
  <conditionalFormatting sqref="F17">
    <cfRule type="cellIs" dxfId="166" priority="19" stopIfTrue="1" operator="lessThan">
      <formula>$B$2</formula>
    </cfRule>
  </conditionalFormatting>
  <conditionalFormatting sqref="B4:B14 E4:E14 B16:B23 E16:E23">
    <cfRule type="cellIs" dxfId="165" priority="18" stopIfTrue="1" operator="equal">
      <formula>"已过期"</formula>
    </cfRule>
  </conditionalFormatting>
  <conditionalFormatting sqref="A24:F24">
    <cfRule type="cellIs" dxfId="164" priority="14" stopIfTrue="1" operator="equal">
      <formula>"已过期"</formula>
    </cfRule>
  </conditionalFormatting>
  <conditionalFormatting sqref="G28">
    <cfRule type="expression" dxfId="163" priority="12">
      <formula>AND($F28-TODAY()&lt;30,TODAY()&lt;$F28)</formula>
    </cfRule>
  </conditionalFormatting>
  <conditionalFormatting sqref="G28">
    <cfRule type="cellIs" dxfId="162" priority="13" stopIfTrue="1" operator="lessThan">
      <formula>$B$2</formula>
    </cfRule>
  </conditionalFormatting>
  <conditionalFormatting sqref="G29">
    <cfRule type="expression" dxfId="161" priority="8" stopIfTrue="1">
      <formula>AND($F29-TODAY()&lt;30,TODAY()&lt;$F29)</formula>
    </cfRule>
  </conditionalFormatting>
  <conditionalFormatting sqref="G29">
    <cfRule type="cellIs" dxfId="160" priority="9" stopIfTrue="1" operator="lessThan">
      <formula>$B$2</formula>
    </cfRule>
  </conditionalFormatting>
  <conditionalFormatting sqref="B15">
    <cfRule type="cellIs" dxfId="159" priority="6" stopIfTrue="1" operator="equal">
      <formula>"已过期"</formula>
    </cfRule>
  </conditionalFormatting>
  <conditionalFormatting sqref="A15">
    <cfRule type="cellIs" dxfId="158" priority="5" stopIfTrue="1" operator="equal">
      <formula>"已过期"</formula>
    </cfRule>
  </conditionalFormatting>
  <conditionalFormatting sqref="C15">
    <cfRule type="expression" dxfId="157" priority="4">
      <formula>AND($C15-TODAY()&lt;30,TODAY()&lt;$C15)</formula>
    </cfRule>
  </conditionalFormatting>
  <conditionalFormatting sqref="E15">
    <cfRule type="cellIs" dxfId="156" priority="3" stopIfTrue="1" operator="equal">
      <formula>"已过期"</formula>
    </cfRule>
  </conditionalFormatting>
  <conditionalFormatting sqref="D15">
    <cfRule type="cellIs" dxfId="155" priority="2" stopIfTrue="1" operator="equal">
      <formula>"已过期"</formula>
    </cfRule>
  </conditionalFormatting>
  <conditionalFormatting sqref="F13">
    <cfRule type="cellIs" dxfId="154"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135</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Sheet2</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2017-07-13T01:48:14Z</dcterms:modified>
</cp:coreProperties>
</file>