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土地检索数据" sheetId="68" r:id="rId41"/>
    <sheet name="Sheet2" sheetId="69" r:id="rId42"/>
    <sheet name="Sheet3" sheetId="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11" i="1"/>
  <c r="F41" i="15"/>
  <c r="C40" i="15"/>
  <c r="M6" i="15"/>
  <c r="M8" i="15"/>
  <c r="M7" i="15"/>
  <c r="M9" i="15"/>
  <c r="J6" i="15"/>
  <c r="M11" i="15"/>
  <c r="J10" i="15"/>
  <c r="J5" i="15"/>
  <c r="J26" i="15"/>
  <c r="J29" i="15"/>
  <c r="B2" i="15"/>
  <c r="H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G15" i="66"/>
  <c r="G16" i="66"/>
  <c r="G17" i="66"/>
  <c r="G18" i="66"/>
  <c r="G19" i="66"/>
  <c r="G20" i="66"/>
  <c r="B6" i="66"/>
  <c r="N69" i="9"/>
  <c r="D14" i="66"/>
  <c r="D15" i="66"/>
  <c r="D16" i="66"/>
  <c r="D17" i="66"/>
  <c r="D18" i="66"/>
  <c r="D19" i="66"/>
  <c r="D20" i="66"/>
  <c r="B5" i="66"/>
  <c r="N68" i="9"/>
  <c r="C106" i="9"/>
  <c r="M113" i="9"/>
  <c r="M112" i="9"/>
  <c r="M110" i="9"/>
  <c r="M109" i="9"/>
  <c r="M108" i="9"/>
  <c r="M107" i="9"/>
  <c r="I109" i="9"/>
  <c r="D63" i="9"/>
  <c r="C20" i="66"/>
  <c r="B20" i="66"/>
  <c r="C19" i="66"/>
  <c r="B19" i="66"/>
  <c r="C18" i="66"/>
  <c r="B18" i="66"/>
  <c r="C17" i="66"/>
  <c r="B17" i="66"/>
  <c r="C16" i="66"/>
  <c r="B16" i="66"/>
  <c r="C15" i="66"/>
  <c r="B15" i="66"/>
  <c r="F2" i="70"/>
  <c r="F3" i="70"/>
  <c r="F4" i="70"/>
  <c r="F5" i="70"/>
  <c r="F6" i="70"/>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J23" i="21"/>
  <c r="AC23" i="21"/>
  <c r="V48" i="21"/>
  <c r="R49" i="21"/>
  <c r="C49" i="21"/>
  <c r="G8" i="12"/>
  <c r="E8" i="12"/>
  <c r="E10" i="12"/>
  <c r="F8" i="12"/>
  <c r="F10" i="12"/>
  <c r="B3" i="21"/>
  <c r="B2" i="21"/>
  <c r="G10" i="12"/>
  <c r="F7" i="70"/>
  <c r="F8" i="70"/>
  <c r="F9" i="70"/>
  <c r="F10" i="70"/>
  <c r="F11" i="70"/>
  <c r="F15" i="70"/>
  <c r="H15" i="70"/>
  <c r="G8" i="70"/>
  <c r="B3" i="39"/>
  <c r="C20" i="9"/>
  <c r="M8" i="1"/>
  <c r="O8" i="1"/>
  <c r="P8" i="1"/>
  <c r="M9" i="1"/>
  <c r="O9" i="1"/>
  <c r="P9" i="1"/>
  <c r="P16" i="1"/>
  <c r="B3" i="12"/>
  <c r="D20" i="9"/>
  <c r="G20" i="9"/>
  <c r="G7" i="70"/>
  <c r="G6" i="70"/>
  <c r="G5" i="70"/>
  <c r="G4" i="70"/>
  <c r="G3" i="70"/>
  <c r="G2" i="70"/>
  <c r="R47" i="21"/>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E2" i="70"/>
  <c r="E3" i="70"/>
  <c r="E4" i="70"/>
  <c r="E5" i="70"/>
  <c r="E6" i="70"/>
  <c r="E8" i="7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L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E7" i="70"/>
  <c r="E9" i="70"/>
  <c r="D83" i="39"/>
  <c r="E83" i="39"/>
  <c r="F83" i="39"/>
  <c r="G83" i="39"/>
  <c r="F13" i="39"/>
  <c r="AA13" i="39"/>
  <c r="D101" i="39"/>
  <c r="E101" i="39"/>
  <c r="F27" i="39"/>
  <c r="AA27" i="39"/>
  <c r="D6" i="1"/>
  <c r="D19" i="4"/>
  <c r="F6" i="1"/>
  <c r="G6" i="1"/>
  <c r="D7" i="1"/>
  <c r="F7" i="1"/>
  <c r="G7" i="1"/>
  <c r="D8" i="1"/>
  <c r="F8" i="1"/>
  <c r="G8" i="1"/>
  <c r="D9" i="1"/>
  <c r="F9" i="1"/>
  <c r="G9" i="1"/>
  <c r="D10" i="1"/>
  <c r="F10" i="1"/>
  <c r="G10" i="1"/>
  <c r="B84" i="39"/>
  <c r="F14" i="39"/>
  <c r="AA14"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F9" i="39"/>
  <c r="AA9" i="39"/>
  <c r="F10" i="39"/>
  <c r="AA10" i="39"/>
  <c r="F11" i="39"/>
  <c r="AA11" i="39"/>
  <c r="B86" i="39"/>
  <c r="F15" i="39"/>
  <c r="AA15" i="39"/>
  <c r="B88" i="39"/>
  <c r="F16" i="39"/>
  <c r="AA16" i="39"/>
  <c r="D91" i="39"/>
  <c r="F17" i="39"/>
  <c r="AA17" i="39"/>
  <c r="F19" i="39"/>
  <c r="AA19" i="39"/>
  <c r="F21" i="39"/>
  <c r="AA21" i="39"/>
  <c r="D97" i="39"/>
  <c r="F23" i="39"/>
  <c r="AA23" i="39"/>
  <c r="D99" i="39"/>
  <c r="E99" i="39"/>
  <c r="F25" i="39"/>
  <c r="AA25" i="39"/>
  <c r="D103" i="39"/>
  <c r="F29" i="39"/>
  <c r="AA29" i="39"/>
  <c r="D105" i="39"/>
  <c r="F31" i="39"/>
  <c r="AA31" i="39"/>
  <c r="B106" i="39"/>
  <c r="D107" i="39"/>
  <c r="F33" i="39"/>
  <c r="AA33" i="39"/>
  <c r="D109" i="39"/>
  <c r="E109" i="39"/>
  <c r="F109" i="39"/>
  <c r="G109" i="39"/>
  <c r="F34" i="39"/>
  <c r="AA34" i="39"/>
  <c r="F36" i="39"/>
  <c r="AA36" i="39"/>
  <c r="B112" i="39"/>
  <c r="F37" i="39"/>
  <c r="AA37" i="39"/>
  <c r="B114" i="39"/>
  <c r="F38" i="39"/>
  <c r="AA38" i="39"/>
  <c r="B116" i="39"/>
  <c r="F39" i="39"/>
  <c r="AA39" i="39"/>
  <c r="C40" i="39"/>
  <c r="F40" i="39"/>
  <c r="AA40" i="39"/>
  <c r="D122" i="39"/>
  <c r="F41" i="39"/>
  <c r="AA41" i="39"/>
  <c r="F42" i="39"/>
  <c r="AA42" i="39"/>
  <c r="D126" i="39"/>
  <c r="E126" i="39"/>
  <c r="F126" i="39"/>
  <c r="F43" i="39"/>
  <c r="AA43" i="39"/>
  <c r="F44" i="39"/>
  <c r="AA44" i="39"/>
  <c r="B129" i="39"/>
  <c r="F45" i="39"/>
  <c r="AA45" i="39"/>
  <c r="B131" i="39"/>
  <c r="F46" i="39"/>
  <c r="AA46" i="39"/>
  <c r="B133" i="39"/>
  <c r="F47" i="39"/>
  <c r="AA47" i="39"/>
  <c r="H13" i="39"/>
  <c r="AB13" i="39"/>
  <c r="H27" i="39"/>
  <c r="AB27" i="39"/>
  <c r="H14" i="39"/>
  <c r="AB14" i="39"/>
  <c r="T48" i="39"/>
  <c r="H9" i="39"/>
  <c r="AB9" i="39"/>
  <c r="H10" i="39"/>
  <c r="AB10" i="39"/>
  <c r="H11" i="39"/>
  <c r="AB11" i="39"/>
  <c r="H15" i="39"/>
  <c r="AB15" i="39"/>
  <c r="H16" i="39"/>
  <c r="AB16" i="39"/>
  <c r="H17" i="39"/>
  <c r="AB17" i="39"/>
  <c r="H19" i="39"/>
  <c r="AB19" i="39"/>
  <c r="H21" i="39"/>
  <c r="AB21" i="39"/>
  <c r="H23" i="39"/>
  <c r="AB23" i="39"/>
  <c r="H25" i="39"/>
  <c r="AB25"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J13" i="39"/>
  <c r="AC13" i="39"/>
  <c r="J14" i="39"/>
  <c r="AC14" i="39"/>
  <c r="V48" i="39"/>
  <c r="J9" i="39"/>
  <c r="AC9" i="39"/>
  <c r="J10" i="39"/>
  <c r="AC10" i="39"/>
  <c r="J11" i="39"/>
  <c r="AC11" i="39"/>
  <c r="J15" i="39"/>
  <c r="AC15" i="39"/>
  <c r="J16" i="39"/>
  <c r="AC16" i="39"/>
  <c r="J17" i="39"/>
  <c r="AC17" i="39"/>
  <c r="J19" i="39"/>
  <c r="AC19" i="39"/>
  <c r="J21" i="39"/>
  <c r="AC21" i="39"/>
  <c r="J23" i="39"/>
  <c r="AC23" i="39"/>
  <c r="J25" i="39"/>
  <c r="AC25"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A6" i="1"/>
  <c r="A7" i="1"/>
  <c r="A8" i="1"/>
  <c r="A9" i="1"/>
  <c r="A10" i="1"/>
  <c r="A11" i="1"/>
  <c r="A12" i="1"/>
  <c r="A13" i="1"/>
  <c r="G1" i="15"/>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G24" i="6"/>
  <c r="E24" i="6"/>
  <c r="E3" i="6"/>
  <c r="D24" i="6"/>
  <c r="BQ5" i="3"/>
  <c r="BS5" i="3"/>
  <c r="F28" i="6"/>
  <c r="BR5" i="3"/>
  <c r="BT5" i="3"/>
  <c r="G28" i="6"/>
  <c r="E28" i="6"/>
  <c r="E19" i="6"/>
  <c r="F20" i="6"/>
  <c r="E20" i="6"/>
  <c r="F21" i="6"/>
  <c r="E21" i="6"/>
  <c r="F22" i="6"/>
  <c r="E22" i="6"/>
  <c r="F23" i="6"/>
  <c r="E23" i="6"/>
  <c r="E25" i="6"/>
  <c r="E26" i="6"/>
  <c r="BA5" i="3"/>
  <c r="E27" i="6"/>
  <c r="K24" i="6"/>
  <c r="L24" i="6"/>
  <c r="M24" i="6"/>
  <c r="I24" i="6"/>
  <c r="H24" i="6"/>
  <c r="R24" i="6"/>
  <c r="R11" i="1"/>
  <c r="B52" i="1"/>
  <c r="F34" i="15"/>
  <c r="K11" i="1"/>
  <c r="M11" i="1"/>
  <c r="K14" i="1"/>
  <c r="M14" i="1"/>
  <c r="T4" i="1"/>
  <c r="S11" i="1"/>
  <c r="K19" i="6"/>
  <c r="S6" i="1"/>
  <c r="K20" i="6"/>
  <c r="S7" i="1"/>
  <c r="K21" i="6"/>
  <c r="S8" i="1"/>
  <c r="K22" i="6"/>
  <c r="S9" i="1"/>
  <c r="K23" i="6"/>
  <c r="S10" i="1"/>
  <c r="S12" i="1"/>
  <c r="S13" i="1"/>
  <c r="S16" i="1"/>
  <c r="T11" i="1"/>
  <c r="F15" i="15"/>
  <c r="F17" i="15"/>
  <c r="F18" i="15"/>
  <c r="F20" i="15"/>
  <c r="H1" i="65"/>
  <c r="B22" i="1"/>
  <c r="C2" i="65"/>
  <c r="I1" i="65"/>
  <c r="F23" i="15"/>
  <c r="F21" i="15"/>
  <c r="F28" i="15"/>
  <c r="C42" i="1"/>
  <c r="C28" i="15"/>
  <c r="G19" i="4"/>
  <c r="F11" i="1"/>
  <c r="M47" i="15"/>
  <c r="J50" i="15"/>
  <c r="J51" i="15"/>
  <c r="L46" i="15"/>
  <c r="E9" i="12"/>
  <c r="F9" i="12"/>
  <c r="D3" i="21"/>
  <c r="C9" i="12"/>
  <c r="C10" i="12"/>
  <c r="D9" i="12"/>
  <c r="D10" i="12"/>
  <c r="K9" i="1"/>
  <c r="O11" i="1"/>
  <c r="P11" i="1"/>
  <c r="O14" i="1"/>
  <c r="P14" i="1"/>
  <c r="K10" i="1"/>
  <c r="M10" i="1"/>
  <c r="O10" i="1"/>
  <c r="P10" i="1"/>
  <c r="K8" i="1"/>
  <c r="K6" i="1"/>
  <c r="M6" i="1"/>
  <c r="O6" i="1"/>
  <c r="P6" i="1"/>
  <c r="K7" i="1"/>
  <c r="M7" i="1"/>
  <c r="O7" i="1"/>
  <c r="P7" i="1"/>
  <c r="K12" i="1"/>
  <c r="M12" i="1"/>
  <c r="O12" i="1"/>
  <c r="P12" i="1"/>
  <c r="K13" i="1"/>
  <c r="M13" i="1"/>
  <c r="O13" i="1"/>
  <c r="P13"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D2" i="70"/>
  <c r="D3" i="70"/>
  <c r="D4" i="70"/>
  <c r="D5" i="70"/>
  <c r="D6" i="70"/>
  <c r="D7" i="70"/>
  <c r="D8" i="70"/>
  <c r="D9" i="70"/>
  <c r="B3" i="15"/>
  <c r="H8" i="12"/>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C6" i="46"/>
  <c r="G17" i="46"/>
  <c r="H17" i="46"/>
  <c r="I17" i="46"/>
  <c r="J17" i="46"/>
  <c r="C17" i="46"/>
  <c r="C16" i="46"/>
  <c r="C5" i="46"/>
  <c r="F39" i="46"/>
  <c r="C39" i="46"/>
  <c r="G39" i="46"/>
  <c r="F38" i="46"/>
  <c r="C38" i="46"/>
  <c r="G38" i="46"/>
  <c r="F37" i="46"/>
  <c r="C37" i="46"/>
  <c r="G37" i="46"/>
  <c r="D5" i="46"/>
  <c r="F36" i="46"/>
  <c r="C36" i="46"/>
  <c r="G36" i="46"/>
  <c r="F35" i="46"/>
  <c r="C35" i="46"/>
  <c r="G35" i="46"/>
  <c r="F34" i="46"/>
  <c r="C34" i="46"/>
  <c r="G34" i="46"/>
  <c r="G1" i="44"/>
  <c r="F12"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AP10" i="1"/>
  <c r="R12" i="1"/>
  <c r="B13" i="1"/>
  <c r="E13" i="1"/>
  <c r="BB10" i="3"/>
  <c r="BC10" i="3"/>
  <c r="BD10" i="3"/>
  <c r="BE10" i="3"/>
  <c r="BF10" i="3"/>
  <c r="BG10" i="3"/>
  <c r="BH10" i="3"/>
  <c r="BI10" i="3"/>
  <c r="BJ10" i="3"/>
  <c r="BK10" i="3"/>
  <c r="E8" i="6"/>
  <c r="F27" i="6"/>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29" i="6"/>
  <c r="L20" i="6"/>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19" i="6"/>
  <c r="M21" i="6"/>
  <c r="I21"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8" i="1"/>
  <c r="T12" i="1"/>
  <c r="O16" i="1"/>
  <c r="C13" i="43"/>
  <c r="L16" i="1"/>
  <c r="N16" i="1"/>
  <c r="C29" i="43"/>
  <c r="D13" i="11"/>
  <c r="C13" i="11"/>
  <c r="I27" i="6"/>
  <c r="S19" i="6"/>
  <c r="S27" i="6"/>
  <c r="H19" i="6"/>
  <c r="C22" i="4"/>
  <c r="D19" i="6"/>
  <c r="D21" i="6"/>
  <c r="D26" i="6"/>
  <c r="D25" i="6"/>
  <c r="D22" i="6"/>
  <c r="D10" i="6"/>
  <c r="D11" i="6"/>
  <c r="D13" i="6"/>
  <c r="D12" i="6"/>
  <c r="H21" i="6"/>
  <c r="H20" i="6"/>
  <c r="H25" i="6"/>
  <c r="D6" i="6"/>
  <c r="D9" i="6"/>
  <c r="D5" i="6"/>
  <c r="D14" i="6"/>
  <c r="D29" i="6"/>
  <c r="D28" i="6"/>
  <c r="H22" i="6"/>
  <c r="R22" i="6"/>
  <c r="R9" i="1"/>
  <c r="D20" i="6"/>
  <c r="D15" i="6"/>
  <c r="D8" i="6"/>
  <c r="H26" i="6"/>
  <c r="B4" i="11"/>
  <c r="B5" i="11"/>
  <c r="E53" i="21"/>
  <c r="F53" i="21"/>
  <c r="E52" i="21"/>
  <c r="F52" i="21"/>
  <c r="C48" i="21"/>
  <c r="I53" i="21"/>
  <c r="J53" i="21"/>
  <c r="I65" i="40"/>
  <c r="H67" i="40"/>
  <c r="C16" i="44"/>
  <c r="C20" i="44"/>
  <c r="C17" i="44"/>
  <c r="B3" i="67"/>
  <c r="B4" i="67"/>
  <c r="T16" i="1"/>
  <c r="H27" i="6"/>
  <c r="R20" i="6"/>
  <c r="R7" i="1"/>
  <c r="D16" i="6"/>
  <c r="D30"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5" i="66"/>
  <c r="C82" i="9"/>
  <c r="C81" i="9"/>
  <c r="C85" i="9"/>
  <c r="C86" i="9"/>
  <c r="D72" i="9"/>
  <c r="F44" i="9"/>
  <c r="E44" i="9"/>
  <c r="D44" i="9"/>
  <c r="C34" i="9"/>
  <c r="E42" i="9"/>
  <c r="P5" i="54"/>
  <c r="B46" i="63"/>
  <c r="C33" i="9"/>
  <c r="D42" i="9"/>
  <c r="Q5" i="54"/>
  <c r="B47" i="63"/>
  <c r="C6" i="66"/>
  <c r="D6" i="66"/>
  <c r="C5" i="66"/>
  <c r="E14" i="66"/>
  <c r="D70" i="9"/>
  <c r="O38" i="9"/>
  <c r="K26" i="9"/>
  <c r="N38" i="9"/>
  <c r="K2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<sst xmlns="http://schemas.openxmlformats.org/spreadsheetml/2006/main" count="7420" uniqueCount="3312">
  <si>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</si>
  <si>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</si>
  <si>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</si>
  <si>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</si>
  <si>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</si>
  <si>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</si>
  <si>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</si>
  <si>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</si>
  <si>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</si>
  <si>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</si>
  <si>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</si>
  <si>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</si>
  <si>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</si>
  <si>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</si>
  <si>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</si>
  <si>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</si>
  <si>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</si>
  <si>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</si>
  <si>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</si>
  <si>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</si>
  <si>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</si>
  <si>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</si>
  <si>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</si>
  <si>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</si>
  <si>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</si>
  <si>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</si>
  <si>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</si>
  <si>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</si>
  <si>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</si>
  <si>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</si>
  <si>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</si>
  <si>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</si>
  <si>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</si>
  <si>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</si>
  <si>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</si>
  <si>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</si>
  <si>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</si>
  <si>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</si>
  <si>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</si>
  <si>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</si>
  <si>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</si>
  <si>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</si>
  <si>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</si>
  <si>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</si>
  <si>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</si>
  <si>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</si>
  <si>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</si>
  <si>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</si>
  <si>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</si>
  <si>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</si>
  <si>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</si>
  <si>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</si>
  <si>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</si>
  <si>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</si>
  <si>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</si>
  <si>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</si>
  <si>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</si>
  <si>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</si>
  <si>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</si>
  <si>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</si>
  <si>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</si>
  <si>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</si>
  <si>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</si>
  <si>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</si>
  <si>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</si>
  <si>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</si>
  <si>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</si>
  <si>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</si>
  <si>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</si>
  <si>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</si>
  <si>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</si>
  <si>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</si>
  <si>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</si>
  <si>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</si>
  <si>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</si>
  <si>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</si>
  <si>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</si>
  <si>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</si>
  <si>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</si>
  <si>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</si>
  <si>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</si>
  <si>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</si>
  <si>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</si>
  <si>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</si>
  <si>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</si>
  <si>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</si>
  <si>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</si>
  <si>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</si>
  <si>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</si>
  <si>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</si>
  <si>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</si>
  <si>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</si>
  <si>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</si>
  <si>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</si>
  <si>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</si>
  <si>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</si>
  <si>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</si>
  <si>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</si>
  <si>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</si>
  <si>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</si>
  <si>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</si>
  <si>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</si>
  <si>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</si>
  <si>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</si>
  <si>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</si>
  <si>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</si>
  <si>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</si>
  <si>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</si>
  <si>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</si>
  <si>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</si>
  <si>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</si>
  <si>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</si>
  <si>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</si>
  <si>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</si>
  <si>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</si>
  <si>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</si>
  <si>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</si>
  <si>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</si>
  <si>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</si>
  <si>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</si>
  <si>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</si>
  <si>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</si>
  <si>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</si>
  <si>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</si>
  <si>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</si>
  <si>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</si>
  <si>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</si>
  <si>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</si>
  <si>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</si>
  <si>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</si>
  <si>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</si>
  <si>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</si>
  <si>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</si>
  <si>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</si>
  <si>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</si>
  <si>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</si>
  <si>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</si>
  <si>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</si>
  <si>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</si>
  <si>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</si>
  <si>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</si>
  <si>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</si>
  <si>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</si>
  <si>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</si>
  <si>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</si>
  <si>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</si>
  <si>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</si>
  <si>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</si>
  <si>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</si>
  <si>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</si>
  <si>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</si>
  <si>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</si>
  <si>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</si>
  <si>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</si>
  <si>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</si>
  <si>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</si>
  <si>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</si>
  <si>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</si>
  <si>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</si>
  <si>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</si>
  <si>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</si>
  <si>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</si>
  <si>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</si>
  <si>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</si>
  <si>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</si>
  <si>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</si>
  <si>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</si>
  <si>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</si>
  <si>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</si>
  <si>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</si>
  <si>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</si>
  <si>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</si>
  <si>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</si>
  <si>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</si>
  <si>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</si>
  <si>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</si>
  <si>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</si>
  <si>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</si>
  <si>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</si>
  <si>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</si>
  <si>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</si>
  <si>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</si>
  <si>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</si>
  <si>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</si>
  <si>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</si>
  <si>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</si>
  <si>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</si>
  <si>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</si>
  <si>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</si>
  <si>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</si>
  <si>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</si>
  <si>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</si>
  <si>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</si>
  <si>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</si>
  <si>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</si>
  <si>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</si>
  <si>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</si>
  <si>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</si>
  <si>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</si>
  <si>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</si>
  <si>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</si>
  <si>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</si>
  <si>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</si>
  <si>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</si>
  <si>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</si>
  <si>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</si>
  <si>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</si>
  <si>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</si>
  <si>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</si>
  <si>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</si>
  <si>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</si>
  <si>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</si>
  <si>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</si>
  <si>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</si>
  <si>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</si>
  <si>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</si>
  <si>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</si>
  <si>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</si>
  <si>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</si>
  <si>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</si>
  <si>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</si>
  <si>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</si>
  <si>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</si>
  <si>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</si>
  <si>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</si>
  <si>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</si>
  <si>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</si>
  <si>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</si>
  <si>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</si>
  <si>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</si>
  <si>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</si>
  <si>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</si>
  <si>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</si>
  <si>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</si>
  <si>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</si>
  <si>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</si>
  <si>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</si>
  <si>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</si>
  <si>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</si>
  <si>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</si>
  <si>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</si>
  <si>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</si>
  <si>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</si>
  <si>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</si>
  <si>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</si>
  <si>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</si>
  <si>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</si>
  <si>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</si>
  <si>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</si>
  <si>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</si>
  <si>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</si>
  <si>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</si>
  <si>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</si>
  <si>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</si>
  <si>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</si>
  <si>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</si>
  <si>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</si>
  <si>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</si>
  <si>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</si>
  <si>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</si>
  <si>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</si>
  <si>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</si>
  <si>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</si>
  <si>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</si>
  <si>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</si>
  <si>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</si>
  <si>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</si>
  <si>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</si>
  <si>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</si>
  <si>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</si>
  <si>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</si>
  <si>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</si>
  <si>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</si>
  <si>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</si>
  <si>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</si>
  <si>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</si>
  <si>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</si>
  <si>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</si>
  <si>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</si>
  <si>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</si>
  <si>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</si>
  <si>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</si>
  <si>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</si>
  <si>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</si>
  <si>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</si>
  <si>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</si>
  <si>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</si>
  <si>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</si>
  <si>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</si>
  <si>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</si>
  <si>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</si>
  <si>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</si>
  <si>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</si>
  <si>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</si>
  <si>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</si>
  <si>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</si>
  <si>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</si>
  <si>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</si>
  <si>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</si>
  <si>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</si>
  <si>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</si>
  <si>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</si>
  <si>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</si>
  <si>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</si>
  <si>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</si>
  <si>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</si>
  <si>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</si>
  <si>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</si>
  <si>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</si>
  <si>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</si>
  <si>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</si>
  <si>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</si>
  <si>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</si>
  <si>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</si>
  <si>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</si>
  <si>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</si>
  <si>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</si>
  <si>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</si>
  <si>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</si>
  <si>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</si>
  <si>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</si>
  <si>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</si>
  <si>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</si>
  <si>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</si>
  <si>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</si>
  <si>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</si>
  <si>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</si>
  <si>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</si>
  <si>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</si>
  <si>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</si>
  <si>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</si>
  <si>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</si>
  <si>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</si>
  <si>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</si>
  <si>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</si>
  <si>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</si>
  <si>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</si>
  <si>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</si>
  <si>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</si>
  <si>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</si>
  <si>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</si>
  <si>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</si>
  <si>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</si>
  <si>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</si>
  <si>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</si>
  <si>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</si>
  <si>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</si>
  <si>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</si>
  <si>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</si>
  <si>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</si>
  <si>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</si>
  <si>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</si>
  <si>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</si>
  <si>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</si>
  <si>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</si>
  <si>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</si>
  <si>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</si>
  <si>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</si>
  <si>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</si>
  <si>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</si>
  <si>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</si>
  <si>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</si>
  <si>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</si>
  <si>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</si>
  <si>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</si>
  <si>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</si>
  <si>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</si>
  <si>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</si>
  <si>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</si>
  <si>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</si>
  <si>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</si>
  <si>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</si>
  <si>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</si>
  <si>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</si>
  <si>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</si>
  <si>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</si>
  <si>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</si>
  <si>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</si>
  <si>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</si>
  <si>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</si>
  <si>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</si>
  <si>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</si>
  <si>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</si>
  <si>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</si>
  <si>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</si>
  <si>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</si>
  <si>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</si>
  <si>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</si>
  <si>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</si>
  <si>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</si>
  <si>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</si>
  <si>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</si>
  <si>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</si>
  <si>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</si>
  <si>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</si>
  <si>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</si>
  <si>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</si>
  <si>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</si>
  <si>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</si>
  <si>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</si>
  <si>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</si>
  <si>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</si>
  <si>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</si>
  <si>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</si>
  <si>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</si>
  <si>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</si>
  <si>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</si>
  <si>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</si>
  <si>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</si>
  <si>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</si>
  <si>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</si>
  <si>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</si>
  <si>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</si>
  <si>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</si>
  <si>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</si>
  <si>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</si>
  <si>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</si>
  <si>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</si>
  <si>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</si>
  <si>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</si>
  <si>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</si>
  <si>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</si>
  <si>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</si>
  <si>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</si>
  <si>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</si>
  <si>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</si>
  <si>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</si>
  <si>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</si>
  <si>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</si>
  <si>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</si>
  <si>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</si>
  <si>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</si>
  <si>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</si>
  <si>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</si>
  <si>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</si>
  <si>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</si>
  <si>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</si>
  <si>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</si>
  <si>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</si>
  <si>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</si>
  <si>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</si>
  <si>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</si>
  <si>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</si>
  <si>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</si>
  <si>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</si>
  <si>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</si>
  <si>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</si>
  <si>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</si>
  <si>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</si>
  <si>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</si>
  <si>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</si>
  <si>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</si>
  <si>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</si>
  <si>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</si>
  <si>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</si>
  <si>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</si>
  <si>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</si>
  <si>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</si>
  <si>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</si>
  <si>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</si>
  <si>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</si>
  <si>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</si>
  <si>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</si>
  <si>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</si>
  <si>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</si>
  <si>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</si>
  <si>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</si>
  <si>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</si>
  <si>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</si>
  <si>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</si>
  <si>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</si>
  <si>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</si>
  <si>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</si>
  <si>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</si>
  <si>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</si>
  <si>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</si>
  <si>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</si>
  <si>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</si>
  <si>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</si>
  <si>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</si>
  <si>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</si>
  <si>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</si>
  <si>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</si>
  <si>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</si>
  <si>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</si>
  <si>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</si>
  <si>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</si>
  <si>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</si>
  <si>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</si>
  <si>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</si>
  <si>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</si>
  <si>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</si>
  <si>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</si>
  <si>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</si>
  <si>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</si>
  <si>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</si>
  <si>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</si>
  <si>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</si>
  <si>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</si>
  <si>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</si>
  <si>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</si>
  <si>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</si>
  <si>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</si>
  <si>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</si>
  <si>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</si>
  <si>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</si>
  <si>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</si>
  <si>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</si>
  <si>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</si>
  <si>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</si>
  <si>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</si>
  <si>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</si>
  <si>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</si>
  <si>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</si>
  <si>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</si>
  <si>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</si>
  <si>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</si>
  <si>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</si>
  <si>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</si>
  <si>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</si>
  <si>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</si>
  <si>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</si>
  <si>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</si>
  <si>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</si>
  <si>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</si>
  <si>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</si>
  <si>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</si>
  <si>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</si>
  <si>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</si>
  <si>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</si>
  <si>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</si>
  <si>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</si>
  <si>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</si>
  <si>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</si>
  <si>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</si>
  <si>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</si>
  <si>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</si>
  <si>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</si>
  <si>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</si>
  <si>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</si>
  <si>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</si>
  <si>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</si>
  <si>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</si>
  <si>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</si>
  <si>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</si>
  <si>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</si>
  <si>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</si>
  <si>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</si>
  <si>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</si>
  <si>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</si>
  <si>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</si>
  <si>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</si>
  <si>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</si>
  <si>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</si>
  <si>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</si>
  <si>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</si>
  <si>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</si>
  <si>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</si>
  <si>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</si>
  <si>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</si>
  <si>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</si>
  <si>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</si>
  <si>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</si>
  <si>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</si>
  <si>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</si>
  <si>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</si>
  <si>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</si>
  <si>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</si>
  <si>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</si>
  <si>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</si>
  <si>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</si>
  <si>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</si>
  <si>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</si>
  <si>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</si>
  <si>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</si>
  <si>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</si>
  <si>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</si>
  <si>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</si>
  <si>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</si>
  <si>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</si>
  <si>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</si>
  <si>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</si>
  <si>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</si>
  <si>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</si>
  <si>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</si>
  <si>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</si>
  <si>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</si>
  <si>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</si>
  <si>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</si>
  <si>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</si>
  <si>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</si>
  <si>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</si>
  <si>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</si>
  <si>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</si>
  <si>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</si>
  <si>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</si>
  <si>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</si>
  <si>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</si>
  <si>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</si>
  <si>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</si>
  <si>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</si>
  <si>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</si>
  <si>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</si>
  <si>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</si>
  <si>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</si>
  <si>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</si>
  <si>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</si>
  <si>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</si>
  <si>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</si>
  <si>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</si>
  <si>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</si>
  <si>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</si>
  <si>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</si>
  <si>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</si>
  <si>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</si>
  <si>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</si>
  <si>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</si>
  <si>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</si>
  <si>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</si>
  <si>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</si>
  <si>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</si>
  <si>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</si>
  <si>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</si>
  <si>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</si>
  <si>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</si>
  <si>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</si>
  <si>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</si>
  <si>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</si>
  <si>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</si>
  <si>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</si>
  <si>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</si>
  <si>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</si>
  <si>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</si>
  <si>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</si>
  <si>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</si>
  <si>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</si>
  <si>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</si>
  <si>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</si>
  <si>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</si>
  <si>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</si>
  <si>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</si>
  <si>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</si>
  <si>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</si>
  <si>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</si>
  <si>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</si>
  <si>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</si>
  <si>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</si>
  <si>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</si>
  <si>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</si>
  <si>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</si>
  <si>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</si>
  <si>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</si>
  <si>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</si>
  <si>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</si>
  <si>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</si>
  <si>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</si>
  <si>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</si>
  <si>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</si>
  <si>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</si>
  <si>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</si>
  <si>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</si>
  <si>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</si>
  <si>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</si>
  <si>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</si>
  <si>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</si>
  <si>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</si>
  <si>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</si>
  <si>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</si>
  <si>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</si>
  <si>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</si>
  <si>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</si>
  <si>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</si>
  <si>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</si>
  <si>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</si>
  <si>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</si>
  <si>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</si>
  <si>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</si>
  <si>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</si>
  <si>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</si>
  <si>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</si>
  <si>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</si>
  <si>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</si>
  <si>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</si>
  <si>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</si>
  <si>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</si>
  <si>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</si>
  <si>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</si>
  <si>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</si>
  <si>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</si>
  <si>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</si>
  <si>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</si>
  <si>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</si>
  <si>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</si>
  <si>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</si>
  <si>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</si>
  <si>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</si>
  <si>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</si>
  <si>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</si>
  <si>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</si>
  <si>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</si>
  <si>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</si>
  <si>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</si>
  <si>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</si>
  <si>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</si>
  <si>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</si>
  <si>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</si>
  <si>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</si>
  <si>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</si>
  <si>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</si>
  <si>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</si>
  <si>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</si>
  <si>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</si>
  <si>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</si>
  <si>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</si>
  <si>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</si>
  <si>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</si>
  <si>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</si>
  <si>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</si>
  <si>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</si>
  <si>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</si>
  <si>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</si>
  <si>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</si>
  <si>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</si>
  <si>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</si>
  <si>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</si>
  <si>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</si>
  <si>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</si>
  <si>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</si>
  <si>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</si>
  <si>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</si>
  <si>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</si>
  <si>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</si>
  <si>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</si>
  <si>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</si>
  <si>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</si>
  <si>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</si>
  <si>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</si>
  <si>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</si>
  <si>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</si>
  <si>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</si>
  <si>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</si>
  <si>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</si>
  <si>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</si>
  <si>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</si>
  <si>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</si>
  <si>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</si>
  <si>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</si>
  <si>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</si>
  <si>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</si>
  <si>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</si>
  <si>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</si>
  <si>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</si>
  <si>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</si>
  <si>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</si>
  <si>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</si>
  <si>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</si>
  <si>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</si>
  <si>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</si>
  <si>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</si>
  <si>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</si>
  <si>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</si>
  <si>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</si>
  <si>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</si>
  <si>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</si>
  <si>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</si>
  <si>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</si>
  <si>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</si>
  <si>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</si>
  <si>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</si>
  <si>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</si>
  <si>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</si>
  <si>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</si>
  <si>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</si>
  <si>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</si>
  <si>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</si>
  <si>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</si>
  <si>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</si>
  <si>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</si>
  <si>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</si>
  <si>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</si>
  <si>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</si>
  <si>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</si>
  <si>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</si>
  <si>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</si>
  <si>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</si>
  <si>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</si>
  <si>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</si>
  <si>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</si>
  <si>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</si>
  <si>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</si>
  <si>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</si>
  <si>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</si>
  <si>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</si>
  <si>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</si>
  <si>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</si>
  <si>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</si>
  <si>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</si>
  <si>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</si>
  <si>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</si>
  <si>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</si>
  <si>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</si>
  <si>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</si>
  <si>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</si>
  <si>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</si>
  <si>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</si>
  <si>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</si>
  <si>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</si>
  <si>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</si>
  <si>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</si>
  <si>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</si>
  <si>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</si>
  <si>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</si>
  <si>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</si>
  <si>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</si>
  <si>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</si>
  <si>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</si>
  <si>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</si>
  <si>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</si>
  <si>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</si>
  <si>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</si>
  <si>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</si>
  <si>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</si>
  <si>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</si>
  <si>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</si>
  <si>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</si>
  <si>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</si>
  <si>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</si>
  <si>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</si>
  <si>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</si>
  <si>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</si>
  <si>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</si>
  <si>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</si>
  <si>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</si>
  <si>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</si>
  <si>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</si>
  <si>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</si>
  <si>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</si>
  <si>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</si>
  <si>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</si>
  <si>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</si>
  <si>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</si>
  <si>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</si>
  <si>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</si>
  <si>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</si>
  <si>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</si>
  <si>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</si>
  <si>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</si>
  <si>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</si>
  <si>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</si>
  <si>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</si>
  <si>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</si>
  <si>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</si>
  <si>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</si>
  <si>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</si>
  <si>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</si>
  <si>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</si>
  <si>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</si>
  <si>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</si>
  <si>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</si>
  <si>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</si>
  <si>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</si>
  <si>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</si>
  <si>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</si>
  <si>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</si>
  <si>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</si>
  <si>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</si>
  <si>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</si>
  <si>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</si>
  <si>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</si>
  <si>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</si>
  <si>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</si>
  <si>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</si>
  <si>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</si>
  <si>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</si>
  <si>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</si>
  <si>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</si>
  <si>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</si>
  <si>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</si>
  <si>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</si>
  <si>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</si>
  <si>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</si>
  <si>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</si>
  <si>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</si>
  <si>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</si>
  <si>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</si>
  <si>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</si>
  <si>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</si>
  <si>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</si>
  <si>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</si>
  <si>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</si>
  <si>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</si>
  <si>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</si>
  <si>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</si>
  <si>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</si>
  <si>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</si>
  <si>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</si>
  <si>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</si>
  <si>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</si>
  <si>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</si>
  <si>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</si>
  <si>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</si>
  <si>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</si>
  <si>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</si>
  <si>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</si>
  <si>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</si>
  <si>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</si>
  <si>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</si>
  <si>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</si>
  <si>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</si>
  <si>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</si>
  <si>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</si>
  <si>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</si>
  <si>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</si>
  <si>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</si>
  <si>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</si>
  <si>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</si>
  <si>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</si>
  <si>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</si>
  <si>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</si>
  <si>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</si>
  <si>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</si>
  <si>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</si>
  <si>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</si>
  <si>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</si>
  <si>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</si>
  <si>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</si>
  <si>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</si>
  <si>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</si>
  <si>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</si>
  <si>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</si>
  <si>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</si>
  <si>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</si>
  <si>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</si>
  <si>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</si>
  <si>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</si>
  <si>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</si>
  <si>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</si>
  <si>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</si>
  <si>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</si>
  <si>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</si>
  <si>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</si>
  <si>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</si>
  <si>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</si>
  <si>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</si>
  <si>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</si>
  <si>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</si>
  <si>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</si>
  <si>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</si>
  <si>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</si>
  <si>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</si>
  <si>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</si>
  <si>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</si>
  <si>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</si>
  <si>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</si>
  <si>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</si>
  <si>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</si>
  <si>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</si>
  <si>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</si>
  <si>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</si>
  <si>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</si>
  <si>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</si>
  <si>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</si>
  <si>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</si>
  <si>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</si>
  <si>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</si>
  <si>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</si>
  <si>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</si>
  <si>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</si>
  <si>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</si>
  <si>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</si>
  <si>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</si>
  <si>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</si>
  <si>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</si>
  <si>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</si>
  <si>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</si>
  <si>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</si>
  <si>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</si>
  <si>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</si>
  <si>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</si>
  <si>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</si>
  <si>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</si>
  <si>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</si>
  <si>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</si>
  <si>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</si>
  <si>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</si>
  <si>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</si>
  <si>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</si>
  <si>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</si>
  <si>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</si>
  <si>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</si>
  <si>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</si>
  <si>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</si>
  <si>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</si>
  <si>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</si>
  <si>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</si>
  <si>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</si>
  <si>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</si>
  <si>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</si>
  <si>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</si>
  <si>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</si>
  <si>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</si>
  <si>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</si>
  <si>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</si>
  <si>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</si>
  <si>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</si>
  <si>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</si>
  <si>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</si>
  <si>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</si>
  <si>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</si>
  <si>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</si>
  <si>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</si>
  <si>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</si>
  <si>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</si>
  <si>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</si>
  <si>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</si>
  <si>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</si>
  <si>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</si>
  <si>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</si>
  <si>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</si>
  <si>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</si>
  <si>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</si>
  <si>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</si>
  <si>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</si>
  <si>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</si>
  <si>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</si>
  <si>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</si>
  <si>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</si>
  <si>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</si>
  <si>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</si>
  <si>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</si>
  <si>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</si>
  <si>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</si>
  <si>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</si>
  <si>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</si>
  <si>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</si>
  <si>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</si>
  <si>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</si>
  <si>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</si>
  <si>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</si>
  <si>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</si>
  <si>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</si>
  <si>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</si>
  <si>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</si>
  <si>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</si>
  <si>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</si>
  <si>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</si>
  <si>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</si>
  <si>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</si>
  <si>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</si>
  <si>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</si>
  <si>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</si>
  <si>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</si>
  <si>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</si>
  <si>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</si>
  <si>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</si>
  <si>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</si>
  <si>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</si>
  <si>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</si>
  <si>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</si>
  <si>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</si>
  <si>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</si>
  <si>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</si>
  <si>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</si>
  <si>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</si>
  <si>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</si>
  <si>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</si>
  <si>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</si>
  <si>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</si>
  <si>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</si>
  <si>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</si>
  <si>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</si>
  <si>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</si>
  <si>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</si>
  <si>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</si>
  <si>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</si>
  <si>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</si>
  <si>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</si>
  <si>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</si>
  <si>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</si>
  <si>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</si>
  <si>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</si>
  <si>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</si>
  <si>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</si>
  <si>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</si>
  <si>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</si>
  <si>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</si>
  <si>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</si>
  <si>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</si>
  <si>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</si>
  <si>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</si>
  <si>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</si>
  <si>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</si>
  <si>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</si>
  <si>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</si>
  <si>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</si>
  <si>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</si>
  <si>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</si>
  <si>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</si>
  <si>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</si>
  <si>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</si>
  <si>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</si>
  <si>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</si>
  <si>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</si>
  <si>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</si>
  <si>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</si>
  <si>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</si>
  <si>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</si>
  <si>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</si>
  <si>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</si>
  <si>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</si>
  <si>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</si>
  <si>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</si>
  <si>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</si>
  <si>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</si>
  <si>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</si>
  <si>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</si>
  <si>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</si>
  <si>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</si>
  <si>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</si>
  <si>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</si>
  <si>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</si>
  <si>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</si>
  <si>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</si>
  <si>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</si>
  <si>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</si>
  <si>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</si>
  <si>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</si>
  <si>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</si>
  <si>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</si>
  <si>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</si>
  <si>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</si>
  <si>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</si>
  <si>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</si>
  <si>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</si>
  <si>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</si>
  <si>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</si>
  <si>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</si>
  <si>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</si>
  <si>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</si>
  <si>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</si>
  <si>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</si>
  <si>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</si>
  <si>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</si>
  <si>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</si>
  <si>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</si>
  <si>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</si>
  <si>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</si>
  <si>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</si>
  <si>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</si>
  <si>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</si>
  <si>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</si>
  <si>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</si>
  <si>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</si>
  <si>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</si>
  <si>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</si>
  <si>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</si>
  <si>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</si>
  <si>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</si>
  <si>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</si>
  <si>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</si>
  <si>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</si>
  <si>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</si>
  <si>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</si>
  <si>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</si>
  <si>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</si>
  <si>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</si>
  <si>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</si>
  <si>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</si>
  <si>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</si>
  <si>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</si>
  <si>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</si>
  <si>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</si>
  <si>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</si>
  <si>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</si>
  <si>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</si>
  <si>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</si>
  <si>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</si>
  <si>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</si>
  <si>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</si>
  <si>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</si>
  <si>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</si>
  <si>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</si>
  <si>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</si>
  <si>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</si>
  <si>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</si>
  <si>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</si>
  <si>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</si>
  <si>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</si>
  <si>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</si>
  <si>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</si>
  <si>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</si>
  <si>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</si>
  <si>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</si>
  <si>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</si>
  <si>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</si>
  <si>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</si>
  <si>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</si>
  <si>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</si>
  <si>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</si>
  <si>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</si>
  <si>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</si>
  <si>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</si>
  <si>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</si>
  <si>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</si>
  <si>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</si>
  <si>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</si>
  <si>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</si>
  <si>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</si>
  <si>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</si>
  <si>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</si>
  <si>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</si>
  <si>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</si>
  <si>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</si>
  <si>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</si>
  <si>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</si>
  <si>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</si>
  <si>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</si>
  <si>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</si>
  <si>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</si>
  <si>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</si>
  <si>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</si>
  <si>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</si>
  <si>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</si>
  <si>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</si>
  <si>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</si>
  <si>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</si>
  <si>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</si>
  <si>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</si>
  <si>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</si>
  <si>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</si>
  <si>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</si>
  <si>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</si>
  <si>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</si>
  <si>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</si>
  <si>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</si>
  <si>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</si>
  <si>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</si>
  <si>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</si>
  <si>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</si>
  <si>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</si>
  <si>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</si>
  <si>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</si>
  <si>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</si>
  <si>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</si>
  <si>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</si>
  <si>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</si>
  <si>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</si>
  <si>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</si>
  <si>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</si>
  <si>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</si>
  <si>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</si>
  <si>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</si>
  <si>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</si>
  <si>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</si>
  <si>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</si>
  <si>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</si>
  <si>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</si>
  <si>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</si>
  <si>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</si>
  <si>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</si>
  <si>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</si>
  <si>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</si>
  <si>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</si>
  <si>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</si>
  <si>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</si>
  <si>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</si>
  <si>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</si>
  <si>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</si>
  <si>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</si>
  <si>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</si>
  <si>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</si>
  <si>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</si>
  <si>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</si>
  <si>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</si>
  <si>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</si>
  <si>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</si>
  <si>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</si>
  <si>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</si>
  <si>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</si>
  <si>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</si>
  <si>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</si>
  <si>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</si>
  <si>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</si>
  <si>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</si>
  <si>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</si>
  <si>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</si>
  <si>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</si>
  <si>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</si>
  <si>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</si>
  <si>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</si>
  <si>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</si>
  <si>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</si>
  <si>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</si>
  <si>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</si>
  <si>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</si>
  <si>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</si>
  <si>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</si>
  <si>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</si>
  <si>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</si>
  <si>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</si>
  <si>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</si>
  <si>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</si>
  <si>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</si>
  <si>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</si>
  <si>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</si>
  <si>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</si>
  <si>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</si>
  <si>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</si>
  <si>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</si>
  <si>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</si>
  <si>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</si>
  <si>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</si>
  <si>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</si>
  <si>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</si>
  <si>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</si>
  <si>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</si>
  <si>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</si>
  <si>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</si>
  <si>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</si>
  <si>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</si>
  <si>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</si>
  <si>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</si>
  <si>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</si>
  <si>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</si>
  <si>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</si>
  <si>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</si>
  <si>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</si>
  <si>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</si>
  <si>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</si>
  <si>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</si>
  <si>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</si>
  <si>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</si>
  <si>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</si>
  <si>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</si>
  <si>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</si>
  <si>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</si>
  <si>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</si>
  <si>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</si>
  <si>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</si>
  <si>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</si>
  <si>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</si>
  <si>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</si>
  <si>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</si>
  <si>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</si>
  <si>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</si>
  <si>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</si>
  <si>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</si>
  <si>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</si>
  <si>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</si>
  <si>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</si>
  <si>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</si>
  <si>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</si>
  <si>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</si>
  <si>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</si>
  <si>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</si>
  <si>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</si>
  <si>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</si>
  <si>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</si>
  <si>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</si>
  <si>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</si>
  <si>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</si>
  <si>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</si>
  <si>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</si>
  <si>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</si>
  <si>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</si>
  <si>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</si>
  <si>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</si>
  <si>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</si>
  <si>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</si>
  <si>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</si>
  <si>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</si>
  <si>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</si>
  <si>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</si>
  <si>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</si>
  <si>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</si>
  <si>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</si>
  <si>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</si>
  <si>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</si>
  <si>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</si>
  <si>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</si>
  <si>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</si>
  <si>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</si>
  <si>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</si>
  <si>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</si>
  <si>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</si>
  <si>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</si>
  <si>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</si>
  <si>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</si>
  <si>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</si>
  <si>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</si>
  <si>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</si>
  <si>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</si>
  <si>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</si>
  <si>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</si>
  <si>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</si>
  <si>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</si>
  <si>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</si>
  <si>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</si>
  <si>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</si>
  <si>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</si>
  <si>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</si>
  <si>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</si>
  <si>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</si>
  <si>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</si>
  <si>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</si>
  <si>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</si>
  <si>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</si>
  <si>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</si>
  <si>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</si>
  <si>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</si>
  <si>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</si>
  <si>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</si>
  <si>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</si>
  <si>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</si>
  <si>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</si>
  <si>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</si>
  <si>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</si>
  <si>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</si>
  <si>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</si>
  <si>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</si>
  <si>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</si>
  <si>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</si>
  <si>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</si>
  <si>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</si>
  <si>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</si>
  <si>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</si>
  <si>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</si>
  <si>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</si>
  <si>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</si>
  <si>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</si>
  <si>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</si>
  <si>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</si>
  <si>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</si>
  <si>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</si>
  <si>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</si>
  <si>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</si>
  <si>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</si>
  <si>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</si>
  <si>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</si>
  <si>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</si>
  <si>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</si>
  <si>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</si>
  <si>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</si>
  <si>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</si>
  <si>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</si>
  <si>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</si>
  <si>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</si>
  <si>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</si>
  <si>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</si>
  <si>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</si>
  <si>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</si>
  <si>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</si>
  <si>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</si>
  <si>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</si>
  <si>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</si>
  <si>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</si>
  <si>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</si>
  <si>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</si>
  <si>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</si>
  <si>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</si>
  <si>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</si>
  <si>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</si>
  <si>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</si>
  <si>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</si>
  <si>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</si>
  <si>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</si>
  <si>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</si>
  <si>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</si>
  <si>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</si>
  <si>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</si>
  <si>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</si>
  <si>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</si>
  <si>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</si>
  <si>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</si>
  <si>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</si>
  <si>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</si>
  <si>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</si>
  <si>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</si>
  <si>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</si>
  <si>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</si>
  <si>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</si>
  <si>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</si>
  <si>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</si>
  <si>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</si>
  <si>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</si>
  <si>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</si>
  <si>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</si>
  <si>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</si>
  <si>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</si>
  <si>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</si>
  <si>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</si>
  <si>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</si>
  <si>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</si>
  <si>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</si>
  <si>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</si>
  <si>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</si>
  <si>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</si>
  <si>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</si>
  <si>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</si>
  <si>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</si>
  <si>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</si>
  <si>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</si>
  <si>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</si>
  <si>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</si>
  <si>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</si>
  <si>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</si>
  <si>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</si>
  <si>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</si>
  <si>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</si>
  <si>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</si>
  <si>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</si>
  <si>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</si>
  <si>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</si>
  <si>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</si>
  <si>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</si>
  <si>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</si>
  <si>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</si>
  <si>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</si>
  <si>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</si>
  <si>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</si>
  <si>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</si>
  <si>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</si>
  <si>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</si>
  <si>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</si>
  <si>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</si>
  <si>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</si>
  <si>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</si>
  <si>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</si>
  <si>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</si>
  <si>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</si>
  <si>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</si>
  <si>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</si>
  <si>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</si>
  <si>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</si>
  <si>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</si>
  <si>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</si>
  <si>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</si>
  <si>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</si>
  <si>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</si>
  <si>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</si>
  <si>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</si>
  <si>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</si>
  <si>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</si>
  <si>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</si>
  <si>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</si>
  <si>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</si>
  <si>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</si>
  <si>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</si>
  <si>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</si>
  <si>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</si>
  <si>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</si>
  <si>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</si>
  <si>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</si>
  <si>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</si>
  <si>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</si>
  <si>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</si>
  <si>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</si>
  <si>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</si>
  <si>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</si>
  <si>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</si>
  <si>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</si>
  <si>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</si>
  <si>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</si>
  <si>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</si>
  <si>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</si>
  <si>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</si>
  <si>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</si>
  <si>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</si>
  <si>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</si>
  <si>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</si>
  <si>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</si>
  <si>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</si>
  <si>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</si>
  <si>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</si>
  <si>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</si>
  <si>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</si>
  <si>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</si>
  <si>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</si>
  <si>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</si>
  <si>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</si>
  <si>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</si>
  <si>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</si>
  <si>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</si>
  <si>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</si>
  <si>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</si>
  <si>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</si>
  <si>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</si>
  <si>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</si>
  <si>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</si>
  <si>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</si>
  <si>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</si>
  <si>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</si>
  <si>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</si>
  <si>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</si>
  <si>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</si>
  <si>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</si>
  <si>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</si>
  <si>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</si>
  <si>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</si>
  <si>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</si>
  <si>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</si>
  <si>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</si>
  <si>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</si>
  <si>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</si>
  <si>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</si>
  <si>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</si>
  <si>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</si>
  <si>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</si>
  <si>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</si>
  <si>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</si>
  <si>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</si>
  <si>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</si>
  <si>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</si>
  <si>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</si>
  <si>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</si>
  <si>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</si>
  <si>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</si>
  <si>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</si>
  <si>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</si>
  <si>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</si>
  <si>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</si>
  <si>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</si>
  <si>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</si>
  <si>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</si>
  <si>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</si>
  <si>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</si>
  <si>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</si>
  <si>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</si>
  <si>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</si>
  <si>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</si>
  <si>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</si>
  <si>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</si>
  <si>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</si>
  <si>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</si>
  <si>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</si>
  <si>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</si>
  <si>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</si>
  <si>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</si>
  <si>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</si>
  <si>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</si>
  <si>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</si>
  <si>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</si>
  <si>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</si>
  <si>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</si>
  <si>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</si>
  <si>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</si>
  <si>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</si>
  <si>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</si>
  <si>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</si>
  <si>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</si>
  <si>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</si>
  <si>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</si>
  <si>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</si>
  <si>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</si>
  <si>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</si>
  <si>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</si>
  <si>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</si>
  <si>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</si>
  <si>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</si>
  <si>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</si>
  <si>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</si>
  <si>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</si>
  <si>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</si>
  <si>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</si>
  <si>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</si>
  <si>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</si>
  <si>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</si>
  <si>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</si>
  <si>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</si>
  <si>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</si>
  <si>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</si>
  <si>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</si>
  <si>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</si>
  <si>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</si>
  <si>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</si>
  <si>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</si>
  <si>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</si>
  <si>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</si>
  <si>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</si>
  <si>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</si>
  <si>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</si>
  <si>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</si>
  <si>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</si>
  <si>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</si>
  <si>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</si>
  <si>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</si>
  <si>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</si>
  <si>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</si>
  <si>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</si>
  <si>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</si>
  <si>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</si>
  <si>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</si>
  <si>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</si>
  <si>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</si>
  <si>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</si>
  <si>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</si>
  <si>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</si>
  <si>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</si>
  <si>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</si>
  <si>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</si>
  <si>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</si>
  <si>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</si>
  <si>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</si>
  <si>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</si>
  <si>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</si>
  <si>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</si>
  <si>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</si>
  <si>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</si>
  <si>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</si>
  <si>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</si>
  <si>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</si>
  <si>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</si>
  <si>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</si>
  <si>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</si>
  <si>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</si>
  <si>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</si>
  <si>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</si>
  <si>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</si>
  <si>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</si>
  <si>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</si>
  <si>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</si>
  <si>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</si>
  <si>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</si>
  <si>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</si>
  <si>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</si>
  <si>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</si>
  <si>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</si>
  <si>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</si>
  <si>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</si>
  <si>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</si>
  <si>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</si>
  <si>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</si>
  <si>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</si>
  <si>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</si>
  <si>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</si>
  <si>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</si>
  <si>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</si>
  <si>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</si>
  <si>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</si>
  <si>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</si>
  <si>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</si>
  <si>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</si>
  <si>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</si>
  <si>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</si>
  <si>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</si>
  <si>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</si>
  <si>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</si>
  <si>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</si>
  <si>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</si>
  <si>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</si>
  <si>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</si>
  <si>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</si>
  <si>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</si>
  <si>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</si>
  <si>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</si>
  <si>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</si>
  <si>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</si>
  <si>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</si>
  <si>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</si>
  <si>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</si>
  <si>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</si>
  <si>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</si>
  <si>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</si>
  <si>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</si>
  <si>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</si>
  <si>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</si>
  <si>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</si>
  <si>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</si>
  <si>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</si>
  <si>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</si>
  <si>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</si>
  <si>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</si>
  <si>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</si>
  <si>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</si>
  <si>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</si>
  <si>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</si>
  <si>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</si>
  <si>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</si>
  <si>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</si>
  <si>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</si>
  <si>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</si>
  <si>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</si>
  <si>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</si>
  <si>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</si>
  <si>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</si>
  <si>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</si>
  <si>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</si>
  <si>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</si>
  <si>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</si>
  <si>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</si>
  <si>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</si>
  <si>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</si>
  <si>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</si>
  <si>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</si>
  <si>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</si>
  <si>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</si>
  <si>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</si>
  <si>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</si>
  <si>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</si>
  <si>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</si>
  <si>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</si>
  <si>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</si>
  <si>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</si>
  <si>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</si>
  <si>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</si>
  <si>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</si>
  <si>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</si>
  <si>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</si>
  <si>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</si>
  <si>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</si>
  <si>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</si>
  <si>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</si>
  <si>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</si>
  <si>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</si>
  <si>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</si>
  <si>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</si>
  <si>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</si>
  <si>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</si>
  <si>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</si>
  <si>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</si>
  <si>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</si>
  <si>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</si>
  <si>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</si>
  <si>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</si>
  <si>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</si>
  <si>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</si>
  <si>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</si>
  <si>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</si>
  <si>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</si>
  <si>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</si>
  <si>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</si>
  <si>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</si>
  <si>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</si>
  <si>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</si>
  <si>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</si>
  <si>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</si>
  <si>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</si>
  <si>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</si>
  <si>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</si>
  <si>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</si>
  <si>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</si>
  <si>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</si>
  <si>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</si>
  <si>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</si>
  <si>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</si>
  <si>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</si>
  <si>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</si>
  <si>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</si>
  <si>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</si>
  <si>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</si>
  <si>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</si>
  <si>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</si>
  <si>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</si>
  <si>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</si>
  <si>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</si>
  <si>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</si>
  <si>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</si>
  <si>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</si>
  <si>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</si>
  <si>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</si>
  <si>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</si>
  <si>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</si>
  <si>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</si>
  <si>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</si>
  <si>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</si>
  <si>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</si>
  <si>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</si>
  <si>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</si>
  <si>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</si>
  <si>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</si>
  <si>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</si>
  <si>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</si>
  <si>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</si>
  <si>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</si>
  <si>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</si>
  <si>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</si>
  <si>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</si>
  <si>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</si>
  <si>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</si>
  <si>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</si>
  <si>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</si>
  <si>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</si>
  <si>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</si>
  <si>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</si>
  <si>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</si>
  <si>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</si>
  <si>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</si>
  <si>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</si>
  <si>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</si>
  <si>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</si>
  <si>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</si>
  <si>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</si>
  <si>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</si>
  <si>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</si>
  <si>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</si>
  <si>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</si>
  <si>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</si>
  <si>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</si>
  <si>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</si>
  <si>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</si>
  <si>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</si>
  <si>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</si>
  <si>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</si>
  <si>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</si>
  <si>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</si>
  <si>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</si>
  <si>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</si>
  <si>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</si>
  <si>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</si>
  <si>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</si>
  <si>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</si>
  <si>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</si>
  <si>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</si>
  <si>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</si>
  <si>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</si>
  <si>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</si>
  <si>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</si>
  <si>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</si>
  <si>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</si>
  <si>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</si>
  <si>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</si>
  <si>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</si>
  <si>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</si>
  <si>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</si>
  <si>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</si>
  <si>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</si>
  <si>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</si>
  <si>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</si>
  <si>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</si>
  <si>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</si>
  <si>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</si>
  <si>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</si>
  <si>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</si>
  <si>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</si>
  <si>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</si>
  <si>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</si>
  <si>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</si>
  <si>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</si>
  <si>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</si>
  <si>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</si>
  <si>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</si>
  <si>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</si>
  <si>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</si>
  <si>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</si>
  <si>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</si>
  <si>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</si>
  <si>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</si>
  <si>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</si>
  <si>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</si>
  <si>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</si>
  <si>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</si>
  <si>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</si>
  <si>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</si>
  <si>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</si>
  <si>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</si>
  <si>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</si>
  <si>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</si>
  <si>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</si>
  <si>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</si>
  <si>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</si>
  <si>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</si>
  <si>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</si>
  <si>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</si>
  <si>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</si>
  <si>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</si>
  <si>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</si>
  <si>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</si>
  <si>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</si>
  <si>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</si>
  <si>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</si>
  <si>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</si>
  <si>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</si>
  <si>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</si>
  <si>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</si>
  <si>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</si>
  <si>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</si>
  <si>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</si>
  <si>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</si>
  <si>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</si>
  <si>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</si>
  <si>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</si>
  <si>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</si>
  <si>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</si>
  <si>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</si>
  <si>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</si>
  <si>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</si>
  <si>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</si>
  <si>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</si>
  <si>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</si>
  <si>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</si>
  <si>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</si>
  <si>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</si>
  <si>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</si>
  <si>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</si>
  <si>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</si>
  <si>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</si>
  <si>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</si>
  <si>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</si>
  <si>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</si>
  <si>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</si>
  <si>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</si>
  <si>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</si>
  <si>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</si>
  <si>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</si>
  <si>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</si>
  <si>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</si>
  <si>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</si>
  <si>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</si>
  <si>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</si>
  <si>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</si>
  <si>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</si>
  <si>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</si>
  <si>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</si>
  <si>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</si>
  <si>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</si>
  <si>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</si>
  <si>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</si>
  <si>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</si>
  <si>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</si>
  <si>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</si>
  <si>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</si>
  <si>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</si>
  <si>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</si>
  <si>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</si>
  <si>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</si>
  <si>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</si>
  <si>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</si>
  <si>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</si>
  <si>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</si>
  <si>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</si>
  <si>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</si>
  <si>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</si>
  <si>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</si>
  <si>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</si>
  <si>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</si>
  <si>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</si>
  <si>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</si>
  <si>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</si>
  <si>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</si>
  <si>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</si>
  <si>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</si>
  <si>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</si>
  <si>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</si>
  <si>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</si>
  <si>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</si>
  <si>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</si>
  <si>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</si>
  <si>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</si>
  <si>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</si>
  <si>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</si>
  <si>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</si>
  <si>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</si>
  <si>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</si>
  <si>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</si>
  <si>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</si>
  <si>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</si>
  <si>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</si>
  <si>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</si>
  <si>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</si>
  <si>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</si>
  <si>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</si>
  <si>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</si>
  <si>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</si>
  <si>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</si>
  <si>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</si>
  <si>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</si>
  <si>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</si>
  <si>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</si>
  <si>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</si>
  <si>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</si>
  <si>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</si>
  <si>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</si>
  <si>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</si>
  <si>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</si>
  <si>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</si>
  <si>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</si>
  <si>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</si>
  <si>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</si>
  <si>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</si>
  <si>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</si>
  <si>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</si>
  <si>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</si>
  <si>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</si>
  <si>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</si>
  <si>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</si>
  <si>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</si>
  <si>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</si>
  <si>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</si>
  <si>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</si>
  <si>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</si>
  <si>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</si>
  <si>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</si>
  <si>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</si>
  <si>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</si>
  <si>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</si>
  <si>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</si>
  <si>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</si>
  <si>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</si>
  <si>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</si>
  <si>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</si>
  <si>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</si>
  <si>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</si>
  <si>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</si>
  <si>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</si>
  <si>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</si>
  <si>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</si>
  <si>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</si>
  <si>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</si>
  <si>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</si>
  <si>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</si>
  <si>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</si>
  <si>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</si>
  <si>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</si>
  <si>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</si>
  <si>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</si>
  <si>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</si>
  <si>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</si>
  <si>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</si>
  <si>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</si>
  <si>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</si>
  <si>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</si>
  <si>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</si>
  <si>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</si>
  <si>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</si>
  <si>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</si>
  <si>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</si>
  <si>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</si>
  <si>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</si>
  <si>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</si>
  <si>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</si>
  <si>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</si>
  <si>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</si>
  <si>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</si>
  <si>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</si>
  <si>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</si>
  <si>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</si>
  <si>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</si>
  <si>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</si>
  <si>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</si>
  <si>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</si>
  <si>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</si>
  <si>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</si>
  <si>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</si>
  <si>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</si>
  <si>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</si>
  <si>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</si>
  <si>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</si>
  <si>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</si>
  <si>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</si>
  <si>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</si>
  <si>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</si>
  <si>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</si>
  <si>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</si>
  <si>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</si>
  <si>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</si>
  <si>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</si>
  <si>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</si>
  <si>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</si>
  <si>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</si>
  <si>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</si>
  <si>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</si>
  <si>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</si>
  <si>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</si>
  <si>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</si>
  <si>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</si>
  <si>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</si>
  <si>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</si>
  <si>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</si>
  <si>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</si>
  <si>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</si>
  <si>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</si>
  <si>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</si>
  <si>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</si>
  <si>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</si>
  <si>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</si>
  <si>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</si>
  <si>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</si>
  <si>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</si>
  <si>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</si>
  <si>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</si>
  <si>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</si>
  <si>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</si>
  <si>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</si>
  <si>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</si>
  <si>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</si>
  <si>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</si>
  <si>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</si>
  <si>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</si>
  <si>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</si>
  <si>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</si>
  <si>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</si>
  <si>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</si>
  <si>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</si>
  <si>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</si>
  <si>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</si>
  <si>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</si>
  <si>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</si>
  <si>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</si>
  <si>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</si>
  <si>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</si>
  <si>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</si>
  <si>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</si>
  <si>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</si>
  <si>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</si>
  <si>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</si>
  <si>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</si>
  <si>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</si>
  <si>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</si>
  <si>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</si>
  <si>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</si>
  <si>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</si>
  <si>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</si>
  <si>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</si>
  <si>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</si>
  <si>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</si>
  <si>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</si>
  <si>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</si>
  <si>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</si>
  <si>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</si>
  <si>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</si>
  <si>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</si>
  <si>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</si>
  <si>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</si>
  <si>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</si>
  <si>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</si>
  <si>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</si>
  <si>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</si>
  <si>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</si>
  <si>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</si>
  <si>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</si>
  <si>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</si>
  <si>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</si>
  <si>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</si>
  <si>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</si>
  <si>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</si>
  <si>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</si>
  <si>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</si>
  <si>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</si>
  <si>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</si>
  <si>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</si>
  <si>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</si>
  <si>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</si>
  <si>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</si>
  <si>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</si>
  <si>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</si>
  <si>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</si>
  <si>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</si>
  <si>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</si>
  <si>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</si>
  <si>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</si>
  <si>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</si>
  <si>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</si>
  <si>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</si>
  <si>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</si>
  <si>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</si>
  <si>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</si>
  <si>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</si>
  <si>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</si>
  <si>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</si>
  <si>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</si>
  <si>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</si>
  <si>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</si>
  <si>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</si>
  <si>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</si>
  <si>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</si>
  <si>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</si>
  <si>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</si>
  <si>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</si>
  <si>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</si>
  <si>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</si>
  <si>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</si>
  <si>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</si>
  <si>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</si>
  <si>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</si>
  <si>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</si>
  <si>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</si>
  <si>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</si>
  <si>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</si>
  <si>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</si>
  <si>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</si>
  <si>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</si>
  <si>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</si>
  <si>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</si>
  <si>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</si>
  <si>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</si>
  <si>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</si>
  <si>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</si>
  <si>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</si>
  <si>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</si>
  <si>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</si>
  <si>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</si>
  <si>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</si>
  <si>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</si>
  <si>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</si>
  <si>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</si>
  <si>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</si>
  <si>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</si>
  <si>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</si>
  <si>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</si>
  <si>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</si>
  <si>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</si>
  <si>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</si>
  <si>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</si>
  <si>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</si>
  <si>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</si>
  <si>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</si>
  <si>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</si>
  <si>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</si>
  <si>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</si>
  <si>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</si>
  <si>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</si>
  <si>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</si>
  <si>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</si>
  <si>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</si>
  <si>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</si>
  <si>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</si>
  <si>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</si>
  <si>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</si>
  <si>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</si>
  <si>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</si>
  <si>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</si>
  <si>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</si>
  <si>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</si>
  <si>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</si>
  <si>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</si>
  <si>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</si>
  <si>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</si>
  <si>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</si>
  <si>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</si>
  <si>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</si>
  <si>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</si>
  <si>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</si>
  <si>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</si>
  <si>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</si>
  <si>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</si>
  <si>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</si>
  <si>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</si>
  <si>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</si>
  <si>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</si>
  <si>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</si>
  <si>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</si>
  <si>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</si>
  <si>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</si>
  <si>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</si>
  <si>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</si>
  <si>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</si>
  <si>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</si>
  <si>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</si>
  <si>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</si>
  <si>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</si>
  <si>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</si>
  <si>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</si>
  <si>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</si>
  <si>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</si>
  <si>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</si>
  <si>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</si>
  <si>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</si>
  <si>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</si>
  <si>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</si>
  <si>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</si>
  <si>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</si>
  <si>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</si>
  <si>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</si>
  <si>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</si>
  <si>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</si>
  <si>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</si>
  <si>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</si>
  <si>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</si>
  <si>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</si>
  <si>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</si>
  <si>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</si>
  <si>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</si>
  <si>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</si>
  <si>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</si>
  <si>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</si>
  <si>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</si>
  <si>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</si>
  <si>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</si>
  <si>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</si>
  <si>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</si>
  <si>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</si>
  <si>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</si>
  <si>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</si>
  <si>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</si>
  <si>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</si>
  <si>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</si>
  <si>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</si>
  <si>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</si>
  <si>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</si>
  <si>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</si>
  <si>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</si>
  <si>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</si>
  <si>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</si>
  <si>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</si>
  <si>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</si>
  <si>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</si>
  <si>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</si>
  <si>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</si>
  <si>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</si>
  <si>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</si>
  <si>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</si>
  <si>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</si>
  <si>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</si>
  <si>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</si>
  <si>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</si>
  <si>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</si>
  <si>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</si>
  <si>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</si>
  <si>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</si>
  <si>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</si>
  <si>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</si>
  <si>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</si>
  <si>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</si>
  <si>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</si>
  <si>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</si>
  <si>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</si>
  <si>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</si>
  <si>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</si>
  <si>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</si>
  <si>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</si>
  <si>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</si>
  <si>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</si>
  <si>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</si>
  <si>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</si>
  <si>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</si>
  <si>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</si>
  <si>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</si>
  <si>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</si>
  <si>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</si>
  <si>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</si>
  <si>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</si>
  <si>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</si>
  <si>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</si>
  <si>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</si>
  <si>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</si>
  <si>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</si>
  <si>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</si>
  <si>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</si>
  <si>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</si>
  <si>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</si>
  <si>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</si>
  <si>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</si>
  <si>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</si>
  <si>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</si>
  <si>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</si>
  <si>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</si>
  <si>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</si>
  <si>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</si>
  <si>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</si>
  <si>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</si>
  <si>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</si>
  <si>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</si>
  <si>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</si>
  <si>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</si>
  <si>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</si>
  <si>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</si>
  <si>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</si>
  <si>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</si>
  <si>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</si>
  <si>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</si>
  <si>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</si>
  <si>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</si>
  <si>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</si>
  <si>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</si>
  <si>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</si>
  <si>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</si>
  <si>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</si>
  <si>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</si>
  <si>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</si>
  <si>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</si>
  <si>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</si>
  <si>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</si>
  <si>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</si>
  <si>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</si>
  <si>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</si>
  <si>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</si>
  <si>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</si>
  <si>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</si>
  <si>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</si>
  <si>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</si>
  <si>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</si>
  <si>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</si>
  <si>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</si>
  <si>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</si>
  <si>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</si>
  <si>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</si>
  <si>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</si>
  <si>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</si>
  <si>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</si>
  <si>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</si>
  <si>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</si>
  <si>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</si>
  <si>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</si>
  <si>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</si>
  <si>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</si>
  <si>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</si>
  <si>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</si>
  <si>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</si>
  <si>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</si>
  <si>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</si>
  <si>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</si>
  <si>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</si>
  <si>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</si>
  <si>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</si>
  <si>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</si>
  <si>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</si>
  <si>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</si>
  <si>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</si>
  <si>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</si>
  <si>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</si>
  <si>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</si>
  <si>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</si>
  <si>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</si>
  <si>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</si>
  <si>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</si>
  <si>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</si>
  <si>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</si>
  <si>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</si>
  <si>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</si>
  <si>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</si>
  <si>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</si>
  <si>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</si>
  <si>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</si>
  <si>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</si>
  <si>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</si>
  <si>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</si>
  <si>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</si>
  <si>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</si>
  <si>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</si>
  <si>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</si>
  <si>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</si>
  <si>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</si>
  <si>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</si>
  <si>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</si>
  <si>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</si>
  <si>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</si>
  <si>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</si>
  <si>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</si>
  <si>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</si>
  <si>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</si>
  <si>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</si>
  <si>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</si>
  <si>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</si>
  <si>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</si>
  <si>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</si>
  <si>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</si>
  <si>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</si>
  <si>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</si>
  <si>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</si>
  <si>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</si>
  <si>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</si>
  <si>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</si>
  <si>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</si>
  <si>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</si>
  <si>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</si>
  <si>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</si>
  <si>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</si>
  <si>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</si>
  <si>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</si>
  <si>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</si>
  <si>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</si>
  <si>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</si>
  <si>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</si>
  <si>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</si>
  <si>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</si>
  <si>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</si>
  <si>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</si>
  <si>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</si>
  <si>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</si>
  <si>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</si>
  <si>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</si>
  <si>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</si>
  <si>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</si>
  <si>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</si>
  <si>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</si>
  <si>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</si>
  <si>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</si>
  <si>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</si>
  <si>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</si>
  <si>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</si>
  <si>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</si>
  <si>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</si>
  <si>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</si>
  <si>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</si>
  <si>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</si>
  <si>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</si>
  <si>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</si>
  <si>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</si>
  <si>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</si>
  <si>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</si>
  <si>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</si>
  <si>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</si>
  <si>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</si>
  <si>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</si>
  <si>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</si>
  <si>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</si>
  <si>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</si>
  <si>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</si>
  <si>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</si>
  <si>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</si>
  <si>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</si>
  <si>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</si>
  <si>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</si>
  <si>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</si>
  <si>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</si>
  <si>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</si>
  <si>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</si>
  <si>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</si>
  <si>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</si>
  <si>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</si>
  <si>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</si>
  <si>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</si>
  <si>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</si>
  <si>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</si>
  <si>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</si>
  <si>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</si>
  <si>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</si>
  <si>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</si>
  <si>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</si>
  <si>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</si>
  <si>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</si>
  <si>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</si>
  <si>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</si>
  <si>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</si>
  <si>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</si>
  <si>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</si>
  <si>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</si>
  <si>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</si>
  <si>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</si>
  <si>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</si>
  <si>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</si>
  <si>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</si>
  <si>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</si>
  <si>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</si>
  <si>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</si>
  <si>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</si>
  <si>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</si>
  <si>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</si>
  <si>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</si>
  <si>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</si>
  <si>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</si>
  <si>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</si>
  <si>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</si>
  <si>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</si>
  <si>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</si>
  <si>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</si>
  <si>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</si>
  <si>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</si>
  <si>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</si>
  <si>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</si>
  <si>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</si>
  <si>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</si>
  <si>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</si>
  <si>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</si>
  <si>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</si>
  <si>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</si>
  <si>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</si>
  <si>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</si>
  <si>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</si>
  <si>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</si>
  <si>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</si>
  <si>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</si>
  <si>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</si>
  <si>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</si>
  <si>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</si>
  <si>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</si>
  <si>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</si>
  <si>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</si>
  <si>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</si>
  <si>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</si>
  <si>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</si>
  <si>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</si>
  <si>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</si>
  <si>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</si>
  <si>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</si>
  <si>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</si>
  <si>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</si>
  <si>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</si>
  <si>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</si>
  <si>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</si>
  <si>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</si>
  <si>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</si>
  <si>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</si>
  <si>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</si>
  <si>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</si>
  <si>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</si>
  <si>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</si>
  <si>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</si>
  <si>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</si>
  <si>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</si>
  <si>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</si>
  <si>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</si>
  <si>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</si>
  <si>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</si>
  <si>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</si>
  <si>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</si>
  <si>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</si>
  <si>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</si>
  <si>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</si>
  <si>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</si>
  <si>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</si>
  <si>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</si>
  <si>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</si>
  <si>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</si>
  <si>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</si>
  <si>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</si>
  <si>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</si>
  <si>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</si>
  <si>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</si>
  <si>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</si>
  <si>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</si>
  <si>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</si>
  <si>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</si>
  <si>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</si>
  <si>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</si>
  <si>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</si>
  <si>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</si>
  <si>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</si>
  <si>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</si>
  <si>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</si>
  <si>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</si>
  <si>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</si>
  <si>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</si>
  <si>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</si>
  <si>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</si>
  <si>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</si>
  <si>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</si>
  <si>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</si>
  <si>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</si>
  <si>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</si>
  <si>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</si>
  <si>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</si>
  <si>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</si>
  <si>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</si>
  <si>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</si>
  <si>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</si>
  <si>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</si>
  <si>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</si>
  <si>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</si>
  <si>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</si>
  <si>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</si>
  <si>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</si>
  <si>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</si>
  <si>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</si>
  <si>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</si>
  <si>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</si>
  <si>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</si>
  <si>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</si>
  <si>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</si>
  <si>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</si>
  <si>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</si>
  <si>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</si>
  <si>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</si>
  <si>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</si>
  <si>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</si>
  <si>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</si>
  <si>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</si>
  <si>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</si>
  <si>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</si>
  <si>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</si>
  <si>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</si>
  <si>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</si>
  <si>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</si>
  <si>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</si>
  <si>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</si>
  <si>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</si>
  <si>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</si>
  <si>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</si>
  <si>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</si>
  <si>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</si>
  <si>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</si>
  <si>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</si>
  <si>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</si>
  <si>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</si>
  <si>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</si>
  <si>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</si>
  <si>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</si>
  <si>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</si>
  <si>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</si>
  <si>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</si>
  <si>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</si>
  <si>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</si>
  <si>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</si>
  <si>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</si>
  <si>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</si>
  <si>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</si>
  <si>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</si>
  <si>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</si>
  <si>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</si>
  <si>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</si>
  <si>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</si>
  <si>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</si>
  <si>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</si>
  <si>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</si>
  <si>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</si>
  <si>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</si>
  <si>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</si>
  <si>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</si>
  <si>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</si>
  <si>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</si>
  <si>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</si>
  <si>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</si>
  <si>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</si>
  <si>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</si>
  <si>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</si>
  <si>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</si>
  <si>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</si>
  <si>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</si>
  <si>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</si>
  <si>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</si>
  <si>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</si>
  <si>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</si>
  <si>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</si>
  <si>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</si>
  <si>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</si>
  <si>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</si>
  <si>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</si>
  <si>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</si>
  <si>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</si>
  <si>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</si>
  <si>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</si>
  <si>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</si>
  <si>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</si>
  <si>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</si>
  <si>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</si>
  <si>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</si>
  <si>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</si>
  <si>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</si>
  <si>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</si>
  <si>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</si>
  <si>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</si>
  <si>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</si>
  <si>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</si>
  <si>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</si>
  <si>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</si>
  <si>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</si>
  <si>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</si>
  <si>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</si>
  <si>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</si>
  <si>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</si>
  <si>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</si>
  <si>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</si>
  <si>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</si>
  <si>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</si>
  <si>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</si>
  <si>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</si>
  <si>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</si>
  <si>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</si>
  <si>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</si>
  <si>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</si>
  <si>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</si>
  <si>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</si>
  <si>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</si>
  <si>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</si>
  <si>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</si>
  <si>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</si>
  <si>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</si>
  <si>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</si>
  <si>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</si>
  <si>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</si>
  <si>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</si>
  <si>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</si>
  <si>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</si>
  <si>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</si>
  <si>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</si>
  <si>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</si>
  <si>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</si>
  <si>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</si>
  <si>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</si>
  <si>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</si>
  <si>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</si>
  <si>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</si>
  <si>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</si>
  <si>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</si>
  <si>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</si>
  <si>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</si>
  <si>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</si>
  <si>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</si>
  <si>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</si>
  <si>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</si>
  <si>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</si>
  <si>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</si>
  <si>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</si>
  <si>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</si>
  <si>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</si>
  <si>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</si>
  <si>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</si>
  <si>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</si>
  <si>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</si>
  <si>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</si>
  <si>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</si>
  <si>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</si>
  <si>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</si>
  <si>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</si>
  <si>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</si>
  <si>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</si>
  <si>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</si>
  <si>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</si>
  <si>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</si>
  <si>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</si>
  <si>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</si>
  <si>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</si>
  <si>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</si>
  <si>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</si>
  <si>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</si>
  <si>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</si>
  <si>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</si>
  <si>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</si>
  <si>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</si>
  <si>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</si>
  <si>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</si>
  <si>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</si>
  <si>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</si>
  <si>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</si>
  <si>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</si>
  <si>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</si>
  <si>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</si>
  <si>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</si>
  <si>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</si>
  <si>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</si>
  <si>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</si>
  <si>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</si>
  <si>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</si>
  <si>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</si>
  <si>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</si>
  <si>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</si>
  <si>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</si>
  <si>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</si>
  <si>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</si>
  <si>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</si>
  <si>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</si>
  <si>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</si>
  <si>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</si>
  <si>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</si>
  <si>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</si>
  <si>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</si>
  <si>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</si>
  <si>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</si>
  <si>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</si>
  <si>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</si>
  <si>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</si>
  <si>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</si>
  <si>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</si>
  <si>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</si>
  <si>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</si>
  <si>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</si>
  <si>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</si>
  <si>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</si>
  <si>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</si>
  <si>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</si>
  <si>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</si>
  <si>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</si>
  <si>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</si>
  <si>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</si>
  <si>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</si>
  <si>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</si>
  <si>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</si>
  <si>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</si>
  <si>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</si>
  <si>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</si>
  <si>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</si>
  <si>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</si>
  <si>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</si>
  <si>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</si>
  <si>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</si>
  <si>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</si>
  <si>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</si>
  <si>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</si>
  <si>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</si>
  <si>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</si>
  <si>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</si>
  <si>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</si>
  <si>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</si>
  <si>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</si>
  <si>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</si>
  <si>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</si>
  <si>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2018-4</t>
    <phoneticPr fontId="4" type="noConversion"/>
  </si>
  <si>
    <t>王鹏</t>
  </si>
  <si>
    <t>郑燚</t>
  </si>
  <si>
    <t>抵押</t>
  </si>
  <si>
    <t>抵押价格</t>
  </si>
  <si>
    <t>其他：</t>
  </si>
  <si>
    <t>江苏省泰州市泰兴市</t>
    <phoneticPr fontId="7" type="noConversion"/>
  </si>
  <si>
    <t>企业</t>
  </si>
  <si>
    <t>出让</t>
  </si>
  <si>
    <t>中航信托</t>
    <phoneticPr fontId="7"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</si>
  <si>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</si>
  <si>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</si>
  <si>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</si>
  <si>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</si>
  <si>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</si>
  <si>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</si>
  <si>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</si>
  <si>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</si>
  <si>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</si>
  <si>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</si>
  <si>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</si>
  <si>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</si>
  <si>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</si>
  <si>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</si>
  <si>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</si>
  <si>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</si>
  <si>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</si>
  <si>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</si>
  <si>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</si>
  <si>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4"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</si>
  <si>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</si>
  <si>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</si>
  <si>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</si>
  <si>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</si>
  <si>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</si>
  <si>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</si>
  <si>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</si>
  <si>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</si>
  <si>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</si>
  <si>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</si>
  <si>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</si>
  <si>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</si>
  <si>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</si>
  <si>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</si>
  <si>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</si>
  <si>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</si>
  <si>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</si>
  <si>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</si>
  <si>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</si>
  <si>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</si>
  <si>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</si>
  <si>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</si>
  <si>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</si>
  <si>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</si>
  <si>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</si>
  <si>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</si>
  <si>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</si>
  <si>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</si>
  <si>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</si>
  <si>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</si>
  <si>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</si>
  <si>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</si>
  <si>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</si>
  <si>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</si>
  <si>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</si>
  <si>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</si>
  <si>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</si>
  <si>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</si>
  <si>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</si>
  <si>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</si>
  <si>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</si>
  <si>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</si>
  <si>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</si>
  <si>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</si>
  <si>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</si>
  <si>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</si>
  <si>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</si>
  <si>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</si>
  <si>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</si>
  <si>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</si>
  <si>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</si>
  <si>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</si>
  <si>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</si>
  <si>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</si>
  <si>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</si>
  <si>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</si>
  <si>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</si>
  <si>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</si>
  <si>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</si>
  <si>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</si>
  <si>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</si>
  <si>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</si>
  <si>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</si>
  <si>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</si>
  <si>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</si>
  <si>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</si>
  <si>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</si>
  <si>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</si>
  <si>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</si>
  <si>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</si>
  <si>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</si>
  <si>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</si>
  <si>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</si>
  <si>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</si>
  <si>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</si>
  <si>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</si>
  <si>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</si>
  <si>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</si>
  <si>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</si>
  <si>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</si>
  <si>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</si>
  <si>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</si>
  <si>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</si>
  <si>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</si>
  <si>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</si>
  <si>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</si>
  <si>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</si>
  <si>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</si>
  <si>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</si>
  <si>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</si>
  <si>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</si>
  <si>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</si>
  <si>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</si>
  <si>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</si>
  <si>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</si>
  <si>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</si>
  <si>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</si>
  <si>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</si>
  <si>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</si>
  <si>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</si>
  <si>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</si>
  <si>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</si>
  <si>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</si>
  <si>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</si>
  <si>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</si>
  <si>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</si>
  <si>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</si>
  <si>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</si>
  <si>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</si>
  <si>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</si>
  <si>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</si>
  <si>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</si>
  <si>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</si>
  <si>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</si>
  <si>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</si>
  <si>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</si>
  <si>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</si>
  <si>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</si>
  <si>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</si>
  <si>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</si>
  <si>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</si>
  <si>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</si>
  <si>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</si>
  <si>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</si>
  <si>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</si>
  <si>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</si>
  <si>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</si>
  <si>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</si>
  <si>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</si>
  <si>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</si>
  <si>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</si>
  <si>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</si>
  <si>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</si>
  <si>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</si>
  <si>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</si>
  <si>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</si>
  <si>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</si>
  <si>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</si>
  <si>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</si>
  <si>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</si>
  <si>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</si>
  <si>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</si>
  <si>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</si>
  <si>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4" type="noConversion"/>
  </si>
  <si>
    <t>银杏路北侧、济川路东侧1号地块</t>
    <phoneticPr fontId="7" type="noConversion"/>
  </si>
  <si>
    <t>泰兴市广源房地产开发有限公司</t>
    <phoneticPr fontId="7" type="noConversion"/>
  </si>
  <si>
    <t>城镇住宅、批发零售</t>
    <phoneticPr fontId="7" type="noConversion"/>
  </si>
  <si>
    <t>《不动产权证书》[苏（2018）泰兴市不动产权第0029052号]</t>
    <phoneticPr fontId="7" type="noConversion"/>
  </si>
  <si>
    <t>住宅</t>
    <phoneticPr fontId="7" type="noConversion"/>
  </si>
  <si>
    <t>《建设工程规划许可证》[建字第321283201800161号]</t>
    <phoneticPr fontId="7" type="noConversion"/>
  </si>
  <si>
    <t>一致</t>
  </si>
  <si>
    <t>含保障性住房</t>
  </si>
  <si>
    <t xml:space="preserve"> </t>
    <phoneticPr fontId="7" type="noConversion"/>
  </si>
  <si>
    <t>1#配电室</t>
    <phoneticPr fontId="4" type="noConversion"/>
  </si>
  <si>
    <t>2#配电室</t>
    <phoneticPr fontId="4" type="noConversion"/>
  </si>
  <si>
    <t>地上</t>
  </si>
  <si>
    <t>18社区服务用房</t>
    <phoneticPr fontId="4" type="noConversion"/>
  </si>
  <si>
    <t>地下车库</t>
    <phoneticPr fontId="4" type="noConversion"/>
  </si>
  <si>
    <t>地下</t>
  </si>
  <si>
    <t>车库</t>
  </si>
  <si>
    <t>小高层</t>
  </si>
  <si>
    <t>保障房1</t>
  </si>
  <si>
    <t>保障房1</t>
    <phoneticPr fontId="8" type="noConversion"/>
  </si>
  <si>
    <t>保障房2</t>
  </si>
  <si>
    <t>保障房2</t>
    <phoneticPr fontId="8" type="noConversion"/>
  </si>
  <si>
    <t>洋房</t>
  </si>
  <si>
    <t>洋房</t>
    <phoneticPr fontId="8" type="noConversion"/>
  </si>
  <si>
    <t>小高层</t>
    <phoneticPr fontId="8" type="noConversion"/>
  </si>
  <si>
    <t>高层</t>
  </si>
  <si>
    <t>高层</t>
    <phoneticPr fontId="8" type="noConversion"/>
  </si>
  <si>
    <t>地下车库</t>
    <phoneticPr fontId="8" type="noConversion"/>
  </si>
  <si>
    <t>优优华府</t>
    <phoneticPr fontId="4" type="noConversion"/>
  </si>
  <si>
    <r>
      <rPr>
        <sz val="11"/>
        <color theme="9" tint="-0.249977111117893"/>
        <rFont val="仿宋_GB2312"/>
        <family val="3"/>
        <charset val="134"/>
      </rPr>
      <t>案例</t>
    </r>
    <r>
      <rPr>
        <sz val="11"/>
        <color theme="9" tint="-0.249977111117893"/>
        <rFont val="Arial"/>
        <family val="2"/>
      </rPr>
      <t>A</t>
    </r>
    <phoneticPr fontId="4" type="noConversion"/>
  </si>
  <si>
    <r>
      <rPr>
        <sz val="11"/>
        <color theme="9" tint="-0.249977111117893"/>
        <rFont val="仿宋_GB2312"/>
        <family val="3"/>
        <charset val="134"/>
      </rPr>
      <t>案例</t>
    </r>
    <r>
      <rPr>
        <sz val="11"/>
        <color theme="9" tint="-0.249977111117893"/>
        <rFont val="Arial"/>
        <family val="2"/>
      </rPr>
      <t>B</t>
    </r>
    <phoneticPr fontId="4" type="noConversion"/>
  </si>
  <si>
    <r>
      <rPr>
        <sz val="11"/>
        <color theme="9" tint="-0.249977111117893"/>
        <rFont val="仿宋_GB2312"/>
        <family val="3"/>
        <charset val="134"/>
      </rPr>
      <t>案例</t>
    </r>
    <r>
      <rPr>
        <sz val="11"/>
        <color theme="9" tint="-0.249977111117893"/>
        <rFont val="Arial"/>
        <family val="2"/>
      </rPr>
      <t>C</t>
    </r>
    <phoneticPr fontId="4" type="noConversion"/>
  </si>
  <si>
    <t>根思路南侧、文江路西侧8号地块</t>
    <phoneticPr fontId="4" type="noConversion"/>
  </si>
  <si>
    <t>地价增长率</t>
    <phoneticPr fontId="234" type="noConversion"/>
  </si>
  <si>
    <t>长江三角洲</t>
    <phoneticPr fontId="234" type="noConversion"/>
  </si>
  <si>
    <t>住宅</t>
    <phoneticPr fontId="27"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</si>
  <si>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7" type="noConversion"/>
  </si>
  <si>
    <t>较好</t>
  </si>
  <si>
    <t>好</t>
  </si>
  <si>
    <t>规则</t>
    <phoneticPr fontId="27" type="noConversion"/>
  </si>
  <si>
    <t>较规则</t>
  </si>
  <si>
    <t>较规则</t>
    <phoneticPr fontId="27" type="noConversion"/>
  </si>
  <si>
    <t>较不规则</t>
    <phoneticPr fontId="27" type="noConversion"/>
  </si>
  <si>
    <t>不规则</t>
    <phoneticPr fontId="27" type="noConversion"/>
  </si>
  <si>
    <t>六通</t>
  </si>
  <si>
    <t>六通</t>
    <phoneticPr fontId="27" type="noConversion"/>
  </si>
  <si>
    <t>五通</t>
    <phoneticPr fontId="27" type="noConversion"/>
  </si>
  <si>
    <t>四通</t>
    <phoneticPr fontId="27" type="noConversion"/>
  </si>
  <si>
    <t>三通</t>
  </si>
  <si>
    <t>三通</t>
    <phoneticPr fontId="27" type="noConversion"/>
  </si>
  <si>
    <t>楼面地价</t>
  </si>
  <si>
    <t>市区兴南路北侧、科太路西侧地块</t>
    <phoneticPr fontId="4" type="noConversion"/>
  </si>
  <si>
    <t>根思路南侧、文江路西侧10号</t>
    <phoneticPr fontId="4" type="noConversion"/>
  </si>
  <si>
    <t>不动产收益法</t>
  </si>
  <si>
    <t>土地（套用方法）</t>
  </si>
  <si>
    <t>钢混</t>
  </si>
  <si>
    <t>按租金收入计税</t>
  </si>
  <si>
    <t>双面临街</t>
  </si>
  <si>
    <t>估价对象所在区域基础设施水平达到“六通”。</t>
    <phoneticPr fontId="4" type="noConversion"/>
  </si>
  <si>
    <t>估价对象周边居住用地比例较大、居住小区规模较大和社区发展完善程度较好，有欧景花都、御景园等居住小区，综合评价居住社区成熟度较好。</t>
    <phoneticPr fontId="4" type="noConversion"/>
  </si>
  <si>
    <t>城市次干道——银杏路</t>
    <phoneticPr fontId="22" type="noConversion"/>
  </si>
  <si>
    <t>城市高速路</t>
    <phoneticPr fontId="27" type="noConversion"/>
  </si>
  <si>
    <t>城市快速路</t>
    <phoneticPr fontId="27" type="noConversion"/>
  </si>
  <si>
    <t>城市主干道</t>
    <phoneticPr fontId="27" type="noConversion"/>
  </si>
  <si>
    <t>城市次干道</t>
  </si>
  <si>
    <t>城市次干道</t>
    <phoneticPr fontId="27" type="noConversion"/>
  </si>
  <si>
    <t>城市支路</t>
  </si>
  <si>
    <t>城市支路</t>
    <phoneticPr fontId="27" type="noConversion"/>
  </si>
  <si>
    <t>城市次干道——银杏路</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</si>
  <si>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</si>
  <si>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周边居住用地比例大、居住小区规模大和社区发展完善程度好，有中南世纪城、塞纳公馆等居住小区，综合评价居住社区成熟度好。</t>
    <phoneticPr fontId="27" type="noConversion"/>
  </si>
  <si>
    <t>一般</t>
  </si>
  <si>
    <t>周边多为住宅用地，区域土地利用方向较一致。</t>
    <phoneticPr fontId="22" type="noConversion"/>
  </si>
  <si>
    <t>周边多为住宅用地，区域土地利用方向较一致。</t>
    <phoneticPr fontId="27"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</si>
  <si>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7" type="noConversion"/>
  </si>
  <si>
    <t>区域自然环境：泰兴银杏公园；人文环境：泰兴市体育中心；综合评价环境状况较好。</t>
    <phoneticPr fontId="27" type="noConversion"/>
  </si>
  <si>
    <t>城市支路——兴南东路</t>
    <phoneticPr fontId="27" type="noConversion"/>
  </si>
  <si>
    <t>城市支路——根思路</t>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</si>
  <si>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7" type="noConversion"/>
  </si>
  <si>
    <t>周边居住用地比例较大、居住小区规模较大和社区发展完善程度较好，有祥生熙园、凤凰和泰等居住小区，综合评价居住社区成熟度较好。</t>
    <phoneticPr fontId="27"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</si>
  <si>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7" type="noConversion"/>
  </si>
  <si>
    <t>区域自然环境：仙鹤湾风光带；人文环境：泰兴市博物馆；综合评价环境状况较好。</t>
    <phoneticPr fontId="27"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</si>
  <si>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7" type="noConversion"/>
  </si>
  <si>
    <t>售价</t>
  </si>
  <si>
    <t>盛世兴隆</t>
    <phoneticPr fontId="4" type="noConversion"/>
  </si>
  <si>
    <t>文江北路西侧、龙河路南侧</t>
    <phoneticPr fontId="4" type="noConversion"/>
  </si>
  <si>
    <t>住宅</t>
    <phoneticPr fontId="22" type="noConversion"/>
  </si>
  <si>
    <t>60-70（含）</t>
  </si>
  <si>
    <t>吾悦首府</t>
    <phoneticPr fontId="4" type="noConversion"/>
  </si>
  <si>
    <t>鼓楼北路与根思路交汇处</t>
    <phoneticPr fontId="4" type="noConversion"/>
  </si>
  <si>
    <t>泰公馆</t>
    <phoneticPr fontId="4" type="noConversion"/>
  </si>
  <si>
    <t>鼓楼北路与龙河中路交界</t>
    <phoneticPr fontId="4" type="noConversion"/>
  </si>
  <si>
    <t>精装修</t>
    <phoneticPr fontId="22" type="noConversion"/>
  </si>
  <si>
    <t>普通装修</t>
  </si>
  <si>
    <t>普通装修</t>
    <phoneticPr fontId="22" type="noConversion"/>
  </si>
  <si>
    <t>简单装修</t>
    <phoneticPr fontId="22" type="noConversion"/>
  </si>
  <si>
    <t>毛坯</t>
  </si>
  <si>
    <t>毛坯</t>
    <phoneticPr fontId="22" type="noConversion"/>
  </si>
  <si>
    <t>项目局部</t>
  </si>
  <si>
    <t>土地</t>
  </si>
  <si>
    <t>剩余法-待开发</t>
  </si>
  <si>
    <t>比较法-住宅、综合</t>
  </si>
  <si>
    <t>住宅案例位置</t>
    <phoneticPr fontId="234" type="noConversion"/>
  </si>
  <si>
    <t>钢结构</t>
    <phoneticPr fontId="22" type="noConversion"/>
  </si>
  <si>
    <t>钢混</t>
    <phoneticPr fontId="22" type="noConversion"/>
  </si>
  <si>
    <t>混合</t>
    <phoneticPr fontId="22" type="noConversion"/>
  </si>
  <si>
    <t>六通</t>
    <phoneticPr fontId="22" type="noConversion"/>
  </si>
  <si>
    <t>五通</t>
    <phoneticPr fontId="22" type="noConversion"/>
  </si>
  <si>
    <t>四通</t>
    <phoneticPr fontId="22" type="noConversion"/>
  </si>
  <si>
    <t>三通</t>
    <phoneticPr fontId="22" type="noConversion"/>
  </si>
  <si>
    <t>120-130</t>
    <phoneticPr fontId="22" type="noConversion"/>
  </si>
  <si>
    <t>110-120</t>
    <phoneticPr fontId="22" type="noConversion"/>
  </si>
  <si>
    <t>120-130</t>
    <phoneticPr fontId="22" type="noConversion"/>
  </si>
  <si>
    <t>110-120</t>
    <phoneticPr fontId="22" type="noConversion"/>
  </si>
  <si>
    <t>周边居住用地比例一般、居住小区规模一般和社区发展完善程度一般，有龙河湾、祥生和家园等居住小区，综合评价居住社区成熟度一般。</t>
    <phoneticPr fontId="22"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</si>
  <si>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</si>
  <si>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</si>
  <si>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2" type="noConversion"/>
  </si>
  <si>
    <t>区域自然环境：龙河湾公园；人文环境：无博物馆、展览馆等人文景观；综合评价环境状况一般。</t>
    <phoneticPr fontId="22" type="noConversion"/>
  </si>
  <si>
    <t>周边居住用地比例较大、居住小区规模较大和社区发展完善程度较好，有祥生熙园、凤凰和泰等居住小区，综合评价居住社区成熟度较好。</t>
    <phoneticPr fontId="27" type="noConversion"/>
  </si>
  <si>
    <t>周边居住用地比例较大、居住小区规模较大和社区发展完善程度较好，有祥生熙园、佳源新天地等居住小区，综合评价居住社区成熟度较好。</t>
    <phoneticPr fontId="22"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</si>
  <si>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</si>
  <si>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2" type="noConversion"/>
  </si>
  <si>
    <t>区域自然环境：泰兴公园；人文环境：泰兴市博物馆；综合评价环境状况较好。</t>
    <phoneticPr fontId="22" type="noConversion"/>
  </si>
  <si>
    <t>周边居住用地比例较大、居住小区规模较大和社区发展完善程度较好，有祥生熙园、惠和佳园等居住小区，综合评价居住社区成熟度较好。</t>
    <phoneticPr fontId="22"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</si>
  <si>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</si>
  <si>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2" type="noConversion"/>
  </si>
  <si>
    <t>凡尔赛宫</t>
    <phoneticPr fontId="234" type="noConversion"/>
  </si>
  <si>
    <t>威东1</t>
    <phoneticPr fontId="234" type="noConversion"/>
  </si>
  <si>
    <t>圣彼得宫</t>
    <phoneticPr fontId="234" type="noConversion"/>
  </si>
  <si>
    <r>
      <t>东4</t>
    </r>
    <r>
      <rPr>
        <sz val="11"/>
        <color theme="1"/>
        <rFont val="宋体"/>
        <family val="3"/>
        <charset val="134"/>
        <scheme val="minor"/>
      </rPr>
      <t>-S1</t>
    </r>
    <phoneticPr fontId="234" type="noConversion"/>
  </si>
  <si>
    <t>奥赛宫</t>
    <phoneticPr fontId="234" type="noConversion"/>
  </si>
  <si>
    <t>布拉诺岛</t>
    <phoneticPr fontId="234" type="noConversion"/>
  </si>
  <si>
    <t>泰公馆</t>
    <phoneticPr fontId="234" type="noConversion"/>
  </si>
  <si>
    <t>优优华府</t>
    <phoneticPr fontId="234" type="noConversion"/>
  </si>
  <si>
    <t>威西万达</t>
    <phoneticPr fontId="234" type="noConversion"/>
  </si>
  <si>
    <r>
      <t>西2</t>
    </r>
    <r>
      <rPr>
        <sz val="11"/>
        <color theme="1"/>
        <rFont val="宋体"/>
        <family val="3"/>
        <charset val="134"/>
        <scheme val="minor"/>
      </rPr>
      <t>-S1S2</t>
    </r>
    <phoneticPr fontId="234" type="noConversion"/>
  </si>
  <si>
    <r>
      <t>东2</t>
    </r>
    <r>
      <rPr>
        <sz val="11"/>
        <color theme="1"/>
        <rFont val="宋体"/>
        <family val="3"/>
        <charset val="134"/>
        <scheme val="minor"/>
      </rPr>
      <t>-S1</t>
    </r>
    <phoneticPr fontId="234" type="noConversion"/>
  </si>
  <si>
    <t>东2-S2</t>
    <phoneticPr fontId="234" type="noConversion"/>
  </si>
  <si>
    <t>西2-S3</t>
    <phoneticPr fontId="234" type="noConversion"/>
  </si>
  <si>
    <t>土地面积</t>
    <phoneticPr fontId="234" type="noConversion"/>
  </si>
  <si>
    <t>规划建筑面积</t>
    <phoneticPr fontId="234" type="noConversion"/>
  </si>
  <si>
    <t>总价</t>
    <phoneticPr fontId="234" type="noConversion"/>
  </si>
  <si>
    <t>单价</t>
    <phoneticPr fontId="234" type="noConversion"/>
  </si>
  <si>
    <t>保障房</t>
    <phoneticPr fontId="27" type="noConversion"/>
  </si>
  <si>
    <t>无</t>
    <phoneticPr fontId="27" type="noConversion"/>
  </si>
  <si>
    <t xml:space="preserve"> </t>
    <phoneticPr fontId="234" type="noConversion"/>
  </si>
  <si>
    <t>银杏路北侧、济川东路东侧1号地块</t>
    <phoneticPr fontId="4" type="noConversion"/>
  </si>
  <si>
    <t>估价对象周边道路较密集，公共交通通达情况较好，有211路，泰兴1、2路等公共交通，停车较便捷，综合评价交通便捷度较好。</t>
    <phoneticPr fontId="4" type="noConversion"/>
  </si>
  <si>
    <t>估价对象所在区域2公里内有：银行（中国工商银行），购物（碧云商业广场、佰泰百货），医院（泰兴市肿瘤医院），学校（泰兴市第二高级中学、泰兴市鼓楼小学）等，公共配套设施齐备情况较好。</t>
    <phoneticPr fontId="4" type="noConversion"/>
  </si>
  <si>
    <t>区域自然环境：龙河湾公园；人文环境：无博物馆、展览馆等人文景观；综合评价环境状况一般。</t>
    <phoneticPr fontId="4" type="noConversion"/>
  </si>
  <si>
    <t>银杏路北侧、济川东路东侧1号地块</t>
    <phoneticPr fontId="4" type="noConversion"/>
  </si>
  <si>
    <t>自定义</t>
  </si>
  <si>
    <t>正常</t>
  </si>
  <si>
    <t>土地取得费用</t>
    <phoneticPr fontId="10" type="noConversion"/>
  </si>
  <si>
    <r>
      <rPr>
        <sz val="11"/>
        <color theme="1"/>
        <rFont val="宋体"/>
        <family val="3"/>
        <charset val="134"/>
      </rPr>
      <t>地块</t>
    </r>
    <r>
      <rPr>
        <sz val="11"/>
        <color theme="1"/>
        <rFont val="Arial"/>
        <family val="2"/>
      </rPr>
      <t>1</t>
    </r>
    <phoneticPr fontId="10" type="noConversion"/>
  </si>
  <si>
    <r>
      <rPr>
        <sz val="11"/>
        <color theme="1"/>
        <rFont val="宋体"/>
        <family val="3"/>
        <charset val="134"/>
      </rPr>
      <t>地块</t>
    </r>
    <r>
      <rPr>
        <sz val="11"/>
        <color theme="1"/>
        <rFont val="Arial"/>
        <family val="2"/>
      </rPr>
      <t>2</t>
    </r>
    <r>
      <rPr>
        <sz val="11"/>
        <color theme="1"/>
        <rFont val="宋体"/>
        <family val="2"/>
        <charset val="134"/>
        <scheme val="minor"/>
      </rPr>
      <t/>
    </r>
  </si>
  <si>
    <r>
      <rPr>
        <sz val="11"/>
        <color theme="1"/>
        <rFont val="宋体"/>
        <family val="3"/>
        <charset val="134"/>
      </rPr>
      <t>地块</t>
    </r>
    <r>
      <rPr>
        <sz val="11"/>
        <color theme="1"/>
        <rFont val="Arial"/>
        <family val="2"/>
      </rPr>
      <t>3</t>
    </r>
    <r>
      <rPr>
        <sz val="11"/>
        <color theme="1"/>
        <rFont val="宋体"/>
        <family val="2"/>
        <charset val="134"/>
        <scheme val="minor"/>
      </rPr>
      <t/>
    </r>
  </si>
  <si>
    <r>
      <rPr>
        <sz val="11"/>
        <color theme="1"/>
        <rFont val="宋体"/>
        <family val="3"/>
        <charset val="134"/>
      </rPr>
      <t>地块</t>
    </r>
    <r>
      <rPr>
        <sz val="11"/>
        <color theme="1"/>
        <rFont val="Arial"/>
        <family val="2"/>
      </rPr>
      <t>4</t>
    </r>
    <r>
      <rPr>
        <sz val="11"/>
        <color theme="1"/>
        <rFont val="宋体"/>
        <family val="2"/>
        <charset val="134"/>
        <scheme val="minor"/>
      </rPr>
      <t/>
    </r>
  </si>
  <si>
    <r>
      <rPr>
        <sz val="11"/>
        <color theme="1"/>
        <rFont val="宋体"/>
        <family val="3"/>
        <charset val="134"/>
      </rPr>
      <t>地块</t>
    </r>
    <r>
      <rPr>
        <sz val="11"/>
        <color theme="1"/>
        <rFont val="Arial"/>
        <family val="2"/>
      </rPr>
      <t>5</t>
    </r>
    <r>
      <rPr>
        <sz val="11"/>
        <color theme="1"/>
        <rFont val="宋体"/>
        <family val="2"/>
        <charset val="134"/>
        <scheme val="minor"/>
      </rPr>
      <t/>
    </r>
  </si>
  <si>
    <r>
      <rPr>
        <sz val="11"/>
        <color theme="1"/>
        <rFont val="宋体"/>
        <family val="3"/>
        <charset val="134"/>
      </rPr>
      <t>地块</t>
    </r>
    <r>
      <rPr>
        <sz val="11"/>
        <color theme="1"/>
        <rFont val="Arial"/>
        <family val="2"/>
      </rPr>
      <t>6</t>
    </r>
    <r>
      <rPr>
        <sz val="11"/>
        <color theme="1"/>
        <rFont val="宋体"/>
        <family val="2"/>
        <charset val="134"/>
        <scheme val="minor"/>
      </rPr>
      <t/>
    </r>
  </si>
  <si>
    <r>
      <rPr>
        <sz val="11"/>
        <color theme="1"/>
        <rFont val="宋体"/>
        <family val="3"/>
        <charset val="134"/>
      </rPr>
      <t>地块</t>
    </r>
    <r>
      <rPr>
        <sz val="11"/>
        <color theme="1"/>
        <rFont val="Arial"/>
        <family val="2"/>
      </rPr>
      <t>7</t>
    </r>
    <r>
      <rPr>
        <sz val="11"/>
        <color theme="1"/>
        <rFont val="宋体"/>
        <family val="2"/>
        <charset val="134"/>
        <scheme val="minor"/>
      </rPr>
      <t/>
    </r>
  </si>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</sst>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2" fillId="0" borderId="0">
      <alignment vertical="center"/>
    </xf>
  </cellStyleXfs>
  <cellXfs count="351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77" fillId="5" borderId="9" xfId="0" applyFont="1" applyFill="1" applyBorder="1" applyAlignment="1" applyProtection="1">
      <alignment horizontal="center" vertical="center" wrapText="1"/>
    </xf>
    <xf numFmtId="0" fontId="79" fillId="8" borderId="19" xfId="0" applyFont="1" applyFill="1" applyBorder="1" applyAlignment="1" applyProtection="1">
      <alignment vertical="center"/>
      <protection locked="0"/>
    </xf>
    <xf numFmtId="0" fontId="87" fillId="0" borderId="0" xfId="0" applyFont="1" applyAlignment="1"/>
    <xf numFmtId="0" fontId="128" fillId="0" borderId="0" xfId="0" applyFont="1" applyAlignment="1">
      <alignment horizontal="right"/>
    </xf>
    <xf numFmtId="0" fontId="165" fillId="0" borderId="0" xfId="0" applyFont="1" applyAlignment="1"/>
    <xf numFmtId="0" fontId="165" fillId="0" borderId="0" xfId="0" applyFont="1" applyAlignment="1">
      <alignment horizontal="right"/>
    </xf>
    <xf numFmtId="0" fontId="165" fillId="6" borderId="0" xfId="0" applyFont="1" applyFill="1" applyAlignment="1"/>
    <xf numFmtId="0" fontId="165" fillId="6" borderId="0" xfId="0" applyFont="1" applyFill="1" applyAlignment="1">
      <alignment horizontal="right"/>
    </xf>
    <xf numFmtId="0" fontId="77" fillId="0" borderId="21" xfId="0" applyFont="1" applyBorder="1" applyAlignment="1" applyProtection="1">
      <alignment horizontal="center" vertical="center" wrapText="1"/>
      <protection locked="0"/>
    </xf>
    <xf numFmtId="0" fontId="164" fillId="0" borderId="2" xfId="1" applyFont="1" applyBorder="1" applyAlignment="1" applyProtection="1">
      <alignment horizontal="center" vertical="center" wrapText="1"/>
      <protection locked="0"/>
    </xf>
    <xf numFmtId="0" fontId="12" fillId="6" borderId="21" xfId="0" applyFont="1" applyFill="1" applyBorder="1" applyAlignment="1" applyProtection="1">
      <alignment horizontal="center" vertical="center" wrapText="1"/>
      <protection locked="0"/>
    </xf>
    <xf numFmtId="177" fontId="77" fillId="0" borderId="2" xfId="0" applyNumberFormat="1" applyFont="1" applyBorder="1" applyAlignment="1" applyProtection="1">
      <alignment horizontal="center" vertical="center" wrapText="1"/>
      <protection locked="0"/>
    </xf>
    <xf numFmtId="0" fontId="165" fillId="0" borderId="2" xfId="0" applyFont="1" applyBorder="1" applyAlignment="1" applyProtection="1">
      <alignment horizontal="center" vertical="center"/>
      <protection locked="0"/>
    </xf>
    <xf numFmtId="177" fontId="77" fillId="0" borderId="21" xfId="0" applyNumberFormat="1"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127" fillId="0" borderId="2" xfId="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65" fillId="0" borderId="0" xfId="0" applyFont="1" applyFill="1" applyAlignment="1"/>
    <xf numFmtId="0" fontId="165" fillId="0" borderId="0" xfId="0" applyFont="1" applyFill="1" applyAlignment="1">
      <alignment horizontal="right"/>
    </xf>
    <xf numFmtId="0" fontId="82"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2" fillId="0" borderId="7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6" fillId="0" borderId="0" xfId="0" applyFont="1">
      <alignment vertical="center"/>
    </xf>
    <xf numFmtId="0" fontId="0" fillId="0" borderId="0" xfId="0" applyAlignment="1">
      <alignment horizontal="center" vertical="center"/>
    </xf>
    <xf numFmtId="0" fontId="146" fillId="0" borderId="0" xfId="0" applyFont="1" applyAlignment="1">
      <alignment horizontal="center" vertical="center"/>
    </xf>
    <xf numFmtId="0" fontId="53" fillId="7" borderId="2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2" fillId="16" borderId="2" xfId="0" applyFont="1" applyFill="1" applyBorder="1" applyAlignment="1" applyProtection="1">
      <alignment horizontal="center" vertical="center" wrapText="1"/>
      <protection locked="0"/>
    </xf>
    <xf numFmtId="177" fontId="12" fillId="16" borderId="2" xfId="0" applyNumberFormat="1" applyFont="1" applyFill="1" applyBorder="1" applyAlignment="1" applyProtection="1">
      <alignment vertical="center" wrapText="1"/>
      <protection locked="0"/>
    </xf>
    <xf numFmtId="0" fontId="12" fillId="17" borderId="2" xfId="0" applyFont="1" applyFill="1" applyBorder="1" applyAlignment="1" applyProtection="1">
      <alignment horizontal="center" vertical="center" wrapText="1"/>
      <protection locked="0"/>
    </xf>
    <xf numFmtId="0" fontId="164" fillId="17" borderId="2" xfId="1" applyFont="1" applyFill="1" applyBorder="1" applyAlignment="1" applyProtection="1">
      <alignment horizontal="center" vertical="center" wrapText="1"/>
      <protection locked="0"/>
    </xf>
    <xf numFmtId="177" fontId="12" fillId="17" borderId="2" xfId="0" applyNumberFormat="1" applyFont="1" applyFill="1" applyBorder="1" applyAlignment="1" applyProtection="1">
      <alignment vertical="center" wrapText="1"/>
      <protection locked="0"/>
    </xf>
    <xf numFmtId="0" fontId="164" fillId="14" borderId="2" xfId="1" applyFont="1" applyFill="1" applyBorder="1" applyAlignment="1" applyProtection="1">
      <alignment horizontal="center" vertical="center" wrapText="1"/>
      <protection locked="0"/>
    </xf>
    <xf numFmtId="0" fontId="77" fillId="14" borderId="21" xfId="0" applyFont="1" applyFill="1" applyBorder="1" applyAlignment="1" applyProtection="1">
      <alignment horizontal="center" vertical="center" wrapText="1"/>
      <protection locked="0"/>
    </xf>
    <xf numFmtId="182" fontId="77" fillId="7" borderId="12" xfId="0"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68" fillId="5" borderId="0" xfId="0" applyFont="1" applyFill="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9</xdr:col>
      <xdr:colOff>466725</xdr:colOff>
      <xdr:row>87</xdr:row>
      <xdr:rowOff>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29475"/>
          <a:ext cx="8877300"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961;&#23572;&#36187;&#23467;&#65288;&#19996;1-S1&#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7;&#25289;&#35834;&#23707;&#65288;&#19996;2-S2&#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7888;&#20844;&#39302;&#65288;&#35199;2-S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5;&#36798;&#65288;&#35199;2-S1&#12289;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20108;&#37096;-&#38047;&#22999;/&#27888;&#20852;/&#27888;&#20852;&#29616;&#25151;&#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307;&#24444;&#24471;&#23467;&#65288;&#19996;4-S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24067;&#25289;&#35834;&#23707;&#65288;&#19996;2-S2&#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7888;&#20844;&#39302;&#65288;&#35199;2-S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7.&#19975;&#36798;&#65288;&#35199;2-S1&#12289;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961;&#23572;&#36187;&#23467;&#65288;&#19996;1-S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7;&#24444;&#24471;&#23467;&#65288;&#19996;4-S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885;&#36187;&#23467;&#65288;&#19996;2-S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128445</v>
          </cell>
          <cell r="C14">
            <v>44435</v>
          </cell>
          <cell r="D14">
            <v>52729</v>
          </cell>
          <cell r="G14">
            <v>52729</v>
          </cell>
        </row>
      </sheetData>
      <sheetData sheetId="16">
        <row r="19">
          <cell r="G19">
            <v>52729</v>
          </cell>
        </row>
        <row r="20">
          <cell r="G20">
            <v>4106</v>
          </cell>
        </row>
      </sheetData>
      <sheetData sheetId="17" refreshError="1"/>
      <sheetData sheetId="18">
        <row r="18">
          <cell r="C18">
            <v>30719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21946</v>
          </cell>
          <cell r="B3">
            <v>56036</v>
          </cell>
        </row>
      </sheetData>
      <sheetData sheetId="11" refreshError="1"/>
      <sheetData sheetId="12" refreshError="1"/>
      <sheetData sheetId="13" refreshError="1"/>
      <sheetData sheetId="14" refreshError="1"/>
      <sheetData sheetId="15" refreshError="1"/>
      <sheetData sheetId="16">
        <row r="19">
          <cell r="G19">
            <v>24630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18344.5</v>
          </cell>
          <cell r="B3">
            <v>68439.159999999989</v>
          </cell>
        </row>
      </sheetData>
      <sheetData sheetId="11" refreshError="1"/>
      <sheetData sheetId="12" refreshError="1"/>
      <sheetData sheetId="13" refreshError="1"/>
      <sheetData sheetId="14" refreshError="1"/>
      <sheetData sheetId="15" refreshError="1"/>
      <sheetData sheetId="16">
        <row r="19">
          <cell r="G19">
            <v>22054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69978.899999999994</v>
          </cell>
          <cell r="B3">
            <v>121729.71999999999</v>
          </cell>
        </row>
      </sheetData>
      <sheetData sheetId="11" refreshError="1"/>
      <sheetData sheetId="12" refreshError="1"/>
      <sheetData sheetId="13" refreshError="1"/>
      <sheetData sheetId="14" refreshError="1"/>
      <sheetData sheetId="15" refreshError="1"/>
      <sheetData sheetId="16">
        <row r="19">
          <cell r="G19">
            <v>41123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检索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47333</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131917</v>
          </cell>
          <cell r="C14">
            <v>44652</v>
          </cell>
          <cell r="D14">
            <v>57665</v>
          </cell>
          <cell r="G14">
            <v>42665</v>
          </cell>
        </row>
      </sheetData>
      <sheetData sheetId="16">
        <row r="19">
          <cell r="G19">
            <v>57665</v>
          </cell>
        </row>
        <row r="20">
          <cell r="G20">
            <v>4371</v>
          </cell>
        </row>
      </sheetData>
      <sheetData sheetId="17" refreshError="1"/>
      <sheetData sheetId="18">
        <row r="18">
          <cell r="C18">
            <v>32294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72545</v>
          </cell>
          <cell r="C14">
            <v>27020</v>
          </cell>
          <cell r="D14">
            <v>31039</v>
          </cell>
          <cell r="G14">
            <v>31039</v>
          </cell>
        </row>
      </sheetData>
      <sheetData sheetId="16">
        <row r="19">
          <cell r="G19">
            <v>31039</v>
          </cell>
        </row>
        <row r="20">
          <cell r="G20">
            <v>4279</v>
          </cell>
        </row>
      </sheetData>
      <sheetData sheetId="17" refreshError="1"/>
      <sheetData sheetId="18">
        <row r="18">
          <cell r="C18">
            <v>17458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56036</v>
          </cell>
          <cell r="C14">
            <v>21946</v>
          </cell>
          <cell r="D14">
            <v>24032</v>
          </cell>
          <cell r="G14">
            <v>20032</v>
          </cell>
        </row>
      </sheetData>
      <sheetData sheetId="16">
        <row r="19">
          <cell r="G19">
            <v>24032</v>
          </cell>
        </row>
        <row r="20">
          <cell r="G20">
            <v>4289</v>
          </cell>
        </row>
      </sheetData>
      <sheetData sheetId="17" refreshError="1"/>
      <sheetData sheetId="18">
        <row r="18">
          <cell r="C18">
            <v>13491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68439.159999999989</v>
          </cell>
          <cell r="C14">
            <v>18344.5</v>
          </cell>
          <cell r="D14">
            <v>21737</v>
          </cell>
          <cell r="G14">
            <v>21737</v>
          </cell>
        </row>
      </sheetData>
      <sheetData sheetId="16">
        <row r="19">
          <cell r="G19">
            <v>21737</v>
          </cell>
        </row>
        <row r="20">
          <cell r="G20">
            <v>3176</v>
          </cell>
        </row>
      </sheetData>
      <sheetData sheetId="17" refreshError="1"/>
      <sheetData sheetId="18">
        <row r="18">
          <cell r="C18">
            <v>16224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121729.71999999999</v>
          </cell>
          <cell r="C14">
            <v>69978.899999999994</v>
          </cell>
          <cell r="D14">
            <v>38089</v>
          </cell>
          <cell r="G14">
            <v>38089</v>
          </cell>
        </row>
      </sheetData>
      <sheetData sheetId="16">
        <row r="19">
          <cell r="G19">
            <v>38089</v>
          </cell>
        </row>
        <row r="20">
          <cell r="G20">
            <v>3129</v>
          </cell>
        </row>
      </sheetData>
      <sheetData sheetId="17"/>
      <sheetData sheetId="18">
        <row r="18">
          <cell r="C18">
            <v>56459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44435</v>
          </cell>
          <cell r="B3">
            <v>128445</v>
          </cell>
        </row>
      </sheetData>
      <sheetData sheetId="11" refreshError="1"/>
      <sheetData sheetId="12" refreshError="1"/>
      <sheetData sheetId="13" refreshError="1"/>
      <sheetData sheetId="14" refreshError="1"/>
      <sheetData sheetId="15" refreshError="1"/>
      <sheetData sheetId="16">
        <row r="19">
          <cell r="G19">
            <v>53827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44652</v>
          </cell>
          <cell r="B3">
            <v>131917</v>
          </cell>
        </row>
      </sheetData>
      <sheetData sheetId="11" refreshError="1"/>
      <sheetData sheetId="12" refreshError="1"/>
      <sheetData sheetId="13" refreshError="1"/>
      <sheetData sheetId="14" refreshError="1"/>
      <sheetData sheetId="15" refreshError="1"/>
      <sheetData sheetId="16">
        <row r="19">
          <cell r="G19">
            <v>57638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27020</v>
          </cell>
          <cell r="B3">
            <v>72545</v>
          </cell>
        </row>
      </sheetData>
      <sheetData sheetId="11" refreshError="1"/>
      <sheetData sheetId="12" refreshError="1"/>
      <sheetData sheetId="13" refreshError="1"/>
      <sheetData sheetId="14" refreshError="1"/>
      <sheetData sheetId="15" refreshError="1"/>
      <sheetData sheetId="16">
        <row r="19">
          <cell r="G19">
            <v>31805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2654</v>
      </c>
      <c r="B1" s="2889" t="s">
        <v>2751</v>
      </c>
    </row>
    <row r="2" spans="1:55" s="2893" customFormat="1" ht="15" thickTop="1">
      <c r="A2" s="2891" t="s">
        <v>2658</v>
      </c>
      <c r="B2" s="2892" t="str">
        <f>'预评函-封皮'!B37</f>
        <v>江苏省泰州市泰兴市银杏路北侧、济川路东侧1号地块出让国有建设用地使用权抵押价格预评估</v>
      </c>
      <c r="AX2" s="2894"/>
      <c r="AZ2" s="2894"/>
      <c r="BA2" s="2895"/>
      <c r="BC2" s="2895"/>
    </row>
    <row r="3" spans="1:55" s="2896" customFormat="1">
      <c r="A3" s="2875" t="s">
        <v>2659</v>
      </c>
      <c r="B3" s="2878" t="str">
        <f>'预评函-封皮'!B40</f>
        <v>泰兴市广源房地产开发有限公司</v>
      </c>
    </row>
    <row r="4" spans="1:55" s="2877" customFormat="1">
      <c r="A4" s="2875" t="s">
        <v>2660</v>
      </c>
      <c r="B4" s="2876" t="str">
        <f>'预评函-封皮'!B46</f>
        <v>王鹏、郑燚</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2661</v>
      </c>
      <c r="B5" s="2898" t="str">
        <f>'预评函-封皮'!B49</f>
        <v>康正预评字号</v>
      </c>
    </row>
    <row r="6" spans="1:55" s="2899" customFormat="1" ht="15" thickTop="1">
      <c r="A6" s="2891" t="s">
        <v>2703</v>
      </c>
      <c r="B6" s="2892" t="str">
        <f>'预评函-1'!A4</f>
        <v>受贵公司委托，我公司对江苏省泰州市泰兴市银杏路北侧、济川路东侧1号地块出让国有建设用地使用权抵押价格进行了预评估。</v>
      </c>
      <c r="AM6" s="2900"/>
    </row>
    <row r="7" spans="1:55" s="2874" customFormat="1">
      <c r="A7" s="2875" t="s">
        <v>2655</v>
      </c>
      <c r="B7" s="2876" t="str">
        <f>'预评函-1'!A6</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8" spans="1:55" s="2874" customFormat="1">
      <c r="A8" s="2875" t="s">
        <v>2656</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2706</v>
      </c>
      <c r="B9" s="2876"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2657</v>
      </c>
      <c r="B10" s="2876" t="str">
        <f>'预评函-1'!A11</f>
        <v>2018年10月18日（评估专业人员勘察现场之日）</v>
      </c>
    </row>
    <row r="11" spans="1:55" s="2874" customFormat="1">
      <c r="A11" s="2875" t="s">
        <v>2663</v>
      </c>
      <c r="B11" s="2876" t="str">
        <f>'预评函-1'!A14</f>
        <v>根据《不动产权证书》[苏（2018）泰兴市不动产权第0029052号]，本次评估估价对象证载（地类）用途为城镇住宅、批发零售。</v>
      </c>
    </row>
    <row r="12" spans="1:55" s="2874" customFormat="1">
      <c r="A12" s="2875" t="s">
        <v>2664</v>
      </c>
      <c r="B12" s="2876" t="str">
        <f>'预评函-1'!A15</f>
        <v>本次评估设定用途即为证载用途住宅。</v>
      </c>
    </row>
    <row r="13" spans="1:55" s="2874" customFormat="1">
      <c r="A13" s="2875" t="s">
        <v>2665</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2666</v>
      </c>
      <c r="B14" s="2876" t="str">
        <f>'预评函-1'!A18</f>
        <v>本次评估设定土地开发程度为红线外市政基础设施达“七通”、宗地红线内场地平整。</v>
      </c>
    </row>
    <row r="15" spans="1:55" s="2874" customFormat="1">
      <c r="A15" s="2875" t="s">
        <v>2662</v>
      </c>
      <c r="B15" s="2876" t="str">
        <f>'预评函-1'!A20</f>
        <v>根据《国有土地使用证》[]，估价对象（分摊）出让国有建设用地使用权面积为56910平方米。根据《建设工程规划许可证》[]、《出让合同》[]，估价对象规划建筑面积为148752平方米。</v>
      </c>
    </row>
    <row r="16" spans="1:55" s="2874" customFormat="1">
      <c r="A16" s="2875" t="s">
        <v>2667</v>
      </c>
      <c r="B16" s="2876" t="str">
        <f>'预评函-1'!A22</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17" spans="1:48" s="2874" customFormat="1">
      <c r="A17" s="2875" t="s">
        <v>2668</v>
      </c>
      <c r="B17" s="2876" t="str">
        <f>'预评函-1'!A23</f>
        <v>本次评估设定估价对象剩余土地使用年限为。</v>
      </c>
    </row>
    <row r="18" spans="1:48" s="2874" customFormat="1">
      <c r="A18" s="2875" t="s">
        <v>2669</v>
      </c>
      <c r="B18" s="2876" t="str">
        <f>'预评函-1'!A25</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19" spans="1:48" s="2874" customFormat="1">
      <c r="A19" s="2875" t="s">
        <v>2670</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2671</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2672</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2673</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2674</v>
      </c>
      <c r="B23" s="2876" t="str">
        <f>'预评函-2'!K2</f>
        <v>估价期日：2018年10月18日</v>
      </c>
    </row>
    <row r="24" spans="1:48">
      <c r="A24" s="2875" t="s">
        <v>2675</v>
      </c>
      <c r="B24" s="2876" t="str">
        <f>'预评函-2'!R2</f>
        <v>估价期日的国有建设用地使用权性质：出让</v>
      </c>
    </row>
    <row r="25" spans="1:48">
      <c r="A25" s="2875" t="s">
        <v>2731</v>
      </c>
      <c r="B25" s="2876" t="str">
        <f>'预评函-2'!A3</f>
        <v>估价期日土地使用者</v>
      </c>
    </row>
    <row r="26" spans="1:48">
      <c r="A26" s="2875" t="s">
        <v>2707</v>
      </c>
      <c r="B26" s="2876" t="str">
        <f>'预评函-2'!A5</f>
        <v>中信开发</v>
      </c>
    </row>
    <row r="27" spans="1:48">
      <c r="A27" s="2875" t="s">
        <v>2732</v>
      </c>
      <c r="B27" s="2876" t="str">
        <f>'预评函-2'!B3</f>
        <v>宗地编号/不动产单元号</v>
      </c>
    </row>
    <row r="28" spans="1:48">
      <c r="A28" s="2875" t="s">
        <v>2708</v>
      </c>
      <c r="B28" s="2876" t="str">
        <f>'预评函-2'!B5</f>
        <v>11111111111</v>
      </c>
    </row>
    <row r="29" spans="1:48">
      <c r="A29" s="2875" t="s">
        <v>2734</v>
      </c>
      <c r="B29" s="2876">
        <f>'预评函-2'!C5</f>
        <v>22</v>
      </c>
    </row>
    <row r="30" spans="1:48">
      <c r="A30" s="2875" t="s">
        <v>2735</v>
      </c>
      <c r="B30" s="2876" t="str">
        <f>'预评函-2'!D3</f>
        <v>土地使用证编号/不动产权证书编号</v>
      </c>
    </row>
    <row r="31" spans="1:48">
      <c r="A31" s="2875" t="s">
        <v>2709</v>
      </c>
      <c r="B31" s="2876" t="str">
        <f>'预评函-2'!D5</f>
        <v>京国土字第111号</v>
      </c>
    </row>
    <row r="32" spans="1:48">
      <c r="A32" s="2875" t="s">
        <v>2710</v>
      </c>
      <c r="B32" s="2876" t="str">
        <f>'预评函-2'!E5</f>
        <v>城镇住宅、批发零售</v>
      </c>
      <c r="AV32" s="2880"/>
    </row>
    <row r="33" spans="1:2">
      <c r="A33" s="2875" t="s">
        <v>2711</v>
      </c>
      <c r="B33" s="2876">
        <f>'预评函-2'!F5</f>
        <v>258</v>
      </c>
    </row>
    <row r="34" spans="1:2">
      <c r="A34" s="2875" t="s">
        <v>2712</v>
      </c>
      <c r="B34" s="2876" t="str">
        <f>'预评函-2'!G5</f>
        <v>住宅</v>
      </c>
    </row>
    <row r="35" spans="1:2">
      <c r="A35" s="2875" t="s">
        <v>2713</v>
      </c>
      <c r="B35" s="2876">
        <f>'预评函-2'!H5</f>
        <v>1.5</v>
      </c>
    </row>
    <row r="36" spans="1:2">
      <c r="A36" s="2875" t="s">
        <v>2714</v>
      </c>
      <c r="B36" s="2876">
        <f>'预评函-2'!I5</f>
        <v>1.5</v>
      </c>
    </row>
    <row r="37" spans="1:2">
      <c r="A37" s="2875" t="s">
        <v>2715</v>
      </c>
      <c r="B37" s="2876">
        <f>'预评函-2'!J5</f>
        <v>1.5</v>
      </c>
    </row>
    <row r="38" spans="1:2">
      <c r="A38" s="2875" t="s">
        <v>2716</v>
      </c>
      <c r="B38" s="2876" t="str">
        <f>'预评函-2'!K5</f>
        <v>红线外七通、宗地红线内场地平整</v>
      </c>
    </row>
    <row r="39" spans="1:2">
      <c r="A39" s="2875" t="s">
        <v>2717</v>
      </c>
      <c r="B39" s="2876" t="str">
        <f>'预评函-2'!L5</f>
        <v>红线外七通、宗地红线内场地</v>
      </c>
    </row>
    <row r="40" spans="1:2">
      <c r="A40" s="2875" t="s">
        <v>2736</v>
      </c>
      <c r="B40" s="2876" t="str">
        <f>'预评函-2'!M3</f>
        <v>（剩余）土地使用年限/年</v>
      </c>
    </row>
    <row r="41" spans="1:2">
      <c r="A41" s="2875" t="s">
        <v>2718</v>
      </c>
      <c r="B41" s="2876">
        <f>'预评函-2'!M5</f>
        <v>0</v>
      </c>
    </row>
    <row r="42" spans="1:2">
      <c r="A42" s="2875" t="s">
        <v>2737</v>
      </c>
      <c r="B42" s="2876" t="str">
        <f>'预评函-2'!N3</f>
        <v>（分摊）出让国有建设用地使用权面积/㎡</v>
      </c>
    </row>
    <row r="43" spans="1:2">
      <c r="A43" s="2875" t="s">
        <v>2719</v>
      </c>
      <c r="B43" s="2876">
        <f>'预评函-2'!N5</f>
        <v>56910</v>
      </c>
    </row>
    <row r="44" spans="1:2">
      <c r="A44" s="2875" t="s">
        <v>2738</v>
      </c>
      <c r="B44" s="2876" t="str">
        <f>'预评函-2'!O3</f>
        <v>规划建筑面积/㎡</v>
      </c>
    </row>
    <row r="45" spans="1:2">
      <c r="A45" s="2875" t="s">
        <v>2720</v>
      </c>
      <c r="B45" s="2876">
        <f>'预评函-2'!O5</f>
        <v>148752</v>
      </c>
    </row>
    <row r="46" spans="1:2">
      <c r="A46" s="2875" t="s">
        <v>2721</v>
      </c>
      <c r="B46" s="2876">
        <f ca="1">'预评函-2'!P5</f>
        <v>7558</v>
      </c>
    </row>
    <row r="47" spans="1:2">
      <c r="A47" s="2875" t="s">
        <v>2722</v>
      </c>
      <c r="B47" s="2876">
        <f ca="1">'预评函-2'!Q5</f>
        <v>2892</v>
      </c>
    </row>
    <row r="48" spans="1:2">
      <c r="A48" s="2875" t="s">
        <v>2723</v>
      </c>
      <c r="B48" s="2876">
        <f ca="1">'预评函-2'!R5</f>
        <v>43015</v>
      </c>
    </row>
    <row r="49" spans="1:2">
      <c r="A49" s="2875" t="s">
        <v>2739</v>
      </c>
      <c r="B49" s="2876" t="str">
        <f>'预评函-2'!A6</f>
        <v>抵押价格</v>
      </c>
    </row>
    <row r="50" spans="1:2">
      <c r="A50" s="2875" t="s">
        <v>2724</v>
      </c>
      <c r="B50" s="2876">
        <f ca="1">'预评函-2'!R6</f>
        <v>43015</v>
      </c>
    </row>
    <row r="51" spans="1:2">
      <c r="A51" s="2875" t="s">
        <v>2740</v>
      </c>
      <c r="B51" s="2876" t="str">
        <f>'预评函-2'!A7</f>
        <v>——</v>
      </c>
    </row>
    <row r="52" spans="1:2">
      <c r="A52" s="2875" t="s">
        <v>2725</v>
      </c>
      <c r="B52" s="2876" t="str">
        <f>'预评函-2'!R7</f>
        <v>——</v>
      </c>
    </row>
    <row r="53" spans="1:2">
      <c r="A53" s="2875" t="s">
        <v>2741</v>
      </c>
      <c r="B53" s="2876">
        <f>'预评函-2'!A8</f>
        <v>0</v>
      </c>
    </row>
    <row r="54" spans="1:2" s="2890" customFormat="1" ht="15" thickBot="1">
      <c r="A54" s="2897" t="s">
        <v>2726</v>
      </c>
      <c r="B54" s="2898" t="str">
        <f>'预评函-2'!R8</f>
        <v>——</v>
      </c>
    </row>
    <row r="55" spans="1:2" ht="15" thickTop="1">
      <c r="A55" s="2886" t="s">
        <v>2676</v>
      </c>
      <c r="B55" s="2887" t="str">
        <f>'预评函-3'!A2</f>
        <v>1.权利限制：根据估价对象《不动产权证书》原件、，截至估价期日，估价对象抵押权未见登记。未设定租赁等其他他项权利。</v>
      </c>
    </row>
    <row r="56" spans="1:2">
      <c r="A56" s="2875" t="s">
        <v>2677</v>
      </c>
      <c r="B56" s="2876" t="str">
        <f>'预评函-3'!A3</f>
        <v>2.基础设施条件：估价对象实际开发程度为红线外七通、宗地红线内场地平整；本次评估设定开发程度为红线外七通、宗地红线内场地。</v>
      </c>
    </row>
    <row r="57" spans="1:2">
      <c r="A57" s="2875" t="s">
        <v>2678</v>
      </c>
      <c r="B57" s="2876" t="str">
        <f>'预评函-3'!A4</f>
        <v>3.估价规划限制条件：详见《建设工程规划许可证》[]、《出让合同》[]。</v>
      </c>
    </row>
    <row r="58" spans="1:2" s="2890" customFormat="1" ht="15" thickBot="1">
      <c r="A58" s="2897" t="s">
        <v>2727</v>
      </c>
      <c r="B58" s="2898" t="str">
        <f>'预评函-3'!A5</f>
        <v>4.影响价格的其他限定条件：无。</v>
      </c>
    </row>
    <row r="59" spans="1:2" ht="15" thickTop="1">
      <c r="A59" s="2886" t="s">
        <v>2679</v>
      </c>
      <c r="B59" s="2887" t="str">
        <f>'预评函-3'!A8</f>
        <v>2.本《评估意见函》仅供金融机构进行内部审核使用，不做其他目的之用。</v>
      </c>
    </row>
    <row r="60" spans="1:2">
      <c r="A60" s="2875" t="s">
        <v>2680</v>
      </c>
      <c r="B60" s="2876" t="str">
        <f>'预评函-3'!A9</f>
        <v>3.抵押双方在办理抵押登记手续时，应使用本公司出具的正式《土地估价报告》，特提请报告使用者注意。</v>
      </c>
    </row>
    <row r="61" spans="1:2">
      <c r="A61" s="2875" t="s">
        <v>2682</v>
      </c>
      <c r="B61" s="2876" t="str">
        <f>'预评函-3'!A10</f>
        <v>4.估价师所知悉的法定优先受偿款情况为：</v>
      </c>
    </row>
    <row r="62" spans="1:2">
      <c r="A62" s="2875" t="s">
        <v>2681</v>
      </c>
      <c r="B62" s="2876" t="str">
        <f>'预评函-3'!A11</f>
        <v>（1）根据估价对象《不动产权证书》原件、，截至估价期日，估价对象抵押权未见登记。</v>
      </c>
    </row>
    <row r="63" spans="1:2">
      <c r="A63" s="2875" t="s">
        <v>2683</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2684</v>
      </c>
      <c r="B64" s="2881" t="str">
        <f>'预评函-3'!A13</f>
        <v>（3）。</v>
      </c>
    </row>
    <row r="65" spans="1:2">
      <c r="A65" s="2875" t="s">
        <v>2685</v>
      </c>
      <c r="B65" s="2882" t="str">
        <f>'预评函-3'!A14</f>
        <v>综上，本次评估不存在估价师知悉的法定优先受偿款</v>
      </c>
    </row>
    <row r="66" spans="1:2">
      <c r="A66" s="2875" t="s">
        <v>2686</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2687</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2690</v>
      </c>
      <c r="B68" s="2901">
        <f>'预评函-3'!D30</f>
        <v>42558</v>
      </c>
    </row>
    <row r="69" spans="1:2" ht="15" thickTop="1">
      <c r="A69" s="2886" t="s">
        <v>2688</v>
      </c>
      <c r="B69" s="2887" t="str">
        <f>'预评函-3'!A20</f>
        <v>王鹏</v>
      </c>
    </row>
    <row r="70" spans="1:2">
      <c r="A70" s="2875" t="s">
        <v>2688</v>
      </c>
      <c r="B70" s="2882">
        <f ca="1">'预评函-3'!B20</f>
        <v>2002110030</v>
      </c>
    </row>
    <row r="71" spans="1:2">
      <c r="A71" s="2875" t="s">
        <v>2689</v>
      </c>
      <c r="B71" s="2876" t="str">
        <f>'预评函-3'!A21</f>
        <v>郑燚</v>
      </c>
    </row>
    <row r="72" spans="1:2" s="2890" customFormat="1" ht="15" thickBot="1">
      <c r="A72" s="2897" t="s">
        <v>2689</v>
      </c>
      <c r="B72" s="2903">
        <f>'预评函-3'!B21</f>
        <v>2014110011</v>
      </c>
    </row>
    <row r="73" spans="1:2" ht="15" thickTop="1">
      <c r="A73" s="2886" t="s">
        <v>2748</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2749</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2750</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2785</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5" sqref="I25"/>
    </sheetView>
  </sheetViews>
  <sheetFormatPr defaultColWidth="10" defaultRowHeight="14.25"/>
  <cols>
    <col min="1" max="1" width="15.375" style="1687" customWidth="1"/>
    <col min="2" max="2" width="11.375" style="1687" customWidth="1"/>
    <col min="3" max="3" width="12.625" style="1687" customWidth="1"/>
    <col min="4" max="4" width="13.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1939</v>
      </c>
      <c r="B1" s="3262" t="str">
        <f>IF(B10="北京市","北京市",C10)&amp;F10&amp;B16&amp;"国有建设用地使用权"&amp;B9&amp;"预评估"</f>
        <v>江苏省泰州市泰兴市银杏路北侧、济川路东侧1号地块出让国有建设用地使用权抵押价格预评估</v>
      </c>
      <c r="C1" s="3263"/>
      <c r="D1" s="3263"/>
      <c r="E1" s="3263"/>
      <c r="F1" s="3263"/>
      <c r="G1" s="3263"/>
      <c r="H1" s="3263"/>
      <c r="I1" s="3264"/>
      <c r="J1" s="1690"/>
      <c r="K1" s="2452" t="str">
        <f>IF(B10="北京市","北京市",C10)&amp;F10&amp;B16&amp;"国有建设用地使用权"&amp;B9</f>
        <v>江苏省泰州市泰兴市银杏路北侧、济川路东侧1号地块出让国有建设用地使用权抵押价格</v>
      </c>
      <c r="L1" s="1719"/>
      <c r="M1" s="1719"/>
      <c r="N1" s="1690"/>
      <c r="O1" s="1691"/>
      <c r="P1" s="1690"/>
      <c r="Q1" s="1690"/>
      <c r="R1" s="1690"/>
      <c r="S1" s="1690"/>
      <c r="T1" s="1690"/>
      <c r="U1" s="1690"/>
    </row>
    <row r="2" spans="1:21">
      <c r="A2" s="1658" t="s">
        <v>1940</v>
      </c>
      <c r="B2" s="1838"/>
      <c r="D2" s="1690"/>
      <c r="E2" s="1690"/>
      <c r="F2" s="1690"/>
      <c r="G2" s="1690"/>
      <c r="H2" s="1658"/>
      <c r="I2" s="1691"/>
      <c r="J2" s="1690"/>
      <c r="K2" s="2452" t="str">
        <f>IF(B10="北京市","北京市",C10)&amp;F10&amp;B16&amp;"国有建设用地使用权"</f>
        <v>江苏省泰州市泰兴市银杏路北侧、济川路东侧1号地块出让国有建设用地使用权</v>
      </c>
      <c r="L2" s="1719"/>
      <c r="M2" s="1719"/>
      <c r="N2" s="1690"/>
      <c r="O2" s="1691"/>
      <c r="P2" s="1690"/>
      <c r="Q2" s="1690"/>
      <c r="R2" s="1690"/>
      <c r="S2" s="1690"/>
      <c r="T2" s="1690"/>
      <c r="U2" s="1690"/>
    </row>
    <row r="3" spans="1:21">
      <c r="A3" s="1659" t="s">
        <v>1941</v>
      </c>
      <c r="B3" s="1660">
        <v>43391</v>
      </c>
      <c r="C3" s="1661" t="s">
        <v>1996</v>
      </c>
      <c r="D3" s="1660">
        <v>43391</v>
      </c>
      <c r="E3" s="1690"/>
      <c r="F3" s="1690"/>
      <c r="G3" s="1690"/>
      <c r="H3" s="1658"/>
      <c r="I3" s="1691"/>
      <c r="J3" s="1690"/>
      <c r="K3" s="1770"/>
      <c r="L3" s="1719"/>
      <c r="M3" s="1719"/>
      <c r="N3" s="1690"/>
      <c r="O3" s="1691"/>
      <c r="P3" s="1690"/>
      <c r="Q3" s="1690"/>
      <c r="R3" s="1690"/>
      <c r="S3" s="1690"/>
      <c r="T3" s="1690"/>
      <c r="U3" s="1690"/>
    </row>
    <row r="4" spans="1:21" ht="15" thickBot="1">
      <c r="A4" s="1662" t="s">
        <v>1942</v>
      </c>
      <c r="B4" s="1839" t="s">
        <v>2977</v>
      </c>
      <c r="C4" s="1842">
        <f ca="1">SUMIF(土地估价师,B4,估价师及机构信息!E3:E24)</f>
        <v>2002110030</v>
      </c>
      <c r="D4" s="1839" t="s">
        <v>2978</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1943</v>
      </c>
      <c r="B5" s="1785" t="s">
        <v>3151</v>
      </c>
      <c r="C5" s="1664"/>
      <c r="D5" s="1665"/>
      <c r="E5" s="1690"/>
      <c r="F5" s="1690"/>
      <c r="G5" s="1690"/>
      <c r="H5" s="1658"/>
      <c r="I5" s="1691"/>
      <c r="J5" s="1690"/>
      <c r="K5" s="1770"/>
      <c r="L5" s="1719"/>
      <c r="M5" s="1719"/>
      <c r="N5" s="1690"/>
      <c r="O5" s="1691"/>
      <c r="P5" s="1690"/>
      <c r="Q5" s="1690"/>
      <c r="R5" s="1690"/>
      <c r="S5" s="1690"/>
      <c r="T5" s="1690"/>
      <c r="U5" s="1690"/>
    </row>
    <row r="6" spans="1:21" ht="26.25">
      <c r="A6" s="1661" t="s">
        <v>2704</v>
      </c>
      <c r="B6" s="1785" t="s">
        <v>2985</v>
      </c>
      <c r="C6" s="1757"/>
      <c r="D6" s="1666"/>
      <c r="E6" s="1690"/>
      <c r="F6" s="1690"/>
      <c r="G6" s="1690"/>
      <c r="H6" s="1658"/>
      <c r="I6" s="1691"/>
      <c r="J6" s="1690"/>
      <c r="K6" s="3050" t="str">
        <f>IF(COUNTIF(B6,"*上海银行*"),"上海银行","")</f>
        <v/>
      </c>
      <c r="L6" s="1719"/>
      <c r="M6" s="1719"/>
      <c r="N6" s="1690"/>
      <c r="O6" s="1691"/>
      <c r="P6" s="1690"/>
      <c r="Q6" s="1690"/>
      <c r="R6" s="1690"/>
      <c r="S6" s="1690"/>
      <c r="T6" s="1690"/>
      <c r="U6" s="1690"/>
    </row>
    <row r="7" spans="1:21">
      <c r="A7" s="1667" t="s">
        <v>2705</v>
      </c>
      <c r="B7" s="1785" t="s">
        <v>3151</v>
      </c>
      <c r="C7" s="1757"/>
      <c r="D7" s="1666"/>
      <c r="E7" s="1690"/>
      <c r="F7" s="1690"/>
      <c r="G7" s="1690"/>
      <c r="H7" s="1658"/>
      <c r="I7" s="1691"/>
      <c r="J7" s="1690"/>
      <c r="K7" s="1770"/>
      <c r="L7" s="1719"/>
      <c r="M7" s="1719"/>
      <c r="N7" s="1690"/>
      <c r="O7" s="1691"/>
      <c r="P7" s="1690"/>
      <c r="Q7" s="1690"/>
      <c r="R7" s="1690"/>
      <c r="S7" s="1690"/>
      <c r="T7" s="1690"/>
      <c r="U7" s="1690"/>
    </row>
    <row r="8" spans="1:21">
      <c r="A8" s="1667" t="s">
        <v>1944</v>
      </c>
      <c r="B8" s="1668" t="s">
        <v>2979</v>
      </c>
      <c r="C8" s="1669"/>
      <c r="D8" s="3268" t="s">
        <v>1946</v>
      </c>
      <c r="E8" s="1840" t="s">
        <v>2980</v>
      </c>
      <c r="F8" s="1670"/>
      <c r="G8" s="1658"/>
      <c r="H8" s="1658"/>
      <c r="I8" s="1703"/>
      <c r="J8" s="1690"/>
      <c r="K8" s="1770"/>
      <c r="L8" s="1719"/>
      <c r="M8" s="1719"/>
      <c r="N8" s="1690"/>
      <c r="O8" s="1691"/>
      <c r="P8" s="1690"/>
      <c r="Q8" s="1690"/>
      <c r="R8" s="1690"/>
      <c r="S8" s="1690"/>
      <c r="T8" s="1690"/>
      <c r="U8" s="1690"/>
    </row>
    <row r="9" spans="1:21" ht="15" thickBot="1">
      <c r="A9" s="1671" t="s">
        <v>1945</v>
      </c>
      <c r="B9" s="1672" t="s">
        <v>2980</v>
      </c>
      <c r="C9" s="1673"/>
      <c r="D9" s="3269"/>
      <c r="E9" s="1672"/>
      <c r="F9" s="1743"/>
      <c r="G9" s="1738"/>
      <c r="H9" s="1738"/>
      <c r="I9" s="1739"/>
      <c r="J9" s="1690"/>
      <c r="K9" s="1770"/>
      <c r="L9" s="1719"/>
      <c r="M9" s="1719"/>
      <c r="N9" s="1690"/>
      <c r="O9" s="1691"/>
      <c r="P9" s="1690"/>
      <c r="Q9" s="1690"/>
      <c r="R9" s="1690"/>
      <c r="S9" s="1690"/>
      <c r="T9" s="1690"/>
      <c r="U9" s="1690"/>
    </row>
    <row r="10" spans="1:21" ht="15" thickTop="1">
      <c r="A10" s="1740" t="s">
        <v>2000</v>
      </c>
      <c r="B10" s="1715" t="s">
        <v>2981</v>
      </c>
      <c r="C10" s="3173" t="s">
        <v>2982</v>
      </c>
      <c r="D10" s="1665"/>
      <c r="E10" s="1674" t="s">
        <v>1948</v>
      </c>
      <c r="F10" s="1675" t="s">
        <v>3150</v>
      </c>
      <c r="G10" s="1741"/>
      <c r="H10" s="1742"/>
      <c r="I10" s="1665"/>
      <c r="J10" s="1690"/>
      <c r="K10" s="1770"/>
      <c r="L10" s="1719"/>
      <c r="M10" s="1719"/>
      <c r="N10" s="1690"/>
      <c r="O10" s="1691"/>
      <c r="P10" s="1690"/>
      <c r="Q10" s="1690"/>
      <c r="R10" s="1690"/>
      <c r="S10" s="1690"/>
      <c r="T10" s="1690"/>
      <c r="U10" s="1690"/>
    </row>
    <row r="11" spans="1:21">
      <c r="A11" s="1693" t="s">
        <v>2001</v>
      </c>
      <c r="B11" s="1694" t="s">
        <v>2983</v>
      </c>
      <c r="C11" s="1785" t="s">
        <v>3151</v>
      </c>
      <c r="D11" s="1758"/>
      <c r="E11" s="1658"/>
      <c r="F11" s="1658"/>
      <c r="G11" s="1658"/>
      <c r="H11" s="1658"/>
      <c r="I11" s="1658"/>
      <c r="J11" s="1690"/>
      <c r="K11" s="1770"/>
      <c r="L11" s="1719"/>
      <c r="M11" s="1719"/>
      <c r="N11" s="1690"/>
      <c r="O11" s="1691"/>
      <c r="P11" s="1690"/>
      <c r="Q11" s="1690"/>
      <c r="R11" s="1690"/>
      <c r="S11" s="1690"/>
      <c r="T11" s="1690"/>
      <c r="U11" s="1690"/>
    </row>
    <row r="12" spans="1:21">
      <c r="A12" s="1781" t="s">
        <v>2059</v>
      </c>
      <c r="B12" s="3265" t="s">
        <v>3152</v>
      </c>
      <c r="C12" s="3266"/>
      <c r="D12" s="3267"/>
      <c r="E12" s="1695" t="s">
        <v>2062</v>
      </c>
      <c r="F12" s="3283" t="s">
        <v>3153</v>
      </c>
      <c r="G12" s="3284"/>
      <c r="H12" s="3284"/>
      <c r="I12" s="3285"/>
      <c r="J12" s="1690"/>
      <c r="K12" s="1770"/>
      <c r="L12" s="1719"/>
      <c r="M12" s="1719"/>
      <c r="N12" s="1690"/>
      <c r="O12" s="1691"/>
      <c r="P12" s="1690"/>
      <c r="Q12" s="1690"/>
      <c r="R12" s="1690"/>
      <c r="S12" s="1690"/>
      <c r="T12" s="1690"/>
      <c r="U12" s="1690"/>
    </row>
    <row r="13" spans="1:21">
      <c r="A13" s="1683" t="s">
        <v>2060</v>
      </c>
      <c r="B13" s="3265" t="s">
        <v>3154</v>
      </c>
      <c r="C13" s="3266"/>
      <c r="D13" s="3267"/>
      <c r="E13" s="1695" t="s">
        <v>2062</v>
      </c>
      <c r="F13" s="3283" t="s">
        <v>3155</v>
      </c>
      <c r="G13" s="3284"/>
      <c r="H13" s="3284"/>
      <c r="I13" s="3285"/>
      <c r="J13" s="1690"/>
      <c r="K13" s="1770"/>
      <c r="L13" s="1719"/>
      <c r="M13" s="1719"/>
      <c r="N13" s="1690"/>
      <c r="O13" s="1691"/>
      <c r="P13" s="1690"/>
      <c r="Q13" s="1690"/>
      <c r="R13" s="1690"/>
      <c r="S13" s="1690"/>
      <c r="T13" s="1690"/>
      <c r="U13" s="1690"/>
    </row>
    <row r="14" spans="1:21">
      <c r="A14" s="1659" t="s">
        <v>2063</v>
      </c>
      <c r="B14" s="1695"/>
      <c r="C14" s="1841" t="s">
        <v>3156</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42.75">
      <c r="A16" s="1676" t="s">
        <v>1949</v>
      </c>
      <c r="B16" s="1677" t="s">
        <v>2984</v>
      </c>
      <c r="C16" s="1695" t="s">
        <v>1950</v>
      </c>
      <c r="D16" s="2643" t="s">
        <v>1951</v>
      </c>
      <c r="E16" s="1718"/>
      <c r="F16" s="1718"/>
      <c r="G16" s="1718" t="s">
        <v>35</v>
      </c>
      <c r="H16" s="1718"/>
      <c r="I16" s="1682" t="s">
        <v>1956</v>
      </c>
      <c r="J16" s="1690"/>
      <c r="K16" s="2453" t="str">
        <f>IF(D17="","",D16&amp;TEXT(D17,"yyyy年m月d日;;"))</f>
        <v>住宅2088年9月12日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地下车库2068年9月12日</v>
      </c>
      <c r="R16" s="1695" t="str">
        <f>IF(OR(Q16="",S16=""),"","、")</f>
        <v/>
      </c>
      <c r="S16" s="2453" t="str">
        <f>IF(H17="","",H16&amp;TEXT(H17,"yyyy年m月d日;;"))</f>
        <v/>
      </c>
      <c r="T16" s="1695" t="str">
        <f>IF(OR(S16="",U16=""),"","、")</f>
        <v/>
      </c>
      <c r="U16" s="2453" t="str">
        <f>IF(I17="","",I16&amp;TEXT(I17,"yyyy年m月d日;;"))</f>
        <v/>
      </c>
    </row>
    <row r="17" spans="1:21">
      <c r="A17" s="1759"/>
      <c r="B17" s="1678"/>
      <c r="C17" s="1679" t="s">
        <v>1957</v>
      </c>
      <c r="D17" s="1696">
        <v>68923</v>
      </c>
      <c r="E17" s="1696"/>
      <c r="F17" s="1696"/>
      <c r="G17" s="1696">
        <v>61618</v>
      </c>
      <c r="H17" s="1696"/>
      <c r="I17" s="1696"/>
      <c r="J17" s="1690"/>
      <c r="K17" s="2452" t="str">
        <f>CONCATENATE(K16,L16,M16,N16,O16,P16,Q16,R16,S16,T16,,U16)</f>
        <v>住宅2088年9月12日地下车库2068年9月12日</v>
      </c>
      <c r="L17" s="1719"/>
      <c r="M17" s="1719"/>
      <c r="N17" s="1690"/>
      <c r="O17" s="1691"/>
      <c r="P17" s="1690"/>
      <c r="Q17" s="1690"/>
      <c r="R17" s="1690"/>
      <c r="S17" s="1690"/>
      <c r="T17" s="1690"/>
      <c r="U17" s="1690"/>
    </row>
    <row r="18" spans="1:21">
      <c r="A18" s="1759"/>
      <c r="B18" s="1678"/>
      <c r="C18" s="1679" t="s">
        <v>1958</v>
      </c>
      <c r="D18" s="1680">
        <v>70</v>
      </c>
      <c r="E18" s="1680"/>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1959</v>
      </c>
      <c r="D19" s="1754">
        <f>IF(B16="出让",IF(D17="","",ROUNDDOWN(MIN((D17-$D$3)/365,D18),2)),D18)</f>
        <v>69.95</v>
      </c>
      <c r="E19" s="1681" t="str">
        <f>IF(B16="出让",IF(E17="","",ROUNDDOWN(MIN((E17-$D$3)/365,E18),2)),E18)</f>
        <v/>
      </c>
      <c r="F19" s="1681" t="str">
        <f>IF(B16="出让",IF(F17="","",ROUNDDOWN(MIN((F17-$D$3)/365,F18),2)),F18)</f>
        <v/>
      </c>
      <c r="G19" s="1681">
        <f>IF(B16="出让",IF(G17="","",ROUNDDOWN(MIN((G17-$D$3)/365,G18),2)),G18)</f>
        <v>49.93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80"/>
      <c r="E20" s="3281"/>
      <c r="F20" s="3281"/>
      <c r="G20" s="3281"/>
      <c r="H20" s="3281"/>
      <c r="I20" s="3282"/>
      <c r="J20" s="1690"/>
      <c r="K20" s="1770"/>
      <c r="L20" s="1719"/>
      <c r="M20" s="1719"/>
      <c r="N20" s="1690"/>
      <c r="O20" s="1691"/>
      <c r="P20" s="1690"/>
      <c r="Q20" s="1690"/>
      <c r="R20" s="1690"/>
      <c r="S20" s="1690"/>
      <c r="T20" s="1690"/>
      <c r="U20" s="1690"/>
    </row>
    <row r="21" spans="1:21">
      <c r="A21" s="1759" t="s">
        <v>1960</v>
      </c>
      <c r="B21" s="1760" t="s">
        <v>1961</v>
      </c>
      <c r="C21" s="1755">
        <f>'数据-汇总表'!E3</f>
        <v>148752</v>
      </c>
      <c r="D21" s="1756" t="s">
        <v>1962</v>
      </c>
      <c r="E21" s="3270" t="s">
        <v>1999</v>
      </c>
      <c r="F21" s="3271"/>
      <c r="G21" s="3271"/>
      <c r="H21" s="3271"/>
      <c r="I21" s="3272"/>
      <c r="J21" s="1690"/>
      <c r="K21" s="1770"/>
      <c r="L21" s="1719"/>
      <c r="M21" s="1719"/>
      <c r="N21" s="1690"/>
      <c r="O21" s="1691"/>
      <c r="P21" s="1690"/>
      <c r="Q21" s="1690"/>
      <c r="R21" s="1690"/>
      <c r="S21" s="1690"/>
      <c r="T21" s="1690"/>
      <c r="U21" s="1690"/>
    </row>
    <row r="22" spans="1:21">
      <c r="A22" s="3141" t="s">
        <v>951</v>
      </c>
      <c r="B22" s="1659" t="s">
        <v>1963</v>
      </c>
      <c r="C22" s="1682">
        <f>'数据-汇总表'!D3</f>
        <v>56910</v>
      </c>
      <c r="D22" s="1683" t="s">
        <v>1962</v>
      </c>
      <c r="E22" s="3270" t="s">
        <v>2886</v>
      </c>
      <c r="F22" s="3271"/>
      <c r="G22" s="3271"/>
      <c r="H22" s="3271"/>
      <c r="I22" s="3272"/>
      <c r="J22" s="1690"/>
      <c r="K22" s="1770"/>
      <c r="L22" s="1719"/>
      <c r="M22" s="1719"/>
      <c r="N22" s="1690"/>
      <c r="O22" s="1691"/>
      <c r="P22" s="1690"/>
      <c r="Q22" s="1690"/>
      <c r="R22" s="1690"/>
      <c r="S22" s="1690"/>
      <c r="T22" s="1690"/>
      <c r="U22" s="1690"/>
    </row>
    <row r="23" spans="1:21" ht="29.25" thickBot="1">
      <c r="A23" s="1761" t="s">
        <v>1964</v>
      </c>
      <c r="B23" s="1697" t="s">
        <v>1965</v>
      </c>
      <c r="C23" s="1698" t="s">
        <v>2989</v>
      </c>
      <c r="D23" s="1699" t="s">
        <v>1966</v>
      </c>
      <c r="E23" s="1700" t="s">
        <v>2989</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73" t="s">
        <v>1968</v>
      </c>
      <c r="C24" s="3274"/>
      <c r="D24" s="3275" t="s">
        <v>1969</v>
      </c>
      <c r="E24" s="3276"/>
      <c r="F24" s="1704" t="s">
        <v>1970</v>
      </c>
      <c r="G24" s="1690"/>
      <c r="H24" s="1690"/>
      <c r="I24" s="1703"/>
      <c r="J24" s="1690"/>
      <c r="K24" s="3261" t="s">
        <v>1971</v>
      </c>
      <c r="L24" s="2454"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2326</v>
      </c>
      <c r="C25" s="1705" t="s">
        <v>1972</v>
      </c>
      <c r="D25" s="1706"/>
      <c r="E25" s="1707" t="s">
        <v>951</v>
      </c>
      <c r="F25" s="1708"/>
      <c r="G25" s="1690"/>
      <c r="H25" s="1690"/>
      <c r="I25" s="1703"/>
      <c r="J25" s="1690"/>
      <c r="K25" s="3261"/>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61"/>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47" t="s">
        <v>2002</v>
      </c>
      <c r="B31" s="1760" t="s">
        <v>2003</v>
      </c>
      <c r="C31" s="3286" t="s">
        <v>2986</v>
      </c>
      <c r="D31" s="3287"/>
      <c r="E31" s="1690"/>
      <c r="F31" s="1690"/>
      <c r="G31" s="1690"/>
      <c r="H31" s="1690"/>
      <c r="I31" s="1703"/>
      <c r="J31" s="1690"/>
      <c r="K31" s="2455"/>
      <c r="L31" s="1690"/>
      <c r="M31" s="1690"/>
      <c r="N31" s="1690"/>
      <c r="O31" s="1690"/>
      <c r="P31" s="1690"/>
      <c r="Q31" s="1690"/>
      <c r="R31" s="1690"/>
      <c r="S31" s="1690"/>
      <c r="T31" s="1690"/>
      <c r="U31" s="1690"/>
    </row>
    <row r="32" spans="1:21">
      <c r="A32" s="3247"/>
      <c r="B32" s="1659" t="s">
        <v>2004</v>
      </c>
      <c r="C32" s="1715" t="s">
        <v>2987</v>
      </c>
      <c r="D32" s="1716"/>
      <c r="E32" s="1690"/>
      <c r="F32" s="1690"/>
      <c r="G32" s="1690"/>
      <c r="H32" s="1690"/>
      <c r="I32" s="1703"/>
      <c r="J32" s="1690"/>
      <c r="K32" s="2455"/>
      <c r="L32" s="1690"/>
      <c r="M32" s="1690"/>
      <c r="N32" s="1690"/>
      <c r="O32" s="1690"/>
      <c r="P32" s="1690"/>
      <c r="Q32" s="1690"/>
      <c r="R32" s="1690"/>
      <c r="S32" s="1690"/>
      <c r="T32" s="1690"/>
      <c r="U32" s="1690"/>
    </row>
    <row r="33" spans="1:21">
      <c r="A33" s="3247"/>
      <c r="B33" s="1659" t="s">
        <v>2005</v>
      </c>
      <c r="C33" s="1717" t="s">
        <v>3157</v>
      </c>
      <c r="D33" s="1834"/>
      <c r="E33" s="1690"/>
      <c r="F33" s="1690"/>
      <c r="G33" s="1690"/>
      <c r="H33" s="1690"/>
      <c r="I33" s="1703"/>
      <c r="J33" s="1690"/>
      <c r="K33" s="2455"/>
      <c r="L33" s="1690"/>
      <c r="M33" s="1690"/>
      <c r="N33" s="1690"/>
      <c r="O33" s="1690"/>
      <c r="P33" s="1690"/>
      <c r="Q33" s="1690"/>
      <c r="R33" s="1690"/>
      <c r="S33" s="1690"/>
      <c r="T33" s="1690"/>
      <c r="U33" s="1690"/>
    </row>
    <row r="34" spans="1:21">
      <c r="A34" s="3248"/>
      <c r="B34" s="1659" t="s">
        <v>2006</v>
      </c>
      <c r="C34" s="3249"/>
      <c r="D34" s="3250"/>
      <c r="E34" s="1690"/>
      <c r="F34" s="1690"/>
      <c r="G34" s="1690"/>
      <c r="H34" s="1690"/>
      <c r="I34" s="1703"/>
      <c r="J34" s="1690"/>
      <c r="K34" s="2455"/>
      <c r="L34" s="1690"/>
      <c r="M34" s="1690"/>
      <c r="N34" s="1690"/>
      <c r="O34" s="1690"/>
      <c r="P34" s="1690"/>
      <c r="Q34" s="1690"/>
      <c r="R34" s="1690"/>
      <c r="S34" s="1690"/>
      <c r="T34" s="1690"/>
      <c r="U34" s="1690"/>
    </row>
    <row r="35" spans="1:21">
      <c r="A35" s="3251" t="s">
        <v>846</v>
      </c>
      <c r="B35" s="1718" t="s">
        <v>2988</v>
      </c>
      <c r="C35" s="1772" t="str">
        <f>IF(B35="场地平整","——","具体情况：")</f>
        <v>——</v>
      </c>
      <c r="D35" s="3253" t="s">
        <v>3158</v>
      </c>
      <c r="E35" s="3254"/>
      <c r="F35" s="3254"/>
      <c r="G35" s="3254"/>
      <c r="H35" s="3254"/>
      <c r="I35" s="3255"/>
      <c r="J35" s="1690"/>
      <c r="K35" s="1771"/>
      <c r="L35" s="1719"/>
      <c r="M35" s="1719"/>
      <c r="N35" s="1690"/>
      <c r="O35" s="1691"/>
      <c r="P35" s="1690"/>
      <c r="Q35" s="1690"/>
      <c r="R35" s="1690"/>
      <c r="S35" s="1690"/>
      <c r="T35" s="1690"/>
      <c r="U35" s="1690"/>
    </row>
    <row r="36" spans="1:21">
      <c r="A36" s="3247"/>
      <c r="B36" s="3256" t="s">
        <v>2055</v>
      </c>
      <c r="C36" s="3257"/>
      <c r="D36" s="1788"/>
      <c r="E36" s="3258"/>
      <c r="F36" s="3258"/>
      <c r="G36" s="1683" t="str">
        <f>IF(B35="场地未平整","估价结果处理","")</f>
        <v/>
      </c>
      <c r="H36" s="3259"/>
      <c r="I36" s="3259"/>
      <c r="J36" s="1690"/>
      <c r="K36" s="1771"/>
      <c r="L36" s="1719"/>
      <c r="M36" s="1719"/>
      <c r="N36" s="1690"/>
      <c r="O36" s="1691"/>
      <c r="P36" s="1690"/>
      <c r="Q36" s="1690"/>
      <c r="R36" s="1690"/>
      <c r="S36" s="1690"/>
      <c r="T36" s="1690"/>
      <c r="U36" s="1690"/>
    </row>
    <row r="37" spans="1:21" ht="28.5">
      <c r="A37" s="3247"/>
      <c r="B37" s="3277"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47"/>
      <c r="B38" s="3278"/>
      <c r="C38" s="1667" t="s">
        <v>849</v>
      </c>
      <c r="D38" s="1787">
        <f>ROUNDDOWN(MIN(('数据-取费表'!$B$2-D37)/365,D34),1)</f>
        <v>118.8</v>
      </c>
      <c r="E38" s="1723" t="s">
        <v>850</v>
      </c>
      <c r="F38" s="1690"/>
      <c r="G38" s="1690"/>
      <c r="H38" s="1690"/>
      <c r="I38" s="1703"/>
      <c r="J38" s="1690"/>
      <c r="K38" s="1771"/>
      <c r="L38" s="1690"/>
      <c r="M38" s="1690"/>
      <c r="N38" s="1690"/>
      <c r="O38" s="1690"/>
      <c r="P38" s="1690"/>
      <c r="Q38" s="1690"/>
      <c r="R38" s="1690"/>
      <c r="S38" s="1690"/>
      <c r="T38" s="1690"/>
      <c r="U38" s="1690"/>
    </row>
    <row r="39" spans="1:21">
      <c r="A39" s="3248"/>
      <c r="B39" s="327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2990</v>
      </c>
      <c r="C40" s="1686" t="s">
        <v>2991</v>
      </c>
      <c r="D40" s="1686" t="s">
        <v>2992</v>
      </c>
      <c r="E40" s="1686" t="s">
        <v>2993</v>
      </c>
      <c r="F40" s="1686" t="s">
        <v>2994</v>
      </c>
      <c r="G40" s="1686" t="s">
        <v>2995</v>
      </c>
      <c r="H40" s="1686"/>
      <c r="I40" s="1703"/>
      <c r="J40" s="1690"/>
      <c r="K40" s="1726">
        <f>COUNTIF(B40:H40,"——")</f>
        <v>0</v>
      </c>
      <c r="L40" s="1695" t="s">
        <v>1979</v>
      </c>
      <c r="M40" s="1692" t="s">
        <v>1980</v>
      </c>
      <c r="N40" s="1692" t="s">
        <v>1981</v>
      </c>
      <c r="O40" s="1692" t="s">
        <v>1982</v>
      </c>
      <c r="P40" s="1692" t="s">
        <v>1983</v>
      </c>
      <c r="Q40" s="1692" t="s">
        <v>1984</v>
      </c>
      <c r="R40" s="1692" t="s">
        <v>1985</v>
      </c>
      <c r="S40" s="3260" t="s">
        <v>1986</v>
      </c>
      <c r="T40" s="1727" t="str">
        <f>NUMBERSTRING(7-K40,1)&amp;"通"</f>
        <v>七通</v>
      </c>
      <c r="U40" s="1690"/>
    </row>
    <row r="41" spans="1:21" ht="28.5">
      <c r="A41" s="1661"/>
      <c r="B41" s="3252" t="s">
        <v>1721</v>
      </c>
      <c r="C41" s="3252"/>
      <c r="D41" s="3252"/>
      <c r="E41" s="3252"/>
      <c r="F41" s="1728" t="str">
        <f>C10</f>
        <v>江苏省泰州市泰兴市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60"/>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7" customFormat="1" ht="21" thickBot="1">
      <c r="A45" s="3068" t="s">
        <v>2887</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J36" sqref="J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2333</v>
      </c>
      <c r="BA2" s="235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56910</v>
      </c>
      <c r="B3" s="22">
        <f>IF(C3="否",G5-AT5,G5)</f>
        <v>148752</v>
      </c>
      <c r="C3" s="23"/>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148752</v>
      </c>
      <c r="H5" s="27">
        <f t="shared" ref="H5:AT5" si="0">SUM(H13:H641)</f>
        <v>146096</v>
      </c>
      <c r="I5" s="27">
        <f t="shared" si="0"/>
        <v>111084</v>
      </c>
      <c r="J5" s="27">
        <f t="shared" si="0"/>
        <v>0</v>
      </c>
      <c r="K5" s="27">
        <f t="shared" si="0"/>
        <v>35012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v>
      </c>
      <c r="AD5" s="27">
        <f t="shared" si="0"/>
        <v>0</v>
      </c>
      <c r="AE5" s="27">
        <f t="shared" si="0"/>
        <v>0</v>
      </c>
      <c r="AF5" s="27">
        <f t="shared" si="0"/>
        <v>0</v>
      </c>
      <c r="AG5" s="27">
        <f t="shared" si="0"/>
        <v>0</v>
      </c>
      <c r="AH5" s="27">
        <f t="shared" si="0"/>
        <v>597</v>
      </c>
      <c r="AI5" s="27">
        <f t="shared" si="0"/>
        <v>0</v>
      </c>
      <c r="AJ5" s="27">
        <f t="shared" si="0"/>
        <v>0</v>
      </c>
      <c r="AK5" s="27">
        <f t="shared" si="0"/>
        <v>0</v>
      </c>
      <c r="AL5" s="27">
        <f t="shared" si="0"/>
        <v>2059</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148752</v>
      </c>
      <c r="BA5" s="29">
        <f t="shared" si="1"/>
        <v>146096</v>
      </c>
      <c r="BB5" s="29">
        <f t="shared" si="1"/>
        <v>111084</v>
      </c>
      <c r="BC5" s="29">
        <f t="shared" si="1"/>
        <v>35012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2656</v>
      </c>
      <c r="BM5" s="29">
        <f t="shared" si="1"/>
        <v>0</v>
      </c>
      <c r="BN5" s="29">
        <f t="shared" si="1"/>
        <v>0</v>
      </c>
      <c r="BO5" s="29">
        <f t="shared" si="1"/>
        <v>597</v>
      </c>
      <c r="BP5" s="29">
        <f t="shared" si="1"/>
        <v>0</v>
      </c>
      <c r="BQ5" s="29">
        <f t="shared" si="1"/>
        <v>2059</v>
      </c>
      <c r="BR5" s="29">
        <f t="shared" si="1"/>
        <v>0</v>
      </c>
      <c r="BS5" s="29">
        <f t="shared" si="1"/>
        <v>0</v>
      </c>
      <c r="BT5" s="30">
        <f t="shared" si="1"/>
        <v>0</v>
      </c>
    </row>
    <row r="6" spans="1:72" s="37" customFormat="1" ht="12.75">
      <c r="A6" s="26" t="s">
        <v>169</v>
      </c>
      <c r="B6" s="31"/>
      <c r="C6" s="31"/>
      <c r="D6" s="32"/>
      <c r="E6" s="27">
        <f>H6+AC6+AT6</f>
        <v>56910</v>
      </c>
      <c r="F6" s="27" t="s">
        <v>1</v>
      </c>
      <c r="G6" s="27" t="s">
        <v>2</v>
      </c>
      <c r="H6" s="33">
        <f>SUMIF(I$12:AB$12,"总值",I6:AB6)</f>
        <v>55893.86</v>
      </c>
      <c r="I6" s="27">
        <f t="shared" ref="I6:AB6" si="2">ROUND($A$3*I5/$B$3,2)</f>
        <v>42498.86</v>
      </c>
      <c r="J6" s="27">
        <f t="shared" si="2"/>
        <v>0</v>
      </c>
      <c r="K6" s="27">
        <f t="shared" si="2"/>
        <v>13395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1016.14</v>
      </c>
      <c r="AD6" s="27">
        <f t="shared" ref="AD6:AS6" si="3">ROUND($A$3*AD5/$B$3,2)</f>
        <v>0</v>
      </c>
      <c r="AE6" s="27">
        <f t="shared" si="3"/>
        <v>0</v>
      </c>
      <c r="AF6" s="27">
        <f t="shared" si="3"/>
        <v>0</v>
      </c>
      <c r="AG6" s="27">
        <f t="shared" si="3"/>
        <v>0</v>
      </c>
      <c r="AH6" s="27">
        <f t="shared" si="3"/>
        <v>228.4</v>
      </c>
      <c r="AI6" s="27">
        <f t="shared" si="3"/>
        <v>0</v>
      </c>
      <c r="AJ6" s="27">
        <f t="shared" si="3"/>
        <v>0</v>
      </c>
      <c r="AK6" s="27">
        <f t="shared" si="3"/>
        <v>0</v>
      </c>
      <c r="AL6" s="27">
        <f t="shared" si="3"/>
        <v>787.74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56910</v>
      </c>
      <c r="AZ6" s="27" t="s">
        <v>3</v>
      </c>
      <c r="BA6" s="27">
        <f>ROUND($AY$6*BA5/$AZ$5,2)</f>
        <v>55893.86</v>
      </c>
      <c r="BB6" s="27">
        <f>ROUND($AY$6*BB5/$AZ$5,2)</f>
        <v>42498.86</v>
      </c>
      <c r="BC6" s="27">
        <f t="shared" ref="BC6:BH6" si="4">ROUND($AY$6*BC5/$AZ$5,2)</f>
        <v>13395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1016.14</v>
      </c>
      <c r="BM6" s="27">
        <f t="shared" si="5"/>
        <v>0</v>
      </c>
      <c r="BN6" s="27">
        <f t="shared" si="5"/>
        <v>0</v>
      </c>
      <c r="BO6" s="27">
        <f t="shared" si="5"/>
        <v>228.4</v>
      </c>
      <c r="BP6" s="27">
        <f t="shared" si="5"/>
        <v>0</v>
      </c>
      <c r="BQ6" s="27">
        <f t="shared" si="5"/>
        <v>787.74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3" t="s">
        <v>3161</v>
      </c>
      <c r="J9" s="51"/>
      <c r="K9" s="3013" t="s">
        <v>3164</v>
      </c>
      <c r="L9" s="51"/>
      <c r="M9" s="301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3" t="s">
        <v>922</v>
      </c>
      <c r="J10" s="51"/>
      <c r="K10" s="3015" t="s">
        <v>3165</v>
      </c>
      <c r="L10" s="51"/>
      <c r="M10" s="3015"/>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2331</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4"/>
      <c r="J11" s="71"/>
      <c r="K11" s="3014"/>
      <c r="L11" s="71"/>
      <c r="M11" s="70"/>
      <c r="N11" s="71"/>
      <c r="O11" s="70"/>
      <c r="P11" s="71"/>
      <c r="Q11" s="70"/>
      <c r="R11" s="71"/>
      <c r="S11" s="70"/>
      <c r="T11" s="71"/>
      <c r="U11" s="70"/>
      <c r="V11" s="71"/>
      <c r="W11" s="70"/>
      <c r="X11" s="71"/>
      <c r="Y11" s="70"/>
      <c r="Z11" s="71"/>
      <c r="AA11" s="70"/>
      <c r="AB11" s="71"/>
      <c r="AC11" s="55"/>
      <c r="AD11" s="2331" t="s">
        <v>2330</v>
      </c>
      <c r="AE11" s="1001"/>
      <c r="AF11" s="2331" t="s">
        <v>2330</v>
      </c>
      <c r="AG11" s="1001"/>
      <c r="AH11" s="2331" t="s">
        <v>2329</v>
      </c>
      <c r="AI11" s="2332"/>
      <c r="AJ11" s="2331" t="s">
        <v>2329</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210">
        <v>1</v>
      </c>
      <c r="D13" s="3011" t="s">
        <v>1678</v>
      </c>
      <c r="E13" s="27">
        <f t="shared" ref="E13:E20" si="6">IF($C$3="是",ROUND($A$3*G13/$B$3,2),ROUND($A$3*(G13-AT13)/$B$3,2))</f>
        <v>665.69</v>
      </c>
      <c r="F13" s="81"/>
      <c r="G13" s="82">
        <f t="shared" ref="G13:G20" si="7">H13+AC13+AT13</f>
        <v>1740</v>
      </c>
      <c r="H13" s="33">
        <f t="shared" ref="H13:H20" si="8">SUMIF(I$12:AB$12,"总值",I13:AB13)</f>
        <v>1740</v>
      </c>
      <c r="I13" s="3211">
        <v>1740</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0</v>
      </c>
      <c r="AD13" s="3016"/>
      <c r="AE13" s="3016"/>
      <c r="AF13" s="3016"/>
      <c r="AG13" s="3016"/>
      <c r="AH13" s="3016"/>
      <c r="AI13" s="3016"/>
      <c r="AJ13" s="3016"/>
      <c r="AK13" s="3016"/>
      <c r="AL13" s="3016"/>
      <c r="AM13" s="3016"/>
      <c r="AN13" s="3016"/>
      <c r="AO13" s="3016"/>
      <c r="AP13" s="3016"/>
      <c r="AQ13" s="3016"/>
      <c r="AR13" s="3016"/>
      <c r="AS13" s="3016"/>
      <c r="AT13" s="3017"/>
      <c r="AU13" s="3018"/>
      <c r="AV13" s="17">
        <f t="shared" ref="AV13:AX20" si="10">A13</f>
        <v>0</v>
      </c>
      <c r="AW13" s="17">
        <f t="shared" si="10"/>
        <v>0</v>
      </c>
      <c r="AX13" s="17">
        <f t="shared" si="10"/>
        <v>1</v>
      </c>
      <c r="AY13" s="3172">
        <f t="shared" ref="AY13:AY20" si="11">ROUND($AY$6*AZ13/$AZ$5,2)</f>
        <v>665.69</v>
      </c>
      <c r="AZ13" s="27">
        <f t="shared" ref="AZ13:AZ20" si="12">BA13+BL13</f>
        <v>1740</v>
      </c>
      <c r="BA13" s="27">
        <f t="shared" ref="BA13:BA20" si="13">SUM(BB13:BK13)</f>
        <v>1740</v>
      </c>
      <c r="BB13" s="27">
        <f t="shared" ref="BB13:BB20" si="14">IF($D13="是",I13-J13,0)</f>
        <v>1740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10">
        <v>2</v>
      </c>
      <c r="D14" s="3011" t="s">
        <v>1678</v>
      </c>
      <c r="E14" s="27">
        <f t="shared" si="6"/>
        <v>1278.5899999999999</v>
      </c>
      <c r="F14" s="81"/>
      <c r="G14" s="82">
        <f t="shared" si="7"/>
        <v>3342</v>
      </c>
      <c r="H14" s="33">
        <f t="shared" si="8"/>
        <v>3342</v>
      </c>
      <c r="I14" s="3211">
        <v>3342</v>
      </c>
      <c r="J14" s="3012"/>
      <c r="K14" s="3012"/>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f t="shared" si="10"/>
        <v>2</v>
      </c>
      <c r="AY14" s="3172">
        <f t="shared" si="11"/>
        <v>1278.5899999999999</v>
      </c>
      <c r="AZ14" s="27">
        <f t="shared" si="12"/>
        <v>3342</v>
      </c>
      <c r="BA14" s="27">
        <f t="shared" si="13"/>
        <v>3342</v>
      </c>
      <c r="BB14" s="27">
        <f t="shared" si="14"/>
        <v>3342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210">
        <v>3</v>
      </c>
      <c r="D15" s="3011" t="s">
        <v>1678</v>
      </c>
      <c r="E15" s="27">
        <f t="shared" si="6"/>
        <v>1278.5899999999999</v>
      </c>
      <c r="F15" s="81"/>
      <c r="G15" s="82">
        <f t="shared" si="7"/>
        <v>3342</v>
      </c>
      <c r="H15" s="33">
        <f t="shared" si="8"/>
        <v>3342</v>
      </c>
      <c r="I15" s="3211">
        <v>3342</v>
      </c>
      <c r="J15" s="3012"/>
      <c r="K15" s="3012"/>
      <c r="L15" s="3012"/>
      <c r="M15" s="3012"/>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f t="shared" si="10"/>
        <v>3</v>
      </c>
      <c r="AY15" s="3172">
        <f t="shared" si="11"/>
        <v>1278.5899999999999</v>
      </c>
      <c r="AZ15" s="27">
        <f t="shared" si="12"/>
        <v>3342</v>
      </c>
      <c r="BA15" s="27">
        <f t="shared" si="13"/>
        <v>3342</v>
      </c>
      <c r="BB15" s="27">
        <f t="shared" si="14"/>
        <v>3342</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212">
        <v>5</v>
      </c>
      <c r="D16" s="3011" t="s">
        <v>1678</v>
      </c>
      <c r="E16" s="27">
        <f t="shared" si="6"/>
        <v>1055.93</v>
      </c>
      <c r="F16" s="81"/>
      <c r="G16" s="82">
        <f t="shared" si="7"/>
        <v>2760</v>
      </c>
      <c r="H16" s="33">
        <f t="shared" si="8"/>
        <v>2760</v>
      </c>
      <c r="I16" s="3214">
        <v>2760</v>
      </c>
      <c r="J16" s="3012"/>
      <c r="K16" s="3012"/>
      <c r="L16" s="3012"/>
      <c r="M16" s="3012"/>
      <c r="N16" s="83"/>
      <c r="O16" s="83"/>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f t="shared" si="10"/>
        <v>5</v>
      </c>
      <c r="AY16" s="3172">
        <f t="shared" si="11"/>
        <v>1055.93</v>
      </c>
      <c r="AZ16" s="27">
        <f t="shared" si="12"/>
        <v>2760</v>
      </c>
      <c r="BA16" s="27">
        <f t="shared" si="13"/>
        <v>2760</v>
      </c>
      <c r="BB16" s="27">
        <f t="shared" si="14"/>
        <v>2760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212">
        <v>6</v>
      </c>
      <c r="D17" s="3011" t="s">
        <v>1678</v>
      </c>
      <c r="E17" s="27">
        <f t="shared" si="6"/>
        <v>2102.29</v>
      </c>
      <c r="F17" s="81"/>
      <c r="G17" s="82">
        <f t="shared" si="7"/>
        <v>5495</v>
      </c>
      <c r="H17" s="33">
        <f t="shared" si="8"/>
        <v>5495</v>
      </c>
      <c r="I17" s="3214">
        <v>5495</v>
      </c>
      <c r="J17" s="3012"/>
      <c r="K17" s="3012"/>
      <c r="L17" s="3012"/>
      <c r="M17" s="3012"/>
      <c r="N17" s="83"/>
      <c r="O17" s="83"/>
      <c r="P17" s="83"/>
      <c r="Q17" s="83"/>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f t="shared" si="10"/>
        <v>6</v>
      </c>
      <c r="AY17" s="3172">
        <f t="shared" si="11"/>
        <v>2102.29</v>
      </c>
      <c r="AZ17" s="27">
        <f t="shared" si="12"/>
        <v>5495</v>
      </c>
      <c r="BA17" s="27">
        <f t="shared" si="13"/>
        <v>5495</v>
      </c>
      <c r="BB17" s="27">
        <f t="shared" si="14"/>
        <v>5495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80"/>
      <c r="C18" s="3216">
        <v>7</v>
      </c>
      <c r="D18" s="3182" t="s">
        <v>1678</v>
      </c>
      <c r="E18" s="27">
        <f t="shared" si="6"/>
        <v>4222.95</v>
      </c>
      <c r="F18" s="81"/>
      <c r="G18" s="82">
        <f t="shared" si="7"/>
        <v>11038</v>
      </c>
      <c r="H18" s="33">
        <f t="shared" si="8"/>
        <v>11038</v>
      </c>
      <c r="I18" s="3215">
        <v>11038</v>
      </c>
      <c r="J18" s="83"/>
      <c r="K18" s="3181"/>
      <c r="L18" s="83"/>
      <c r="M18" s="83"/>
      <c r="N18" s="83"/>
      <c r="O18" s="83"/>
      <c r="P18" s="83"/>
      <c r="Q18" s="83"/>
      <c r="R18" s="83"/>
      <c r="S18" s="83"/>
      <c r="T18" s="83"/>
      <c r="U18" s="83"/>
      <c r="V18" s="83"/>
      <c r="W18" s="83"/>
      <c r="X18" s="83"/>
      <c r="Y18" s="83"/>
      <c r="Z18" s="83"/>
      <c r="AA18" s="83"/>
      <c r="AB18" s="83"/>
      <c r="AC18" s="27">
        <f t="shared" si="9"/>
        <v>0</v>
      </c>
      <c r="AD18" s="3183"/>
      <c r="AE18" s="3183"/>
      <c r="AF18" s="3181"/>
      <c r="AG18" s="3183"/>
      <c r="AH18" s="3183"/>
      <c r="AI18" s="3183"/>
      <c r="AJ18" s="3183"/>
      <c r="AK18" s="3183"/>
      <c r="AL18" s="3184"/>
      <c r="AM18" s="3183"/>
      <c r="AN18" s="3181"/>
      <c r="AO18" s="3183"/>
      <c r="AP18" s="3183"/>
      <c r="AQ18" s="3183"/>
      <c r="AR18" s="3183"/>
      <c r="AS18" s="3183"/>
      <c r="AT18" s="3185"/>
      <c r="AU18" s="3186"/>
      <c r="AV18" s="17">
        <f t="shared" si="10"/>
        <v>0</v>
      </c>
      <c r="AW18" s="17">
        <f t="shared" si="10"/>
        <v>0</v>
      </c>
      <c r="AX18" s="17">
        <f t="shared" si="10"/>
        <v>7</v>
      </c>
      <c r="AY18" s="3172">
        <f t="shared" si="11"/>
        <v>4222.95</v>
      </c>
      <c r="AZ18" s="27">
        <f t="shared" si="12"/>
        <v>11038</v>
      </c>
      <c r="BA18" s="27">
        <f t="shared" si="13"/>
        <v>11038</v>
      </c>
      <c r="BB18" s="27">
        <f t="shared" si="14"/>
        <v>11038</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12"/>
      <c r="B19" s="1397"/>
      <c r="C19" s="3213">
        <v>8</v>
      </c>
      <c r="D19" s="80" t="s">
        <v>1678</v>
      </c>
      <c r="E19" s="27">
        <f t="shared" si="6"/>
        <v>1055.93</v>
      </c>
      <c r="F19" s="81"/>
      <c r="G19" s="82">
        <f t="shared" si="7"/>
        <v>2760</v>
      </c>
      <c r="H19" s="33">
        <f t="shared" si="8"/>
        <v>2760</v>
      </c>
      <c r="I19" s="3213">
        <v>2760</v>
      </c>
      <c r="J19" s="83"/>
      <c r="K19" s="3181"/>
      <c r="L19" s="83"/>
      <c r="M19" s="83"/>
      <c r="N19" s="83"/>
      <c r="O19" s="83"/>
      <c r="P19" s="83"/>
      <c r="Q19" s="83"/>
      <c r="R19" s="83"/>
      <c r="S19" s="83"/>
      <c r="T19" s="83"/>
      <c r="U19" s="83"/>
      <c r="V19" s="83"/>
      <c r="W19" s="83"/>
      <c r="X19" s="83"/>
      <c r="Y19" s="83"/>
      <c r="Z19" s="83"/>
      <c r="AA19" s="83"/>
      <c r="AB19" s="83"/>
      <c r="AC19" s="27">
        <f t="shared" si="9"/>
        <v>0</v>
      </c>
      <c r="AD19" s="3183"/>
      <c r="AE19" s="3183"/>
      <c r="AF19" s="3181"/>
      <c r="AG19" s="3183"/>
      <c r="AH19" s="3183"/>
      <c r="AI19" s="3183"/>
      <c r="AJ19" s="3183"/>
      <c r="AK19" s="3183"/>
      <c r="AL19" s="3183"/>
      <c r="AM19" s="3183"/>
      <c r="AN19" s="3181"/>
      <c r="AO19" s="3183"/>
      <c r="AP19" s="3183"/>
      <c r="AQ19" s="3183"/>
      <c r="AR19" s="3183"/>
      <c r="AS19" s="3183"/>
      <c r="AT19" s="3185"/>
      <c r="AU19" s="3186"/>
      <c r="AV19" s="17">
        <f t="shared" si="10"/>
        <v>0</v>
      </c>
      <c r="AW19" s="17">
        <f t="shared" si="10"/>
        <v>0</v>
      </c>
      <c r="AX19" s="17">
        <f t="shared" si="10"/>
        <v>8</v>
      </c>
      <c r="AY19" s="3172">
        <f t="shared" si="11"/>
        <v>1055.93</v>
      </c>
      <c r="AZ19" s="27">
        <f t="shared" si="12"/>
        <v>2760</v>
      </c>
      <c r="BA19" s="27">
        <f t="shared" si="13"/>
        <v>2760</v>
      </c>
      <c r="BB19" s="27">
        <f t="shared" si="14"/>
        <v>2760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2.75">
      <c r="A20" s="12"/>
      <c r="B20" s="1397"/>
      <c r="C20" s="3213">
        <v>9</v>
      </c>
      <c r="D20" s="80" t="s">
        <v>1678</v>
      </c>
      <c r="E20" s="27">
        <f t="shared" si="6"/>
        <v>2102.29</v>
      </c>
      <c r="F20" s="81"/>
      <c r="G20" s="82">
        <f t="shared" si="7"/>
        <v>5495</v>
      </c>
      <c r="H20" s="33">
        <f t="shared" si="8"/>
        <v>5495</v>
      </c>
      <c r="I20" s="3213">
        <v>5495</v>
      </c>
      <c r="J20" s="83"/>
      <c r="K20" s="3181"/>
      <c r="L20" s="83"/>
      <c r="M20" s="83"/>
      <c r="N20" s="83"/>
      <c r="O20" s="83"/>
      <c r="P20" s="83"/>
      <c r="Q20" s="83"/>
      <c r="R20" s="83"/>
      <c r="S20" s="83"/>
      <c r="T20" s="83"/>
      <c r="U20" s="83"/>
      <c r="V20" s="83"/>
      <c r="W20" s="83"/>
      <c r="X20" s="83"/>
      <c r="Y20" s="83"/>
      <c r="Z20" s="83"/>
      <c r="AA20" s="83"/>
      <c r="AB20" s="83"/>
      <c r="AC20" s="27">
        <f t="shared" si="9"/>
        <v>0</v>
      </c>
      <c r="AD20" s="3183"/>
      <c r="AE20" s="3183"/>
      <c r="AF20" s="3181"/>
      <c r="AG20" s="3183"/>
      <c r="AH20" s="3183"/>
      <c r="AI20" s="3183"/>
      <c r="AJ20" s="3183"/>
      <c r="AK20" s="3183"/>
      <c r="AL20" s="3183"/>
      <c r="AM20" s="3183"/>
      <c r="AN20" s="3181"/>
      <c r="AO20" s="3183"/>
      <c r="AP20" s="3183"/>
      <c r="AQ20" s="3183"/>
      <c r="AR20" s="3183"/>
      <c r="AS20" s="3183"/>
      <c r="AT20" s="3185"/>
      <c r="AU20" s="3186"/>
      <c r="AV20" s="17">
        <f t="shared" si="10"/>
        <v>0</v>
      </c>
      <c r="AW20" s="17">
        <f t="shared" si="10"/>
        <v>0</v>
      </c>
      <c r="AX20" s="17">
        <f t="shared" si="10"/>
        <v>9</v>
      </c>
      <c r="AY20" s="3172">
        <f t="shared" si="11"/>
        <v>2102.29</v>
      </c>
      <c r="AZ20" s="27">
        <f t="shared" si="12"/>
        <v>5495</v>
      </c>
      <c r="BA20" s="27">
        <f t="shared" si="13"/>
        <v>5495</v>
      </c>
      <c r="BB20" s="27">
        <f t="shared" si="14"/>
        <v>5495</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2.75">
      <c r="A21" s="12"/>
      <c r="B21" s="3181"/>
      <c r="C21" s="3215">
        <v>10</v>
      </c>
      <c r="D21" s="80" t="s">
        <v>1678</v>
      </c>
      <c r="E21" s="27">
        <f t="shared" ref="E21:E112" si="33">IF($C$3="是",ROUND($A$3*G21/$B$3,2),ROUND($A$3*(G21-AT21)/$B$3,2))</f>
        <v>4541.26</v>
      </c>
      <c r="F21" s="81"/>
      <c r="G21" s="82">
        <f t="shared" ref="G21:G109" si="34">H21+AC21+AT21</f>
        <v>11870</v>
      </c>
      <c r="H21" s="33">
        <f t="shared" ref="H21:H109" si="35">SUMIF(I$12:AB$12,"总值",I21:AB21)</f>
        <v>11870</v>
      </c>
      <c r="I21" s="3215">
        <v>11870</v>
      </c>
      <c r="J21" s="83"/>
      <c r="K21" s="1397"/>
      <c r="L21" s="83"/>
      <c r="M21" s="83"/>
      <c r="N21" s="83"/>
      <c r="O21" s="83"/>
      <c r="P21" s="83"/>
      <c r="Q21" s="83"/>
      <c r="R21" s="83"/>
      <c r="S21" s="83"/>
      <c r="T21" s="83"/>
      <c r="U21" s="83"/>
      <c r="V21" s="83"/>
      <c r="W21" s="83"/>
      <c r="X21" s="83"/>
      <c r="Y21" s="83"/>
      <c r="Z21" s="83"/>
      <c r="AA21" s="83"/>
      <c r="AB21" s="83"/>
      <c r="AC21" s="27">
        <f t="shared" ref="AC21:AC109" si="36">SUMIF(AD$12:AS$12,"总值",AD21:AS21)</f>
        <v>0</v>
      </c>
      <c r="AD21" s="3183"/>
      <c r="AE21" s="3183"/>
      <c r="AF21" s="3187"/>
      <c r="AG21" s="3183"/>
      <c r="AH21" s="3183"/>
      <c r="AI21" s="3183"/>
      <c r="AJ21" s="3183"/>
      <c r="AK21" s="3183"/>
      <c r="AL21" s="3183"/>
      <c r="AM21" s="3183"/>
      <c r="AN21" s="3184"/>
      <c r="AO21" s="3183"/>
      <c r="AP21" s="3183"/>
      <c r="AQ21" s="3183"/>
      <c r="AR21" s="3183"/>
      <c r="AS21" s="3183"/>
      <c r="AT21" s="3185"/>
      <c r="AU21" s="3186"/>
      <c r="AV21" s="17">
        <f t="shared" ref="AV21:AV112" si="37">A21</f>
        <v>0</v>
      </c>
      <c r="AW21" s="17">
        <f t="shared" ref="AW21:AW112" si="38">B21</f>
        <v>0</v>
      </c>
      <c r="AX21" s="17">
        <f t="shared" ref="AX21:AX112" si="39">C21</f>
        <v>10</v>
      </c>
      <c r="AY21" s="3172">
        <f t="shared" ref="AY21:AY109" si="40">ROUND($AY$6*AZ21/$AZ$5,2)</f>
        <v>4541.26</v>
      </c>
      <c r="AZ21" s="27">
        <f t="shared" ref="AZ21:AZ109" si="41">BA21+BL21</f>
        <v>11870</v>
      </c>
      <c r="BA21" s="27">
        <f t="shared" ref="BA21:BA109" si="42">SUM(BB21:BK21)</f>
        <v>11870</v>
      </c>
      <c r="BB21" s="27">
        <f t="shared" ref="BB21:BB109" si="43">IF($D21="是",I21-J21,0)</f>
        <v>11870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2.75">
      <c r="A22" s="12"/>
      <c r="B22" s="3181"/>
      <c r="C22" s="3213">
        <v>11</v>
      </c>
      <c r="D22" s="80" t="s">
        <v>1678</v>
      </c>
      <c r="E22" s="27">
        <f t="shared" si="33"/>
        <v>1055.93</v>
      </c>
      <c r="F22" s="81"/>
      <c r="G22" s="82">
        <f t="shared" si="34"/>
        <v>2760</v>
      </c>
      <c r="H22" s="33">
        <f t="shared" si="35"/>
        <v>2760</v>
      </c>
      <c r="I22" s="3213">
        <v>2760</v>
      </c>
      <c r="J22" s="83"/>
      <c r="K22" s="1397"/>
      <c r="L22" s="83"/>
      <c r="M22" s="3184"/>
      <c r="N22" s="83"/>
      <c r="O22" s="83"/>
      <c r="P22" s="83"/>
      <c r="Q22" s="83"/>
      <c r="R22" s="83"/>
      <c r="S22" s="83"/>
      <c r="T22" s="83"/>
      <c r="U22" s="83"/>
      <c r="V22" s="83"/>
      <c r="W22" s="83"/>
      <c r="X22" s="83"/>
      <c r="Y22" s="83"/>
      <c r="Z22" s="83"/>
      <c r="AA22" s="83"/>
      <c r="AB22" s="83"/>
      <c r="AC22" s="27">
        <f t="shared" si="36"/>
        <v>0</v>
      </c>
      <c r="AD22" s="3184"/>
      <c r="AE22" s="3183"/>
      <c r="AF22" s="3187"/>
      <c r="AG22" s="3183"/>
      <c r="AH22" s="3183"/>
      <c r="AI22" s="3183"/>
      <c r="AJ22" s="3183"/>
      <c r="AK22" s="3183"/>
      <c r="AL22" s="3184"/>
      <c r="AM22" s="3183"/>
      <c r="AN22" s="3184"/>
      <c r="AO22" s="3183"/>
      <c r="AP22" s="3183"/>
      <c r="AQ22" s="3183"/>
      <c r="AR22" s="3183"/>
      <c r="AS22" s="3183"/>
      <c r="AT22" s="3185"/>
      <c r="AU22" s="3186"/>
      <c r="AV22" s="17">
        <f t="shared" si="37"/>
        <v>0</v>
      </c>
      <c r="AW22" s="17">
        <f t="shared" si="38"/>
        <v>0</v>
      </c>
      <c r="AX22" s="17">
        <f t="shared" si="39"/>
        <v>11</v>
      </c>
      <c r="AY22" s="3172">
        <f t="shared" si="40"/>
        <v>1055.93</v>
      </c>
      <c r="AZ22" s="27">
        <f t="shared" si="41"/>
        <v>2760</v>
      </c>
      <c r="BA22" s="27">
        <f t="shared" si="42"/>
        <v>2760</v>
      </c>
      <c r="BB22" s="27">
        <f t="shared" si="43"/>
        <v>2760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2.75">
      <c r="A23" s="12"/>
      <c r="B23" s="3181"/>
      <c r="C23" s="3213">
        <v>12</v>
      </c>
      <c r="D23" s="80" t="s">
        <v>1678</v>
      </c>
      <c r="E23" s="27">
        <f t="shared" si="33"/>
        <v>2102.29</v>
      </c>
      <c r="F23" s="81"/>
      <c r="G23" s="82">
        <f t="shared" si="34"/>
        <v>5495</v>
      </c>
      <c r="H23" s="33">
        <f t="shared" si="35"/>
        <v>5495</v>
      </c>
      <c r="I23" s="3213">
        <v>5495</v>
      </c>
      <c r="J23" s="83"/>
      <c r="K23" s="1397"/>
      <c r="L23" s="83"/>
      <c r="M23" s="3184"/>
      <c r="N23" s="83"/>
      <c r="O23" s="83"/>
      <c r="P23" s="83"/>
      <c r="Q23" s="83"/>
      <c r="R23" s="83"/>
      <c r="S23" s="83"/>
      <c r="T23" s="83"/>
      <c r="U23" s="83"/>
      <c r="V23" s="83"/>
      <c r="W23" s="83"/>
      <c r="X23" s="83"/>
      <c r="Y23" s="83"/>
      <c r="Z23" s="83"/>
      <c r="AA23" s="83"/>
      <c r="AB23" s="83"/>
      <c r="AC23" s="27">
        <f t="shared" si="36"/>
        <v>0</v>
      </c>
      <c r="AD23" s="3183"/>
      <c r="AE23" s="3183"/>
      <c r="AF23" s="3187"/>
      <c r="AG23" s="3183"/>
      <c r="AH23" s="3183"/>
      <c r="AI23" s="3183"/>
      <c r="AJ23" s="3183"/>
      <c r="AK23" s="3183"/>
      <c r="AL23" s="3184"/>
      <c r="AM23" s="3183"/>
      <c r="AN23" s="3184"/>
      <c r="AO23" s="3183"/>
      <c r="AP23" s="3183"/>
      <c r="AQ23" s="3183"/>
      <c r="AR23" s="3183"/>
      <c r="AS23" s="3183"/>
      <c r="AT23" s="3185"/>
      <c r="AU23" s="3186"/>
      <c r="AV23" s="17">
        <f t="shared" si="37"/>
        <v>0</v>
      </c>
      <c r="AW23" s="17">
        <f t="shared" si="38"/>
        <v>0</v>
      </c>
      <c r="AX23" s="17">
        <f t="shared" si="39"/>
        <v>12</v>
      </c>
      <c r="AY23" s="3172">
        <f t="shared" si="40"/>
        <v>2102.29</v>
      </c>
      <c r="AZ23" s="27">
        <f t="shared" si="41"/>
        <v>5495</v>
      </c>
      <c r="BA23" s="27">
        <f t="shared" si="42"/>
        <v>5495</v>
      </c>
      <c r="BB23" s="27">
        <f t="shared" si="43"/>
        <v>5495</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2.75">
      <c r="A24" s="12"/>
      <c r="B24" s="3181"/>
      <c r="C24" s="3215">
        <v>13</v>
      </c>
      <c r="D24" s="80" t="s">
        <v>1678</v>
      </c>
      <c r="E24" s="27">
        <f t="shared" si="33"/>
        <v>4215.3</v>
      </c>
      <c r="F24" s="81"/>
      <c r="G24" s="82">
        <f t="shared" si="34"/>
        <v>11018</v>
      </c>
      <c r="H24" s="33">
        <f t="shared" si="35"/>
        <v>11018</v>
      </c>
      <c r="I24" s="3215">
        <v>11018</v>
      </c>
      <c r="J24" s="83"/>
      <c r="K24" s="1397"/>
      <c r="L24" s="83"/>
      <c r="M24" s="83"/>
      <c r="N24" s="83"/>
      <c r="O24" s="3184"/>
      <c r="P24" s="83"/>
      <c r="Q24" s="83"/>
      <c r="R24" s="83"/>
      <c r="S24" s="83"/>
      <c r="T24" s="83"/>
      <c r="U24" s="83"/>
      <c r="V24" s="83"/>
      <c r="W24" s="83"/>
      <c r="X24" s="83"/>
      <c r="Y24" s="83"/>
      <c r="Z24" s="83"/>
      <c r="AA24" s="83"/>
      <c r="AB24" s="83"/>
      <c r="AC24" s="27">
        <f t="shared" si="36"/>
        <v>0</v>
      </c>
      <c r="AD24" s="3183"/>
      <c r="AE24" s="3183"/>
      <c r="AF24" s="3187"/>
      <c r="AG24" s="3183"/>
      <c r="AH24" s="3183"/>
      <c r="AI24" s="3183"/>
      <c r="AJ24" s="3183"/>
      <c r="AK24" s="3183"/>
      <c r="AL24" s="3183"/>
      <c r="AM24" s="3183"/>
      <c r="AN24" s="3184"/>
      <c r="AO24" s="3183"/>
      <c r="AP24" s="3183"/>
      <c r="AQ24" s="3183"/>
      <c r="AR24" s="3183"/>
      <c r="AS24" s="3183"/>
      <c r="AT24" s="3185"/>
      <c r="AU24" s="3186"/>
      <c r="AV24" s="17">
        <f t="shared" si="37"/>
        <v>0</v>
      </c>
      <c r="AW24" s="17">
        <f t="shared" si="38"/>
        <v>0</v>
      </c>
      <c r="AX24" s="17">
        <f t="shared" si="39"/>
        <v>13</v>
      </c>
      <c r="AY24" s="3172">
        <f t="shared" si="40"/>
        <v>4215.3</v>
      </c>
      <c r="AZ24" s="27">
        <f t="shared" si="41"/>
        <v>11018</v>
      </c>
      <c r="BA24" s="27">
        <f t="shared" si="42"/>
        <v>11018</v>
      </c>
      <c r="BB24" s="27">
        <f t="shared" si="43"/>
        <v>11018</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2.75">
      <c r="A25" s="12"/>
      <c r="B25" s="3181"/>
      <c r="C25" s="3215">
        <v>15</v>
      </c>
      <c r="D25" s="80" t="s">
        <v>1678</v>
      </c>
      <c r="E25" s="27">
        <f t="shared" si="33"/>
        <v>4215.3</v>
      </c>
      <c r="F25" s="81"/>
      <c r="G25" s="82">
        <f t="shared" si="34"/>
        <v>11018</v>
      </c>
      <c r="H25" s="33">
        <f t="shared" si="35"/>
        <v>11018</v>
      </c>
      <c r="I25" s="3215">
        <v>11018</v>
      </c>
      <c r="J25" s="83"/>
      <c r="K25" s="1397"/>
      <c r="L25" s="83"/>
      <c r="M25" s="83"/>
      <c r="N25" s="83"/>
      <c r="O25" s="83"/>
      <c r="P25" s="83"/>
      <c r="Q25" s="83"/>
      <c r="R25" s="83"/>
      <c r="S25" s="83"/>
      <c r="T25" s="83"/>
      <c r="U25" s="83"/>
      <c r="V25" s="83"/>
      <c r="W25" s="83"/>
      <c r="X25" s="83"/>
      <c r="Y25" s="83"/>
      <c r="Z25" s="83"/>
      <c r="AA25" s="83"/>
      <c r="AB25" s="83"/>
      <c r="AC25" s="27">
        <f t="shared" si="36"/>
        <v>0</v>
      </c>
      <c r="AD25" s="3183"/>
      <c r="AE25" s="3183"/>
      <c r="AF25" s="3187"/>
      <c r="AG25" s="3183"/>
      <c r="AH25" s="3183"/>
      <c r="AI25" s="3183"/>
      <c r="AJ25" s="3183"/>
      <c r="AK25" s="3183"/>
      <c r="AL25" s="3183"/>
      <c r="AM25" s="3183"/>
      <c r="AN25" s="3183"/>
      <c r="AO25" s="3183"/>
      <c r="AP25" s="3183"/>
      <c r="AQ25" s="3183"/>
      <c r="AR25" s="3183"/>
      <c r="AS25" s="3183"/>
      <c r="AT25" s="3185"/>
      <c r="AU25" s="3186"/>
      <c r="AV25" s="17">
        <f t="shared" si="37"/>
        <v>0</v>
      </c>
      <c r="AW25" s="17">
        <f t="shared" si="38"/>
        <v>0</v>
      </c>
      <c r="AX25" s="17">
        <f t="shared" si="39"/>
        <v>15</v>
      </c>
      <c r="AY25" s="3172">
        <f t="shared" si="40"/>
        <v>4215.3</v>
      </c>
      <c r="AZ25" s="27">
        <f t="shared" si="41"/>
        <v>11018</v>
      </c>
      <c r="BA25" s="27">
        <f t="shared" si="42"/>
        <v>11018</v>
      </c>
      <c r="BB25" s="27">
        <f t="shared" si="43"/>
        <v>11018</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2.75">
      <c r="A26" s="12"/>
      <c r="B26" s="3181"/>
      <c r="C26" s="3215">
        <v>16</v>
      </c>
      <c r="D26" s="80" t="s">
        <v>1678</v>
      </c>
      <c r="E26" s="27">
        <f t="shared" si="33"/>
        <v>3838.46</v>
      </c>
      <c r="F26" s="81"/>
      <c r="G26" s="82">
        <f t="shared" si="34"/>
        <v>10033</v>
      </c>
      <c r="H26" s="33">
        <f t="shared" si="35"/>
        <v>10033</v>
      </c>
      <c r="I26" s="3215">
        <v>10033</v>
      </c>
      <c r="J26" s="83"/>
      <c r="K26" s="1397"/>
      <c r="L26" s="83"/>
      <c r="M26" s="83"/>
      <c r="N26" s="83"/>
      <c r="O26" s="83"/>
      <c r="P26" s="83"/>
      <c r="Q26" s="83"/>
      <c r="R26" s="83"/>
      <c r="S26" s="83"/>
      <c r="T26" s="83"/>
      <c r="U26" s="83"/>
      <c r="V26" s="83"/>
      <c r="W26" s="83"/>
      <c r="X26" s="83"/>
      <c r="Y26" s="83"/>
      <c r="Z26" s="83"/>
      <c r="AA26" s="83"/>
      <c r="AB26" s="83"/>
      <c r="AC26" s="27">
        <f t="shared" si="36"/>
        <v>0</v>
      </c>
      <c r="AD26" s="3183"/>
      <c r="AE26" s="3183"/>
      <c r="AF26" s="3187"/>
      <c r="AG26" s="3183"/>
      <c r="AH26" s="3183"/>
      <c r="AI26" s="3183"/>
      <c r="AJ26" s="3183"/>
      <c r="AK26" s="3183"/>
      <c r="AL26" s="3183"/>
      <c r="AM26" s="3183"/>
      <c r="AN26" s="3183"/>
      <c r="AO26" s="3183"/>
      <c r="AP26" s="3183"/>
      <c r="AQ26" s="3183"/>
      <c r="AR26" s="3183"/>
      <c r="AS26" s="3183"/>
      <c r="AT26" s="3185"/>
      <c r="AU26" s="3186"/>
      <c r="AV26" s="17">
        <f t="shared" si="37"/>
        <v>0</v>
      </c>
      <c r="AW26" s="17">
        <f t="shared" si="38"/>
        <v>0</v>
      </c>
      <c r="AX26" s="17">
        <f t="shared" si="39"/>
        <v>16</v>
      </c>
      <c r="AY26" s="3172">
        <f t="shared" si="40"/>
        <v>3838.46</v>
      </c>
      <c r="AZ26" s="27">
        <f t="shared" si="41"/>
        <v>10033</v>
      </c>
      <c r="BA26" s="27">
        <f t="shared" si="42"/>
        <v>10033</v>
      </c>
      <c r="BB26" s="27">
        <f t="shared" si="43"/>
        <v>10033</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2.75">
      <c r="A27" s="12"/>
      <c r="B27" s="3181"/>
      <c r="C27" s="3215">
        <v>17</v>
      </c>
      <c r="D27" s="80" t="s">
        <v>1678</v>
      </c>
      <c r="E27" s="27">
        <f t="shared" si="33"/>
        <v>4215.3</v>
      </c>
      <c r="F27" s="81"/>
      <c r="G27" s="82">
        <f t="shared" si="34"/>
        <v>11018</v>
      </c>
      <c r="H27" s="33">
        <f t="shared" si="35"/>
        <v>11018</v>
      </c>
      <c r="I27" s="3215">
        <v>11018</v>
      </c>
      <c r="J27" s="83"/>
      <c r="K27" s="1397"/>
      <c r="L27" s="83"/>
      <c r="M27" s="83"/>
      <c r="N27" s="83"/>
      <c r="O27" s="83"/>
      <c r="P27" s="83"/>
      <c r="Q27" s="83"/>
      <c r="R27" s="83"/>
      <c r="S27" s="83"/>
      <c r="T27" s="83"/>
      <c r="U27" s="83"/>
      <c r="V27" s="83"/>
      <c r="W27" s="83"/>
      <c r="X27" s="83"/>
      <c r="Y27" s="83"/>
      <c r="Z27" s="83"/>
      <c r="AA27" s="83"/>
      <c r="AB27" s="83"/>
      <c r="AC27" s="27">
        <f t="shared" si="36"/>
        <v>0</v>
      </c>
      <c r="AD27" s="3183"/>
      <c r="AE27" s="3183"/>
      <c r="AF27" s="3187"/>
      <c r="AG27" s="3183"/>
      <c r="AH27" s="3183"/>
      <c r="AI27" s="3183"/>
      <c r="AJ27" s="3183"/>
      <c r="AK27" s="3183"/>
      <c r="AL27" s="3183"/>
      <c r="AM27" s="3183"/>
      <c r="AN27" s="3183"/>
      <c r="AO27" s="3183"/>
      <c r="AP27" s="3183"/>
      <c r="AQ27" s="3183"/>
      <c r="AR27" s="3183"/>
      <c r="AS27" s="3183"/>
      <c r="AT27" s="3185"/>
      <c r="AU27" s="3186"/>
      <c r="AV27" s="17">
        <f t="shared" si="37"/>
        <v>0</v>
      </c>
      <c r="AW27" s="17">
        <f t="shared" si="38"/>
        <v>0</v>
      </c>
      <c r="AX27" s="17">
        <f t="shared" si="39"/>
        <v>17</v>
      </c>
      <c r="AY27" s="3172">
        <f t="shared" si="40"/>
        <v>4215.3</v>
      </c>
      <c r="AZ27" s="27">
        <f t="shared" si="41"/>
        <v>11018</v>
      </c>
      <c r="BA27" s="27">
        <f t="shared" si="42"/>
        <v>11018</v>
      </c>
      <c r="BB27" s="27">
        <f t="shared" si="43"/>
        <v>11018</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25.5">
      <c r="A28" s="12"/>
      <c r="B28" s="3181"/>
      <c r="C28" s="3181" t="s">
        <v>3162</v>
      </c>
      <c r="D28" s="80" t="s">
        <v>1678</v>
      </c>
      <c r="E28" s="27">
        <f t="shared" si="33"/>
        <v>385.64</v>
      </c>
      <c r="F28" s="81"/>
      <c r="G28" s="82">
        <f t="shared" si="34"/>
        <v>1008</v>
      </c>
      <c r="H28" s="33">
        <f t="shared" si="35"/>
        <v>0</v>
      </c>
      <c r="I28" s="1397"/>
      <c r="J28" s="83"/>
      <c r="K28" s="1397"/>
      <c r="L28" s="83"/>
      <c r="M28" s="83"/>
      <c r="N28" s="83"/>
      <c r="O28" s="83"/>
      <c r="P28" s="83"/>
      <c r="Q28" s="83"/>
      <c r="R28" s="83"/>
      <c r="S28" s="83"/>
      <c r="T28" s="83"/>
      <c r="U28" s="83"/>
      <c r="V28" s="83"/>
      <c r="W28" s="83"/>
      <c r="X28" s="83"/>
      <c r="Y28" s="83"/>
      <c r="Z28" s="83"/>
      <c r="AA28" s="83"/>
      <c r="AB28" s="83"/>
      <c r="AC28" s="27">
        <f t="shared" si="36"/>
        <v>1008</v>
      </c>
      <c r="AD28" s="3183"/>
      <c r="AE28" s="3183"/>
      <c r="AF28" s="1397"/>
      <c r="AG28" s="3183"/>
      <c r="AH28" s="3183"/>
      <c r="AI28" s="3183"/>
      <c r="AJ28" s="3183"/>
      <c r="AK28" s="3183"/>
      <c r="AL28" s="3183">
        <v>1008</v>
      </c>
      <c r="AM28" s="3183"/>
      <c r="AN28" s="3183"/>
      <c r="AO28" s="3183"/>
      <c r="AP28" s="3183"/>
      <c r="AQ28" s="3183"/>
      <c r="AR28" s="3183"/>
      <c r="AS28" s="3183"/>
      <c r="AT28" s="3185"/>
      <c r="AU28" s="3186"/>
      <c r="AV28" s="17">
        <f t="shared" si="37"/>
        <v>0</v>
      </c>
      <c r="AW28" s="17">
        <f t="shared" si="38"/>
        <v>0</v>
      </c>
      <c r="AX28" s="17" t="str">
        <f t="shared" si="39"/>
        <v>18社区服务用房</v>
      </c>
      <c r="AY28" s="3172">
        <f t="shared" si="40"/>
        <v>385.64</v>
      </c>
      <c r="AZ28" s="27">
        <f t="shared" si="41"/>
        <v>1008</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1008</v>
      </c>
      <c r="BM28" s="27">
        <f t="shared" si="54"/>
        <v>0</v>
      </c>
      <c r="BN28" s="27">
        <f t="shared" si="55"/>
        <v>0</v>
      </c>
      <c r="BO28" s="27">
        <f t="shared" si="56"/>
        <v>0</v>
      </c>
      <c r="BP28" s="27">
        <f t="shared" si="57"/>
        <v>0</v>
      </c>
      <c r="BQ28" s="27">
        <f t="shared" si="58"/>
        <v>1008</v>
      </c>
      <c r="BR28" s="27">
        <f t="shared" si="59"/>
        <v>0</v>
      </c>
      <c r="BS28" s="27">
        <f t="shared" si="60"/>
        <v>0</v>
      </c>
      <c r="BT28" s="36">
        <f t="shared" si="61"/>
        <v>0</v>
      </c>
    </row>
    <row r="29" spans="1:72" s="18" customFormat="1" ht="12.75">
      <c r="A29" s="12"/>
      <c r="B29" s="1397"/>
      <c r="C29" s="1397">
        <v>19</v>
      </c>
      <c r="D29" s="80" t="s">
        <v>1678</v>
      </c>
      <c r="E29" s="27">
        <f t="shared" si="33"/>
        <v>492.77</v>
      </c>
      <c r="F29" s="81"/>
      <c r="G29" s="82">
        <f t="shared" si="34"/>
        <v>1288</v>
      </c>
      <c r="H29" s="33">
        <f t="shared" si="35"/>
        <v>0</v>
      </c>
      <c r="I29" s="1397"/>
      <c r="J29" s="83"/>
      <c r="K29" s="1397"/>
      <c r="L29" s="83"/>
      <c r="M29" s="83"/>
      <c r="N29" s="83"/>
      <c r="O29" s="83"/>
      <c r="P29" s="83"/>
      <c r="Q29" s="83"/>
      <c r="R29" s="83"/>
      <c r="S29" s="83"/>
      <c r="T29" s="83"/>
      <c r="U29" s="83"/>
      <c r="V29" s="83"/>
      <c r="W29" s="83"/>
      <c r="X29" s="83"/>
      <c r="Y29" s="83"/>
      <c r="Z29" s="83"/>
      <c r="AA29" s="83"/>
      <c r="AB29" s="83"/>
      <c r="AC29" s="27">
        <f t="shared" si="36"/>
        <v>1288</v>
      </c>
      <c r="AD29" s="3183"/>
      <c r="AE29" s="3183"/>
      <c r="AF29" s="1397"/>
      <c r="AG29" s="3183"/>
      <c r="AH29" s="3183">
        <v>597</v>
      </c>
      <c r="AI29" s="3183"/>
      <c r="AJ29" s="3183"/>
      <c r="AK29" s="3183"/>
      <c r="AL29" s="3183">
        <f>1288-AH29</f>
        <v>691</v>
      </c>
      <c r="AM29" s="3183"/>
      <c r="AN29" s="3183"/>
      <c r="AO29" s="3183"/>
      <c r="AP29" s="3183"/>
      <c r="AQ29" s="3183"/>
      <c r="AR29" s="3183"/>
      <c r="AS29" s="3183"/>
      <c r="AT29" s="3185"/>
      <c r="AU29" s="3186"/>
      <c r="AV29" s="17">
        <f t="shared" si="37"/>
        <v>0</v>
      </c>
      <c r="AW29" s="17">
        <f t="shared" si="38"/>
        <v>0</v>
      </c>
      <c r="AX29" s="17">
        <f t="shared" si="39"/>
        <v>19</v>
      </c>
      <c r="AY29" s="3172">
        <f t="shared" si="40"/>
        <v>492.77</v>
      </c>
      <c r="AZ29" s="27">
        <f t="shared" si="41"/>
        <v>1288</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1288</v>
      </c>
      <c r="BM29" s="27">
        <f t="shared" si="54"/>
        <v>0</v>
      </c>
      <c r="BN29" s="27">
        <f t="shared" si="55"/>
        <v>0</v>
      </c>
      <c r="BO29" s="27">
        <f t="shared" si="56"/>
        <v>597</v>
      </c>
      <c r="BP29" s="27">
        <f t="shared" si="57"/>
        <v>0</v>
      </c>
      <c r="BQ29" s="27">
        <f t="shared" si="58"/>
        <v>691</v>
      </c>
      <c r="BR29" s="27">
        <f t="shared" si="59"/>
        <v>0</v>
      </c>
      <c r="BS29" s="27">
        <f t="shared" si="60"/>
        <v>0</v>
      </c>
      <c r="BT29" s="36">
        <f t="shared" si="61"/>
        <v>0</v>
      </c>
    </row>
    <row r="30" spans="1:72" s="18" customFormat="1" ht="12.75">
      <c r="A30" s="12"/>
      <c r="B30" s="3181"/>
      <c r="C30" s="3215">
        <v>20</v>
      </c>
      <c r="D30" s="80" t="s">
        <v>1678</v>
      </c>
      <c r="E30" s="27">
        <f t="shared" si="33"/>
        <v>4552.74</v>
      </c>
      <c r="F30" s="81"/>
      <c r="G30" s="82">
        <f t="shared" si="34"/>
        <v>11900</v>
      </c>
      <c r="H30" s="33">
        <f t="shared" si="35"/>
        <v>11900</v>
      </c>
      <c r="I30" s="3215">
        <v>11900</v>
      </c>
      <c r="J30" s="83"/>
      <c r="K30" s="1397"/>
      <c r="L30" s="83"/>
      <c r="M30" s="83"/>
      <c r="N30" s="83"/>
      <c r="O30" s="83"/>
      <c r="P30" s="83"/>
      <c r="Q30" s="83"/>
      <c r="R30" s="83"/>
      <c r="S30" s="83"/>
      <c r="T30" s="83"/>
      <c r="U30" s="83"/>
      <c r="V30" s="83"/>
      <c r="W30" s="83"/>
      <c r="X30" s="83"/>
      <c r="Y30" s="83"/>
      <c r="Z30" s="83"/>
      <c r="AA30" s="83"/>
      <c r="AB30" s="83"/>
      <c r="AC30" s="27">
        <f t="shared" si="36"/>
        <v>0</v>
      </c>
      <c r="AD30" s="3183"/>
      <c r="AE30" s="3183"/>
      <c r="AF30" s="1397"/>
      <c r="AG30" s="3183"/>
      <c r="AH30" s="3183"/>
      <c r="AI30" s="3183"/>
      <c r="AJ30" s="3183"/>
      <c r="AK30" s="3183"/>
      <c r="AL30" s="3183"/>
      <c r="AM30" s="3183"/>
      <c r="AN30" s="3183"/>
      <c r="AO30" s="3183"/>
      <c r="AP30" s="3183"/>
      <c r="AQ30" s="3183"/>
      <c r="AR30" s="3183"/>
      <c r="AS30" s="3183"/>
      <c r="AT30" s="3185"/>
      <c r="AU30" s="3186"/>
      <c r="AV30" s="17">
        <f t="shared" si="37"/>
        <v>0</v>
      </c>
      <c r="AW30" s="17">
        <f t="shared" si="38"/>
        <v>0</v>
      </c>
      <c r="AX30" s="17">
        <f t="shared" si="39"/>
        <v>20</v>
      </c>
      <c r="AY30" s="3172">
        <f t="shared" si="40"/>
        <v>4552.74</v>
      </c>
      <c r="AZ30" s="27">
        <f t="shared" si="41"/>
        <v>11900</v>
      </c>
      <c r="BA30" s="27">
        <f t="shared" si="42"/>
        <v>11900</v>
      </c>
      <c r="BB30" s="27">
        <f t="shared" si="43"/>
        <v>11900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2.75">
      <c r="A31" s="12"/>
      <c r="B31" s="3181"/>
      <c r="C31" s="3181" t="s">
        <v>3159</v>
      </c>
      <c r="D31" s="80" t="s">
        <v>1678</v>
      </c>
      <c r="E31" s="27">
        <f t="shared" si="33"/>
        <v>68.86</v>
      </c>
      <c r="F31" s="81"/>
      <c r="G31" s="82">
        <f t="shared" si="34"/>
        <v>180</v>
      </c>
      <c r="H31" s="33">
        <f t="shared" si="35"/>
        <v>0</v>
      </c>
      <c r="I31" s="1397"/>
      <c r="J31" s="83"/>
      <c r="K31" s="1397"/>
      <c r="L31" s="83"/>
      <c r="M31" s="83"/>
      <c r="N31" s="83"/>
      <c r="O31" s="83"/>
      <c r="P31" s="83"/>
      <c r="Q31" s="83"/>
      <c r="R31" s="83"/>
      <c r="S31" s="83"/>
      <c r="T31" s="83"/>
      <c r="U31" s="83"/>
      <c r="V31" s="83"/>
      <c r="W31" s="83"/>
      <c r="X31" s="83"/>
      <c r="Y31" s="83"/>
      <c r="Z31" s="83"/>
      <c r="AA31" s="83"/>
      <c r="AB31" s="83"/>
      <c r="AC31" s="27">
        <f t="shared" si="36"/>
        <v>180</v>
      </c>
      <c r="AD31" s="3183"/>
      <c r="AE31" s="3183"/>
      <c r="AF31" s="1397"/>
      <c r="AG31" s="3183"/>
      <c r="AH31" s="3183"/>
      <c r="AI31" s="3183"/>
      <c r="AJ31" s="3183"/>
      <c r="AK31" s="3183"/>
      <c r="AL31" s="3183">
        <v>180</v>
      </c>
      <c r="AM31" s="3183"/>
      <c r="AN31" s="3183"/>
      <c r="AO31" s="3183"/>
      <c r="AP31" s="3183"/>
      <c r="AQ31" s="3183"/>
      <c r="AR31" s="3183"/>
      <c r="AS31" s="3183"/>
      <c r="AT31" s="3185"/>
      <c r="AU31" s="3186"/>
      <c r="AV31" s="17">
        <f t="shared" si="37"/>
        <v>0</v>
      </c>
      <c r="AW31" s="17">
        <f t="shared" si="38"/>
        <v>0</v>
      </c>
      <c r="AX31" s="17" t="str">
        <f t="shared" si="39"/>
        <v>1#配电室</v>
      </c>
      <c r="AY31" s="3172">
        <f t="shared" si="40"/>
        <v>68.86</v>
      </c>
      <c r="AZ31" s="27">
        <f t="shared" si="41"/>
        <v>180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180</v>
      </c>
      <c r="BM31" s="27">
        <f t="shared" si="54"/>
        <v>0</v>
      </c>
      <c r="BN31" s="27">
        <f t="shared" si="55"/>
        <v>0</v>
      </c>
      <c r="BO31" s="27">
        <f t="shared" si="56"/>
        <v>0</v>
      </c>
      <c r="BP31" s="27">
        <f t="shared" si="57"/>
        <v>0</v>
      </c>
      <c r="BQ31" s="27">
        <f t="shared" si="58"/>
        <v>180</v>
      </c>
      <c r="BR31" s="27">
        <f t="shared" si="59"/>
        <v>0</v>
      </c>
      <c r="BS31" s="27">
        <f t="shared" si="60"/>
        <v>0</v>
      </c>
      <c r="BT31" s="36">
        <f t="shared" si="61"/>
        <v>0</v>
      </c>
    </row>
    <row r="32" spans="1:72" s="18" customFormat="1" ht="12.75">
      <c r="A32" s="12"/>
      <c r="B32" s="3181"/>
      <c r="C32" s="3181" t="s">
        <v>3160</v>
      </c>
      <c r="D32" s="80" t="s">
        <v>1678</v>
      </c>
      <c r="E32" s="27">
        <f t="shared" si="33"/>
        <v>68.86</v>
      </c>
      <c r="F32" s="81"/>
      <c r="G32" s="82">
        <f t="shared" si="34"/>
        <v>180</v>
      </c>
      <c r="H32" s="33">
        <f t="shared" si="35"/>
        <v>0</v>
      </c>
      <c r="I32" s="1397"/>
      <c r="J32" s="83"/>
      <c r="K32" s="1397"/>
      <c r="L32" s="83"/>
      <c r="M32" s="83"/>
      <c r="N32" s="83"/>
      <c r="O32" s="83"/>
      <c r="P32" s="83"/>
      <c r="Q32" s="83"/>
      <c r="R32" s="83"/>
      <c r="S32" s="83"/>
      <c r="T32" s="83"/>
      <c r="U32" s="83"/>
      <c r="V32" s="83"/>
      <c r="W32" s="83"/>
      <c r="X32" s="83"/>
      <c r="Y32" s="83"/>
      <c r="Z32" s="83"/>
      <c r="AA32" s="83"/>
      <c r="AB32" s="83"/>
      <c r="AC32" s="27">
        <f t="shared" si="36"/>
        <v>180</v>
      </c>
      <c r="AD32" s="3183"/>
      <c r="AE32" s="3183"/>
      <c r="AF32" s="1397"/>
      <c r="AG32" s="3183"/>
      <c r="AH32" s="3183"/>
      <c r="AI32" s="3183"/>
      <c r="AJ32" s="3183"/>
      <c r="AK32" s="3183"/>
      <c r="AL32" s="3183">
        <v>180</v>
      </c>
      <c r="AM32" s="3183"/>
      <c r="AN32" s="3183"/>
      <c r="AO32" s="3183"/>
      <c r="AP32" s="3183"/>
      <c r="AQ32" s="3183"/>
      <c r="AR32" s="3183"/>
      <c r="AS32" s="3183"/>
      <c r="AT32" s="3185"/>
      <c r="AU32" s="3186"/>
      <c r="AV32" s="17">
        <f t="shared" si="37"/>
        <v>0</v>
      </c>
      <c r="AW32" s="17">
        <f t="shared" si="38"/>
        <v>0</v>
      </c>
      <c r="AX32" s="17" t="str">
        <f t="shared" si="39"/>
        <v>2#配电室</v>
      </c>
      <c r="AY32" s="3172">
        <f t="shared" si="40"/>
        <v>68.86</v>
      </c>
      <c r="AZ32" s="27">
        <f t="shared" si="41"/>
        <v>180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180</v>
      </c>
      <c r="BM32" s="27">
        <f t="shared" si="54"/>
        <v>0</v>
      </c>
      <c r="BN32" s="27">
        <f t="shared" si="55"/>
        <v>0</v>
      </c>
      <c r="BO32" s="27">
        <f t="shared" si="56"/>
        <v>0</v>
      </c>
      <c r="BP32" s="27">
        <f t="shared" si="57"/>
        <v>0</v>
      </c>
      <c r="BQ32" s="27">
        <f t="shared" si="58"/>
        <v>180</v>
      </c>
      <c r="BR32" s="27">
        <f t="shared" si="59"/>
        <v>0</v>
      </c>
      <c r="BS32" s="27">
        <f t="shared" si="60"/>
        <v>0</v>
      </c>
      <c r="BT32" s="36">
        <f t="shared" si="61"/>
        <v>0</v>
      </c>
    </row>
    <row r="33" spans="1:72">
      <c r="A33" s="84"/>
      <c r="B33" s="1392"/>
      <c r="C33" s="1393" t="s">
        <v>3163</v>
      </c>
      <c r="D33" s="80" t="s">
        <v>1678</v>
      </c>
      <c r="E33" s="87">
        <f t="shared" si="33"/>
        <v>13395</v>
      </c>
      <c r="F33" s="88"/>
      <c r="G33" s="89">
        <f t="shared" si="34"/>
        <v>35012</v>
      </c>
      <c r="H33" s="90">
        <f t="shared" si="35"/>
        <v>35012</v>
      </c>
      <c r="I33" s="1395"/>
      <c r="J33" s="91"/>
      <c r="K33" s="1395">
        <v>35012</v>
      </c>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t="str">
        <f t="shared" si="39"/>
        <v>地下车库</v>
      </c>
      <c r="AY33" s="95">
        <f t="shared" si="40"/>
        <v>13395</v>
      </c>
      <c r="AZ33" s="87">
        <f t="shared" si="41"/>
        <v>35012</v>
      </c>
      <c r="BA33" s="87">
        <f t="shared" si="42"/>
        <v>35012</v>
      </c>
      <c r="BB33" s="87">
        <f t="shared" si="43"/>
        <v>0</v>
      </c>
      <c r="BC33" s="87">
        <f t="shared" si="44"/>
        <v>35012</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2" zoomScale="90" zoomScaleNormal="90" zoomScaleSheetLayoutView="90" workbookViewId="0">
      <selection activeCell="H31" sqref="H3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856</v>
      </c>
      <c r="J2" s="1981"/>
      <c r="K2" s="1981"/>
      <c r="L2" s="1981"/>
    </row>
    <row r="3" spans="1:16" ht="15.75" thickBot="1">
      <c r="A3" s="3300" t="s">
        <v>206</v>
      </c>
      <c r="B3" s="3300"/>
      <c r="C3" s="3300"/>
      <c r="D3" s="107">
        <f>'数据-基础表'!AY6</f>
        <v>56910</v>
      </c>
      <c r="E3" s="107">
        <f>'数据-基础表'!AZ5</f>
        <v>148752</v>
      </c>
      <c r="F3" s="1981"/>
      <c r="G3" s="279" t="s">
        <v>857</v>
      </c>
      <c r="H3" s="274" t="s">
        <v>858</v>
      </c>
      <c r="I3" s="1973">
        <f>ROUND('数据-基础表'!B3/'数据-基础表'!A3,2)</f>
        <v>2.61</v>
      </c>
      <c r="J3" s="1981"/>
      <c r="K3" s="1981"/>
      <c r="L3" s="1981"/>
    </row>
    <row r="4" spans="1:16" ht="15">
      <c r="A4" s="3301"/>
      <c r="B4" s="3302"/>
      <c r="C4" s="3303"/>
      <c r="D4" s="108" t="s">
        <v>204</v>
      </c>
      <c r="E4" s="109" t="s">
        <v>205</v>
      </c>
      <c r="F4" s="1981"/>
      <c r="G4" s="1200"/>
      <c r="H4" s="274" t="s">
        <v>859</v>
      </c>
      <c r="I4" s="1973">
        <f>ROUND(SUMIF('数据-基础表'!I9:AS9,"地上",'数据-基础表'!I5:AS5)/'数据-基础表'!A3,2)</f>
        <v>2</v>
      </c>
      <c r="J4" s="1981"/>
      <c r="K4" s="1981"/>
      <c r="L4" s="1981"/>
    </row>
    <row r="5" spans="1:16">
      <c r="A5" s="110" t="s">
        <v>207</v>
      </c>
      <c r="B5" s="3304" t="s">
        <v>230</v>
      </c>
      <c r="C5" s="3304"/>
      <c r="D5" s="111">
        <f>ROUND($D$3*E5/$E$3,2)</f>
        <v>42498.86</v>
      </c>
      <c r="E5" s="112">
        <f>SUMIF('数据-基础表'!$11:$11,"住宅",'数据-基础表'!$5:$5)</f>
        <v>111084</v>
      </c>
      <c r="F5" s="1981"/>
      <c r="G5" s="279" t="s">
        <v>860</v>
      </c>
      <c r="H5" s="274" t="s">
        <v>858</v>
      </c>
      <c r="I5" s="1973">
        <f>ROUND(E31/D31,2)</f>
        <v>2.61</v>
      </c>
      <c r="J5" s="1981"/>
      <c r="K5" s="1981"/>
      <c r="L5" s="1981"/>
    </row>
    <row r="6" spans="1:16" ht="15" thickBot="1">
      <c r="A6" s="113"/>
      <c r="B6" s="3304" t="s">
        <v>208</v>
      </c>
      <c r="C6" s="3304"/>
      <c r="D6" s="111">
        <f>ROUND($D$3*E6/$E$3,2)</f>
        <v>14411.14</v>
      </c>
      <c r="E6" s="112">
        <f>E3-E5</f>
        <v>37668</v>
      </c>
      <c r="F6" s="1981"/>
      <c r="G6" s="1200"/>
      <c r="H6" s="274" t="s">
        <v>859</v>
      </c>
      <c r="I6" s="1973">
        <f>ROUND(F31/D31,2)</f>
        <v>2</v>
      </c>
      <c r="J6" s="1981"/>
      <c r="K6" s="1981"/>
      <c r="L6" s="1981"/>
    </row>
    <row r="7" spans="1:16" ht="15">
      <c r="A7" s="3296"/>
      <c r="B7" s="3297"/>
      <c r="C7" s="3298"/>
      <c r="D7" s="108" t="s">
        <v>204</v>
      </c>
      <c r="E7" s="114" t="s">
        <v>231</v>
      </c>
      <c r="F7" s="1981"/>
      <c r="G7" s="1155" t="s">
        <v>1645</v>
      </c>
      <c r="H7" s="1156"/>
      <c r="I7" s="1843">
        <v>4</v>
      </c>
      <c r="J7" s="1981"/>
      <c r="K7" s="1981"/>
      <c r="L7" s="1981"/>
    </row>
    <row r="8" spans="1:16">
      <c r="A8" s="110" t="s">
        <v>209</v>
      </c>
      <c r="B8" s="115" t="s">
        <v>210</v>
      </c>
      <c r="C8" s="111" t="s">
        <v>211</v>
      </c>
      <c r="D8" s="111">
        <f t="shared" ref="D8:D15" si="0">ROUND($D$3*E8/$E$3,2)</f>
        <v>42498.86</v>
      </c>
      <c r="E8" s="116">
        <f>SUMIF('数据-基础表'!BB10:BK10,"地上",'数据-基础表'!BB5:BK5)</f>
        <v>111084</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13395</v>
      </c>
      <c r="E13" s="116">
        <f>SUMPRODUCT(('数据-基础表'!BB10:BK10="地下")*('数据-基础表'!BB11:BK11="车库")*('数据-基础表'!BB5:BK5))</f>
        <v>35012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55893.86</v>
      </c>
      <c r="E16" s="120">
        <f>SUM(E8:E15)</f>
        <v>146096</v>
      </c>
      <c r="F16" s="1981"/>
      <c r="G16" s="1983"/>
      <c r="H16" s="967" t="s">
        <v>219</v>
      </c>
      <c r="I16" s="968"/>
      <c r="J16" s="1981"/>
      <c r="K16" s="3290" t="s">
        <v>2565</v>
      </c>
      <c r="L16" s="3291"/>
      <c r="M16" s="3291"/>
      <c r="N16" s="3291"/>
      <c r="O16" s="3291"/>
      <c r="P16" s="3292"/>
    </row>
    <row r="17" spans="1:19" ht="15">
      <c r="A17" s="121" t="s">
        <v>216</v>
      </c>
      <c r="B17" s="122" t="s">
        <v>217</v>
      </c>
      <c r="C17" s="2295" t="s">
        <v>2314</v>
      </c>
      <c r="D17" s="108" t="s">
        <v>204</v>
      </c>
      <c r="E17" s="124" t="s">
        <v>205</v>
      </c>
      <c r="F17" s="125"/>
      <c r="G17" s="1364"/>
      <c r="H17" s="969" t="s">
        <v>218</v>
      </c>
      <c r="I17" s="970" t="s">
        <v>2313</v>
      </c>
      <c r="J17" s="1981"/>
      <c r="K17" s="3293" t="s">
        <v>2566</v>
      </c>
      <c r="L17" s="3294"/>
      <c r="M17" s="3295"/>
      <c r="N17" s="3293" t="s">
        <v>2567</v>
      </c>
      <c r="O17" s="3294"/>
      <c r="P17" s="3295"/>
      <c r="R17" s="2296" t="s">
        <v>2312</v>
      </c>
      <c r="S17" s="144"/>
    </row>
    <row r="18" spans="1:19" ht="15">
      <c r="A18" s="117"/>
      <c r="B18" s="128"/>
      <c r="C18" s="129"/>
      <c r="D18" s="2639"/>
      <c r="E18" s="130" t="s">
        <v>220</v>
      </c>
      <c r="F18" s="131" t="s">
        <v>221</v>
      </c>
      <c r="G18" s="1365" t="s">
        <v>222</v>
      </c>
      <c r="H18" s="971" t="s">
        <v>223</v>
      </c>
      <c r="I18" s="972" t="s">
        <v>224</v>
      </c>
      <c r="J18" s="1981"/>
      <c r="K18" s="2602" t="s">
        <v>2568</v>
      </c>
      <c r="L18" s="2603" t="s">
        <v>2569</v>
      </c>
      <c r="M18" s="2604" t="s">
        <v>2570</v>
      </c>
      <c r="N18" s="2602" t="s">
        <v>2568</v>
      </c>
      <c r="O18" s="2603" t="s">
        <v>2569</v>
      </c>
      <c r="P18" s="2604" t="s">
        <v>2570</v>
      </c>
      <c r="R18" s="2297" t="s">
        <v>2310</v>
      </c>
      <c r="S18" s="2297" t="s">
        <v>2311</v>
      </c>
    </row>
    <row r="19" spans="1:19">
      <c r="A19" s="133"/>
      <c r="B19" s="115" t="s">
        <v>225</v>
      </c>
      <c r="C19" s="3019" t="s">
        <v>3168</v>
      </c>
      <c r="D19" s="111">
        <f t="shared" ref="D19:D26" si="1">ROUND($D$3*E19/$E$3,2)</f>
        <v>6978.32</v>
      </c>
      <c r="E19" s="134">
        <f t="shared" ref="E19:E26" si="2">SUM(F19:G19)</f>
        <v>18240</v>
      </c>
      <c r="F19" s="135">
        <v>18240</v>
      </c>
      <c r="G19" s="1366"/>
      <c r="H19" s="973">
        <f>ROUND($D$3*I19/$E$3,2)</f>
        <v>98.35</v>
      </c>
      <c r="I19" s="116">
        <f>IF($I$17="自定义",P19,M19)</f>
        <v>257.06</v>
      </c>
      <c r="J19" s="1981"/>
      <c r="K19" s="2605">
        <f t="shared" ref="K19:K26" si="3">ROUND(E$28*E19/E$27,2)</f>
        <v>257.06</v>
      </c>
      <c r="L19" s="274">
        <f t="shared" ref="L19:L26" si="4">ROUND(IF(COUNTIF(C19,"*住宅*")&gt;0,E$29*E19/E$32,0),2)</f>
        <v>0</v>
      </c>
      <c r="M19" s="2606">
        <f>K19+L19</f>
        <v>257.06</v>
      </c>
      <c r="N19" s="2607"/>
      <c r="O19" s="2608"/>
      <c r="P19" s="2609">
        <f>N19+O19</f>
        <v>0</v>
      </c>
      <c r="R19" s="274">
        <f t="shared" ref="R19:S26" si="5">D19+H19</f>
        <v>7076.67</v>
      </c>
      <c r="S19" s="2298">
        <f t="shared" si="5"/>
        <v>18497.060000000001</v>
      </c>
    </row>
    <row r="20" spans="1:19">
      <c r="A20" s="138"/>
      <c r="B20" s="115" t="s">
        <v>226</v>
      </c>
      <c r="C20" s="3019" t="s">
        <v>3170</v>
      </c>
      <c r="D20" s="111">
        <f t="shared" si="1"/>
        <v>1785.9</v>
      </c>
      <c r="E20" s="134">
        <f t="shared" si="2"/>
        <v>4668</v>
      </c>
      <c r="F20" s="135">
        <f>'数据-基础表'!I18+'数据-基础表'!I21-'数据-汇总表'!F19</f>
        <v>4668</v>
      </c>
      <c r="G20" s="1366"/>
      <c r="H20" s="973">
        <f t="shared" ref="H20:H26" si="6">ROUND($D$3*I20/$E$3,2)</f>
        <v>25.17</v>
      </c>
      <c r="I20" s="116">
        <f t="shared" ref="I20:I26" si="7">IF($I$17="自定义",P20,M20)</f>
        <v>65.790000000000006</v>
      </c>
      <c r="J20" s="1981"/>
      <c r="K20" s="2605">
        <f t="shared" si="3"/>
        <v>65.790000000000006</v>
      </c>
      <c r="L20" s="274">
        <f t="shared" si="4"/>
        <v>0</v>
      </c>
      <c r="M20" s="2606">
        <f t="shared" ref="M20:M26" si="8">K20+L20</f>
        <v>65.790000000000006</v>
      </c>
      <c r="N20" s="2607"/>
      <c r="O20" s="2608"/>
      <c r="P20" s="2609">
        <f t="shared" ref="P20:P26" si="9">N20+O20</f>
        <v>0</v>
      </c>
      <c r="R20" s="274">
        <f t="shared" si="5"/>
        <v>1811.0700000000002</v>
      </c>
      <c r="S20" s="2298">
        <f t="shared" si="5"/>
        <v>4733.79</v>
      </c>
    </row>
    <row r="21" spans="1:19">
      <c r="A21" s="138"/>
      <c r="B21" s="115" t="s">
        <v>226</v>
      </c>
      <c r="C21" s="3019" t="s">
        <v>3172</v>
      </c>
      <c r="D21" s="111">
        <f t="shared" si="1"/>
        <v>3222.88</v>
      </c>
      <c r="E21" s="134">
        <f t="shared" si="2"/>
        <v>8424</v>
      </c>
      <c r="F21" s="135">
        <f>'数据-基础表'!I13+'数据-基础表'!I14+'数据-基础表'!I15</f>
        <v>8424</v>
      </c>
      <c r="G21" s="1366"/>
      <c r="H21" s="973">
        <f t="shared" si="6"/>
        <v>45.42</v>
      </c>
      <c r="I21" s="116">
        <f t="shared" si="7"/>
        <v>118.72</v>
      </c>
      <c r="J21" s="1981"/>
      <c r="K21" s="2605">
        <f t="shared" si="3"/>
        <v>118.72</v>
      </c>
      <c r="L21" s="274">
        <f t="shared" si="4"/>
        <v>0</v>
      </c>
      <c r="M21" s="2606">
        <f t="shared" si="8"/>
        <v>118.72</v>
      </c>
      <c r="N21" s="2607"/>
      <c r="O21" s="2608"/>
      <c r="P21" s="2609">
        <f t="shared" si="9"/>
        <v>0</v>
      </c>
      <c r="R21" s="274">
        <f t="shared" si="5"/>
        <v>3268.3</v>
      </c>
      <c r="S21" s="2298">
        <f t="shared" si="5"/>
        <v>8542.7199999999993</v>
      </c>
    </row>
    <row r="22" spans="1:19">
      <c r="A22" s="138"/>
      <c r="B22" s="115" t="s">
        <v>226</v>
      </c>
      <c r="C22" s="3188" t="s">
        <v>3173</v>
      </c>
      <c r="D22" s="111">
        <f t="shared" si="1"/>
        <v>9474.67</v>
      </c>
      <c r="E22" s="134">
        <f t="shared" si="2"/>
        <v>24765</v>
      </c>
      <c r="F22" s="140">
        <f>'数据-基础表'!I16+'数据-基础表'!I17+'数据-基础表'!I19+'数据-基础表'!I20+'数据-基础表'!I22+'数据-基础表'!I23</f>
        <v>24765</v>
      </c>
      <c r="G22" s="1367"/>
      <c r="H22" s="973">
        <f t="shared" si="6"/>
        <v>133.53</v>
      </c>
      <c r="I22" s="116">
        <f t="shared" si="7"/>
        <v>349.02</v>
      </c>
      <c r="J22" s="1981"/>
      <c r="K22" s="2605">
        <f t="shared" si="3"/>
        <v>349.02</v>
      </c>
      <c r="L22" s="274">
        <f t="shared" si="4"/>
        <v>0</v>
      </c>
      <c r="M22" s="2606">
        <f t="shared" si="8"/>
        <v>349.02</v>
      </c>
      <c r="N22" s="2607"/>
      <c r="O22" s="2608"/>
      <c r="P22" s="2609">
        <f t="shared" si="9"/>
        <v>0</v>
      </c>
      <c r="R22" s="274">
        <f t="shared" si="5"/>
        <v>9608.2000000000007</v>
      </c>
      <c r="S22" s="2298">
        <f t="shared" si="5"/>
        <v>25114.02</v>
      </c>
    </row>
    <row r="23" spans="1:19">
      <c r="A23" s="138"/>
      <c r="B23" s="115" t="s">
        <v>226</v>
      </c>
      <c r="C23" s="3188" t="s">
        <v>3175</v>
      </c>
      <c r="D23" s="111">
        <f>ROUND($D$3*E23/$E$3,2)</f>
        <v>21037.1</v>
      </c>
      <c r="E23" s="134">
        <f>SUM(F23:G23)</f>
        <v>54987</v>
      </c>
      <c r="F23" s="140">
        <f>'数据-基础表'!I24+'数据-基础表'!I25+'数据-基础表'!I26+'数据-基础表'!I27+'数据-基础表'!I30</f>
        <v>54987</v>
      </c>
      <c r="G23" s="1367"/>
      <c r="H23" s="973">
        <f>ROUND($D$3*I23/$E$3,2)</f>
        <v>296.49</v>
      </c>
      <c r="I23" s="116">
        <f t="shared" si="7"/>
        <v>774.96</v>
      </c>
      <c r="J23" s="1981"/>
      <c r="K23" s="2605">
        <f t="shared" si="3"/>
        <v>774.96</v>
      </c>
      <c r="L23" s="274">
        <f t="shared" si="4"/>
        <v>0</v>
      </c>
      <c r="M23" s="2606">
        <f t="shared" si="8"/>
        <v>774.96</v>
      </c>
      <c r="N23" s="2607"/>
      <c r="O23" s="2608"/>
      <c r="P23" s="2609">
        <f t="shared" si="9"/>
        <v>0</v>
      </c>
      <c r="R23" s="274">
        <f t="shared" si="5"/>
        <v>21333.59</v>
      </c>
      <c r="S23" s="2298">
        <f t="shared" si="5"/>
        <v>55761.96</v>
      </c>
    </row>
    <row r="24" spans="1:19">
      <c r="A24" s="138"/>
      <c r="B24" s="115" t="s">
        <v>226</v>
      </c>
      <c r="C24" s="3188" t="s">
        <v>3176</v>
      </c>
      <c r="D24" s="111">
        <f>ROUND($D$3*E24/$E$3,2)</f>
        <v>13395</v>
      </c>
      <c r="E24" s="134">
        <f>SUM(F24:G24)</f>
        <v>35012</v>
      </c>
      <c r="F24" s="140"/>
      <c r="G24" s="1367">
        <f>'数据-基础表'!K33</f>
        <v>35012</v>
      </c>
      <c r="H24" s="973">
        <f>ROUND($D$3*I24/$E$3,2)</f>
        <v>188.78</v>
      </c>
      <c r="I24" s="116">
        <f t="shared" si="7"/>
        <v>493.44</v>
      </c>
      <c r="J24" s="1981"/>
      <c r="K24" s="2605">
        <f t="shared" si="3"/>
        <v>493.44</v>
      </c>
      <c r="L24" s="274">
        <f t="shared" si="4"/>
        <v>0</v>
      </c>
      <c r="M24" s="2606">
        <f t="shared" si="8"/>
        <v>493.44</v>
      </c>
      <c r="N24" s="2607"/>
      <c r="O24" s="2608"/>
      <c r="P24" s="2609">
        <f t="shared" si="9"/>
        <v>0</v>
      </c>
      <c r="R24" s="274">
        <f t="shared" si="5"/>
        <v>13583.78</v>
      </c>
      <c r="S24" s="2298">
        <f t="shared" si="5"/>
        <v>35505.440000000002</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4">
        <f t="shared" si="4"/>
        <v>0</v>
      </c>
      <c r="M25" s="2606">
        <f t="shared" si="8"/>
        <v>0</v>
      </c>
      <c r="N25" s="2607"/>
      <c r="O25" s="2608"/>
      <c r="P25" s="2609">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9">
        <f t="shared" si="4"/>
        <v>0</v>
      </c>
      <c r="M26" s="146">
        <f t="shared" si="8"/>
        <v>0</v>
      </c>
      <c r="N26" s="2611"/>
      <c r="O26" s="2612"/>
      <c r="P26" s="2613">
        <f t="shared" si="9"/>
        <v>0</v>
      </c>
      <c r="R26" s="274">
        <f t="shared" si="5"/>
        <v>0</v>
      </c>
      <c r="S26" s="2298">
        <f t="shared" si="5"/>
        <v>0</v>
      </c>
    </row>
    <row r="27" spans="1:19" ht="43.5" thickBot="1">
      <c r="A27" s="138"/>
      <c r="B27" s="111"/>
      <c r="C27" s="127" t="s">
        <v>215</v>
      </c>
      <c r="D27" s="134">
        <f>SUM(D19:D26)</f>
        <v>55893.869999999995</v>
      </c>
      <c r="E27" s="143">
        <f>IF(SUM(E19:E26)='数据-基础表'!BA5,SUM(E19:E26),IF(F27="地上面积有误","面积有误","地下面积有误"))</f>
        <v>146096</v>
      </c>
      <c r="F27" s="134">
        <f>IF(SUM(F19:F26)=E8,SUM(F19:F26),"地上面积有误")</f>
        <v>111084</v>
      </c>
      <c r="G27" s="112">
        <f>SUM(G19:G26)</f>
        <v>35012</v>
      </c>
      <c r="H27" s="974">
        <f>SUM(H19:H26)</f>
        <v>787.74</v>
      </c>
      <c r="I27" s="975">
        <f>SUM(I19:I26)</f>
        <v>2058.9900000000002</v>
      </c>
      <c r="J27" s="1981"/>
      <c r="K27" s="2614">
        <f>SUM(K19:K26)</f>
        <v>2058.9900000000002</v>
      </c>
      <c r="L27" s="2615">
        <f>SUM(L19:L26)</f>
        <v>0</v>
      </c>
      <c r="M27" s="2616">
        <f>SUM(M19:M26)</f>
        <v>2058.9900000000002</v>
      </c>
      <c r="N27" s="2614">
        <f t="shared" ref="N27:O27" si="10">SUM(N19:N26)</f>
        <v>0</v>
      </c>
      <c r="O27" s="2615">
        <f t="shared" si="10"/>
        <v>0</v>
      </c>
      <c r="P27" s="2617">
        <f>SUM(P19:P26)</f>
        <v>0</v>
      </c>
      <c r="R27" s="2302" t="str">
        <f>IF(SUM(R19:R26)=$D$3,SUM(R19:R26),SUM(R19:R26)&amp;"误差"&amp;ROUND(SUM(R19:R26)-$D$3,2))</f>
        <v>56681.61误差-228.39</v>
      </c>
      <c r="S27" s="274" t="str">
        <f>IF(SUM(S19:S26)=$E$3,SUM(S19:S26),SUM(S19:S26)&amp;"误差"&amp;ROUND(SUM(S19:S26)-E3,2))</f>
        <v>148154.99误差-597.01</v>
      </c>
    </row>
    <row r="28" spans="1:19">
      <c r="A28" s="138"/>
      <c r="B28" s="115" t="s">
        <v>227</v>
      </c>
      <c r="C28" s="136" t="s">
        <v>228</v>
      </c>
      <c r="D28" s="111">
        <f>ROUND($D$3*E28/$E$3,2)</f>
        <v>787.74</v>
      </c>
      <c r="E28" s="134">
        <f>SUM(F28:G28)</f>
        <v>2059</v>
      </c>
      <c r="F28" s="144">
        <f>'数据-基础表'!BQ5+'数据-基础表'!BS5</f>
        <v>2059</v>
      </c>
      <c r="G28" s="145">
        <f>'数据-基础表'!BR5+'数据-基础表'!BT5</f>
        <v>0</v>
      </c>
      <c r="H28" s="1981"/>
      <c r="I28" s="1981"/>
      <c r="J28" s="1981"/>
      <c r="K28" s="1981"/>
      <c r="L28" s="1981"/>
    </row>
    <row r="29" spans="1:19">
      <c r="A29" s="138"/>
      <c r="B29" s="115" t="s">
        <v>227</v>
      </c>
      <c r="C29" s="2310" t="s">
        <v>2321</v>
      </c>
      <c r="D29" s="111">
        <f>ROUND($D$3*E29/$E$3,2)</f>
        <v>228.4</v>
      </c>
      <c r="E29" s="134">
        <f>SUM(F29:G29)</f>
        <v>597</v>
      </c>
      <c r="F29" s="144">
        <f>'数据-基础表'!BM5+'数据-基础表'!BO5</f>
        <v>597</v>
      </c>
      <c r="G29" s="146">
        <f>'数据-基础表'!BN5+'数据-基础表'!BP5</f>
        <v>0</v>
      </c>
      <c r="H29" s="1981"/>
      <c r="I29" s="1981"/>
      <c r="J29" s="1981"/>
      <c r="K29" s="1981"/>
      <c r="L29" s="1981"/>
    </row>
    <row r="30" spans="1:19">
      <c r="A30" s="138"/>
      <c r="B30" s="111"/>
      <c r="C30" s="147" t="s">
        <v>215</v>
      </c>
      <c r="D30" s="134">
        <f>SUM(D28:D29)</f>
        <v>1016.14</v>
      </c>
      <c r="E30" s="134">
        <f>SUM(E28:E29)</f>
        <v>2656</v>
      </c>
      <c r="F30" s="134">
        <f>SUM(F28:F29)</f>
        <v>2656</v>
      </c>
      <c r="G30" s="112">
        <f>SUM(G28:G29)</f>
        <v>0</v>
      </c>
      <c r="H30" s="1981"/>
      <c r="I30" s="1981"/>
      <c r="J30" s="1981"/>
      <c r="K30" s="1981"/>
      <c r="L30" s="1981"/>
    </row>
    <row r="31" spans="1:19" ht="32.25" customHeight="1" thickBot="1">
      <c r="A31" s="1368"/>
      <c r="B31" s="1369" t="s">
        <v>229</v>
      </c>
      <c r="C31" s="2327" t="s">
        <v>2323</v>
      </c>
      <c r="D31" s="1370">
        <f>D27+D30</f>
        <v>56910.009999999995</v>
      </c>
      <c r="E31" s="1370">
        <f>E27+E30</f>
        <v>148752</v>
      </c>
      <c r="F31" s="1371">
        <f>F27+F30</f>
        <v>113740</v>
      </c>
      <c r="G31" s="1372">
        <f>G27+G30</f>
        <v>35012</v>
      </c>
      <c r="H31" s="1981"/>
      <c r="I31" s="1981"/>
      <c r="J31" s="1981"/>
      <c r="K31" s="1981"/>
      <c r="L31" s="1981"/>
    </row>
    <row r="32" spans="1:19">
      <c r="A32" s="1981"/>
      <c r="B32" s="2360" t="s">
        <v>2322</v>
      </c>
      <c r="C32" s="2644"/>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43391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18" t="s">
        <v>2571</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2324</v>
      </c>
      <c r="AI5" s="171" t="s">
        <v>2293</v>
      </c>
      <c r="AJ5" s="171" t="s">
        <v>258</v>
      </c>
      <c r="AK5" s="159" t="s">
        <v>259</v>
      </c>
      <c r="AL5" s="159" t="s">
        <v>260</v>
      </c>
      <c r="AM5" s="172" t="s">
        <v>261</v>
      </c>
      <c r="AN5" s="2388"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保障房1</v>
      </c>
      <c r="B6" s="2334" t="str">
        <f>IF(A6=0,"","经营性")</f>
        <v>经营性</v>
      </c>
      <c r="C6" s="173" t="s">
        <v>922</v>
      </c>
      <c r="D6" s="2305">
        <f>SUMIF(项目基本情况!D$15:I$15,C6,项目基本情况!D$18:I$18)</f>
        <v>70</v>
      </c>
      <c r="E6" s="2306">
        <f>IF(B6="","",SUMIF(项目基本情况!D$15:I$15,C6,项目基本情况!D$17:I$17))</f>
        <v>68923</v>
      </c>
      <c r="F6" s="174">
        <f>SUMIF(项目基本情况!D$15:I$15,C6,项目基本情况!D$19:I$19)</f>
        <v>69.95</v>
      </c>
      <c r="G6" s="175">
        <f>IF(ISERROR(ROUND(POWER(1+H6,D6-F6)*(POWER(1+H6,F6)-1)/(POWER(1+H6,D6)-1),3)),0,ROUND(POWER(1+H6,D6-F6)*(POWER(1+H6,F6)-1)/(POWER(1+H6,D6)-1),3))</f>
        <v>1</v>
      </c>
      <c r="H6" s="3020">
        <v>4.4999999999999998E-2</v>
      </c>
      <c r="I6" s="3020">
        <v>0.05</v>
      </c>
      <c r="J6" s="176">
        <v>8.5000000000000006E-2</v>
      </c>
      <c r="K6" s="179">
        <f>SUMIF('数据-汇总表'!C$19:C$33,'数据-取费表'!A6,'数据-汇总表'!E$19:E$33)</f>
        <v>18240</v>
      </c>
      <c r="L6" s="3021">
        <v>2000</v>
      </c>
      <c r="M6" s="177">
        <f t="shared" ref="M6:M14" si="0">ROUND(K6*L6/10000,0)</f>
        <v>3648</v>
      </c>
      <c r="N6" s="3022">
        <v>0</v>
      </c>
      <c r="O6" s="177">
        <f>IF($N$5="成新度","——",ROUND(M6*N6,0))</f>
        <v>0</v>
      </c>
      <c r="P6" s="178">
        <f>IF($N$5="成新度","——",M6-O6)</f>
        <v>3648</v>
      </c>
      <c r="Q6" s="3023">
        <v>0.03</v>
      </c>
      <c r="R6" s="179">
        <f>SUMIF('数据-汇总表'!C$19:C$33,A6,'数据-汇总表'!R$19:R$33)</f>
        <v>7076.67</v>
      </c>
      <c r="S6" s="132">
        <f>IF('数据-汇总表'!$I$17="按面积比例",SUMIF('数据-汇总表'!C$19:C$33,A6,'数据-汇总表'!K$19:K$33),SUMIF('数据-汇总表'!C$19:C$33,A6,'数据-汇总表'!N$19:N$33))</f>
        <v>257.06</v>
      </c>
      <c r="T6" s="2231">
        <f>IF($T$4="按面积比例",IF(ISERROR(ROUND($M$14*S6/S$16,0)),"0",ROUND($M$14*S6/S$16,0)),"需自行计算录入")</f>
        <v>51</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34"/>
      <c r="AN6" s="2389"/>
      <c r="AO6" s="1997"/>
      <c r="AP6" s="1203">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保障房2</v>
      </c>
      <c r="B7" s="2334" t="str">
        <f t="shared" ref="B7:B13" si="1">IF(A7=0,"","经营性")</f>
        <v>经营性</v>
      </c>
      <c r="C7" s="173" t="s">
        <v>922</v>
      </c>
      <c r="D7" s="2305">
        <f>SUMIF(项目基本情况!D$15:I$15,C7,项目基本情况!D$18:I$18)</f>
        <v>70</v>
      </c>
      <c r="E7" s="2306">
        <f>IF(B7="","",SUMIF(项目基本情况!D$15:I$15,C7,项目基本情况!D$17:I$17))</f>
        <v>68923</v>
      </c>
      <c r="F7" s="174">
        <f>SUMIF(项目基本情况!D$15:I$15,C7,项目基本情况!D$19:I$19)</f>
        <v>69.95</v>
      </c>
      <c r="G7" s="175">
        <f t="shared" ref="G7:G11" si="2">IF(ISERROR(ROUND(POWER(1+H7,D7-F7)*(POWER(1+H7,F7)-1)/(POWER(1+H7,D7)-1),3)),0,ROUND(POWER(1+H7,D7-F7)*(POWER(1+H7,F7)-1)/(POWER(1+H7,D7)-1),3))</f>
        <v>1</v>
      </c>
      <c r="H7" s="3020">
        <v>4.4999999999999998E-2</v>
      </c>
      <c r="I7" s="3020">
        <v>0.05</v>
      </c>
      <c r="J7" s="176">
        <v>8.5000000000000006E-2</v>
      </c>
      <c r="K7" s="179">
        <f>SUMIF('数据-汇总表'!C$19:C$33,'数据-取费表'!A7,'数据-汇总表'!E$19:E$33)</f>
        <v>4668</v>
      </c>
      <c r="L7" s="3021">
        <v>2000</v>
      </c>
      <c r="M7" s="177">
        <f t="shared" si="0"/>
        <v>934</v>
      </c>
      <c r="N7" s="3022">
        <v>0</v>
      </c>
      <c r="O7" s="177">
        <f t="shared" ref="O7:O14" si="3">IF($N$5="成新度","——",ROUND(M7*N7,0))</f>
        <v>0</v>
      </c>
      <c r="P7" s="178">
        <f t="shared" ref="P7:P14" si="4">IF($N$5="成新度","——",M7-O7)</f>
        <v>934</v>
      </c>
      <c r="Q7" s="3023">
        <v>0.03</v>
      </c>
      <c r="R7" s="179">
        <f>SUMIF('数据-汇总表'!C$19:C$33,A7,'数据-汇总表'!R$19:R$33)</f>
        <v>1811.0700000000002</v>
      </c>
      <c r="S7" s="132">
        <f>IF('数据-汇总表'!$I$17="按面积比例",SUMIF('数据-汇总表'!C$19:C$33,A7,'数据-汇总表'!K$19:K$33),SUMIF('数据-汇总表'!C$19:C$33,A7,'数据-汇总表'!N$19:N$33))</f>
        <v>65.790000000000006</v>
      </c>
      <c r="T7" s="2231">
        <f t="shared" ref="T7:T13" si="5">IF($T$4="按面积比例",IF(ISERROR(ROUND($M$14*S7/S$16,0)),"0",ROUND($M$14*S7/S$16,0)),"需自行计算录入")</f>
        <v>13</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洋房</v>
      </c>
      <c r="B8" s="2334" t="str">
        <f t="shared" si="1"/>
        <v>经营性</v>
      </c>
      <c r="C8" s="173" t="s">
        <v>922</v>
      </c>
      <c r="D8" s="2305">
        <f>SUMIF(项目基本情况!D$15:I$15,C8,项目基本情况!D$18:I$18)</f>
        <v>70</v>
      </c>
      <c r="E8" s="2306">
        <f>IF(B8="","",SUMIF(项目基本情况!D$15:I$15,C8,项目基本情况!D$17:I$17))</f>
        <v>68923</v>
      </c>
      <c r="F8" s="174">
        <f>SUMIF(项目基本情况!D$15:I$15,C8,项目基本情况!D$19:I$19)</f>
        <v>69.95</v>
      </c>
      <c r="G8" s="175">
        <f t="shared" si="2"/>
        <v>1</v>
      </c>
      <c r="H8" s="3020">
        <v>4.4999999999999998E-2</v>
      </c>
      <c r="I8" s="3020">
        <v>0.05</v>
      </c>
      <c r="J8" s="176">
        <v>8.5000000000000006E-2</v>
      </c>
      <c r="K8" s="179">
        <f>SUMIF('数据-汇总表'!C$19:C$33,'数据-取费表'!A8,'数据-汇总表'!E$19:E$33)</f>
        <v>8424</v>
      </c>
      <c r="L8" s="3021">
        <v>2400</v>
      </c>
      <c r="M8" s="177">
        <f>ROUND(K8*L8/10000,0)</f>
        <v>2022</v>
      </c>
      <c r="N8" s="3022">
        <v>0</v>
      </c>
      <c r="O8" s="177">
        <f t="shared" si="3"/>
        <v>0</v>
      </c>
      <c r="P8" s="178">
        <f t="shared" si="4"/>
        <v>2022</v>
      </c>
      <c r="Q8" s="3023">
        <v>0.15</v>
      </c>
      <c r="R8" s="179">
        <f>SUMIF('数据-汇总表'!C$19:C$33,A8,'数据-汇总表'!R$19:R$33)</f>
        <v>3268.3</v>
      </c>
      <c r="S8" s="132">
        <f>IF('数据-汇总表'!$I$17="按面积比例",SUMIF('数据-汇总表'!C$19:C$33,A8,'数据-汇总表'!K$19:K$33),SUMIF('数据-汇总表'!C$19:C$33,A8,'数据-汇总表'!N$19:N$33))</f>
        <v>118.72</v>
      </c>
      <c r="T8" s="2231">
        <f t="shared" si="5"/>
        <v>24</v>
      </c>
      <c r="U8" s="180"/>
      <c r="V8" s="181"/>
      <c r="W8" s="181"/>
      <c r="X8" s="2318"/>
      <c r="Y8" s="182"/>
      <c r="Z8" s="183"/>
      <c r="AA8" s="176"/>
      <c r="AB8" s="176"/>
      <c r="AC8" s="2321"/>
      <c r="AD8" s="184"/>
      <c r="AE8" s="971">
        <f t="shared" ca="1" si="6"/>
        <v>0</v>
      </c>
      <c r="AF8" s="141"/>
      <c r="AG8" s="1212">
        <f t="shared" si="7"/>
        <v>0</v>
      </c>
      <c r="AH8" s="141"/>
      <c r="AI8" s="187"/>
      <c r="AJ8" s="188"/>
      <c r="AK8" s="189"/>
      <c r="AL8" s="190"/>
      <c r="AM8" s="2387"/>
      <c r="AN8" s="2389"/>
      <c r="AO8" s="1997"/>
      <c r="AP8" s="1203">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小高层</v>
      </c>
      <c r="B9" s="2334" t="str">
        <f t="shared" si="1"/>
        <v>经营性</v>
      </c>
      <c r="C9" s="173" t="s">
        <v>922</v>
      </c>
      <c r="D9" s="2305">
        <f>SUMIF(项目基本情况!D$15:I$15,C9,项目基本情况!D$18:I$18)</f>
        <v>70</v>
      </c>
      <c r="E9" s="2306">
        <f>IF(B9="","",SUMIF(项目基本情况!D$15:I$15,C9,项目基本情况!D$17:I$17))</f>
        <v>68923</v>
      </c>
      <c r="F9" s="174">
        <f>SUMIF(项目基本情况!D$15:I$15,C9,项目基本情况!D$19:I$19)</f>
        <v>69.95</v>
      </c>
      <c r="G9" s="175">
        <f t="shared" si="2"/>
        <v>1</v>
      </c>
      <c r="H9" s="3020">
        <v>4.4999999999999998E-2</v>
      </c>
      <c r="I9" s="3020">
        <v>0.05</v>
      </c>
      <c r="J9" s="176">
        <v>8.5000000000000006E-2</v>
      </c>
      <c r="K9" s="179">
        <f>SUMIF('数据-汇总表'!C$19:C$33,'数据-取费表'!A9,'数据-汇总表'!E$19:E$33)</f>
        <v>24765</v>
      </c>
      <c r="L9" s="3021">
        <v>2200</v>
      </c>
      <c r="M9" s="177">
        <f t="shared" si="0"/>
        <v>5448</v>
      </c>
      <c r="N9" s="194">
        <v>0</v>
      </c>
      <c r="O9" s="177">
        <f t="shared" si="3"/>
        <v>0</v>
      </c>
      <c r="P9" s="178">
        <f t="shared" si="4"/>
        <v>5448</v>
      </c>
      <c r="Q9" s="192">
        <v>0.15</v>
      </c>
      <c r="R9" s="179">
        <f>SUMIF('数据-汇总表'!C$19:C$33,A9,'数据-汇总表'!R$19:R$33)</f>
        <v>9608.2000000000007</v>
      </c>
      <c r="S9" s="132">
        <f>IF('数据-汇总表'!$I$17="按面积比例",SUMIF('数据-汇总表'!C$19:C$33,A9,'数据-汇总表'!K$19:K$33),SUMIF('数据-汇总表'!C$19:C$33,A9,'数据-汇总表'!N$19:N$33))</f>
        <v>349.02</v>
      </c>
      <c r="T9" s="2231">
        <f t="shared" si="5"/>
        <v>70</v>
      </c>
      <c r="U9" s="180"/>
      <c r="V9" s="181"/>
      <c r="W9" s="181"/>
      <c r="X9" s="2318"/>
      <c r="Y9" s="182"/>
      <c r="Z9" s="183"/>
      <c r="AA9" s="176"/>
      <c r="AB9" s="176"/>
      <c r="AC9" s="2321"/>
      <c r="AD9" s="184"/>
      <c r="AE9" s="971">
        <f t="shared" ca="1" si="6"/>
        <v>0</v>
      </c>
      <c r="AF9" s="141"/>
      <c r="AG9" s="1212">
        <f t="shared" si="7"/>
        <v>0</v>
      </c>
      <c r="AH9" s="141"/>
      <c r="AI9" s="187"/>
      <c r="AJ9" s="188"/>
      <c r="AK9" s="189"/>
      <c r="AL9" s="190"/>
      <c r="AM9" s="2387"/>
      <c r="AN9" s="2389"/>
      <c r="AO9" s="1997"/>
      <c r="AP9" s="1203">
        <f t="shared" si="8"/>
        <v>0.95399999999999996</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高层</v>
      </c>
      <c r="B10" s="2334" t="str">
        <f t="shared" si="1"/>
        <v>经营性</v>
      </c>
      <c r="C10" s="173" t="s">
        <v>922</v>
      </c>
      <c r="D10" s="2305">
        <f>SUMIF(项目基本情况!D$15:I$15,C10,项目基本情况!D$18:I$18)</f>
        <v>70</v>
      </c>
      <c r="E10" s="2306">
        <f>IF(B10="","",SUMIF(项目基本情况!D$15:I$15,C10,项目基本情况!D$17:I$17))</f>
        <v>68923</v>
      </c>
      <c r="F10" s="174">
        <f>SUMIF(项目基本情况!D$15:I$15,C10,项目基本情况!D$19:I$19)</f>
        <v>69.95</v>
      </c>
      <c r="G10" s="175">
        <f t="shared" si="2"/>
        <v>1</v>
      </c>
      <c r="H10" s="3020">
        <v>4.4999999999999998E-2</v>
      </c>
      <c r="I10" s="3020">
        <v>0.05</v>
      </c>
      <c r="J10" s="176">
        <v>8.5000000000000006E-2</v>
      </c>
      <c r="K10" s="179">
        <f>SUMIF('数据-汇总表'!C$19:C$33,'数据-取费表'!A10,'数据-汇总表'!E$19:E$33)</f>
        <v>54987</v>
      </c>
      <c r="L10" s="3021">
        <v>2000</v>
      </c>
      <c r="M10" s="177">
        <f t="shared" si="0"/>
        <v>10997</v>
      </c>
      <c r="N10" s="194">
        <v>0</v>
      </c>
      <c r="O10" s="177">
        <f t="shared" si="3"/>
        <v>0</v>
      </c>
      <c r="P10" s="178">
        <f t="shared" si="4"/>
        <v>10997</v>
      </c>
      <c r="Q10" s="192">
        <v>0.15</v>
      </c>
      <c r="R10" s="179">
        <f>SUMIF('数据-汇总表'!C$19:C$33,A10,'数据-汇总表'!R$19:R$33)</f>
        <v>21333.59</v>
      </c>
      <c r="S10" s="132">
        <f>IF('数据-汇总表'!$I$17="按面积比例",SUMIF('数据-汇总表'!C$19:C$33,A10,'数据-汇总表'!K$19:K$33),SUMIF('数据-汇总表'!C$19:C$33,A10,'数据-汇总表'!N$19:N$33))</f>
        <v>774.96</v>
      </c>
      <c r="T10" s="2231">
        <f t="shared" si="5"/>
        <v>155</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87"/>
      <c r="AN10" s="2389"/>
      <c r="AO10" s="1997"/>
      <c r="AP10" s="1203">
        <f t="shared" si="8"/>
        <v>0.95399999999999996</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地下车库</v>
      </c>
      <c r="B11" s="2334" t="str">
        <f t="shared" si="1"/>
        <v>经营性</v>
      </c>
      <c r="C11" s="173" t="s">
        <v>3165</v>
      </c>
      <c r="D11" s="2305">
        <f>SUMIF(项目基本情况!D$15:I$15,C11,项目基本情况!D$18:I$18)</f>
        <v>50</v>
      </c>
      <c r="E11" s="2306">
        <f>IF(B11="","",SUMIF(项目基本情况!D$15:I$15,C11,项目基本情况!D$17:I$17))</f>
        <v>61618</v>
      </c>
      <c r="F11" s="174">
        <f>SUMIF(项目基本情况!D$15:I$15,C11,项目基本情况!D$19:I$19)</f>
        <v>49.93</v>
      </c>
      <c r="G11" s="175">
        <f t="shared" si="2"/>
        <v>1</v>
      </c>
      <c r="H11" s="176">
        <v>4.4999999999999998E-2</v>
      </c>
      <c r="I11" s="176">
        <v>0.05</v>
      </c>
      <c r="J11" s="176">
        <v>8.5000000000000006E-2</v>
      </c>
      <c r="K11" s="179">
        <f>SUMIF('数据-汇总表'!C$19:C$33,'数据-取费表'!A11,'数据-汇总表'!E$19:E$33)</f>
        <v>35012</v>
      </c>
      <c r="L11" s="193">
        <v>2000</v>
      </c>
      <c r="M11" s="177">
        <f t="shared" si="0"/>
        <v>7002</v>
      </c>
      <c r="N11" s="194">
        <v>0</v>
      </c>
      <c r="O11" s="177">
        <f t="shared" si="3"/>
        <v>0</v>
      </c>
      <c r="P11" s="178">
        <f t="shared" si="4"/>
        <v>7002</v>
      </c>
      <c r="Q11" s="192">
        <v>0.05</v>
      </c>
      <c r="R11" s="179">
        <f>SUMIF('数据-汇总表'!C$19:C$33,A11,'数据-汇总表'!R$19:R$33)</f>
        <v>13583.78</v>
      </c>
      <c r="S11" s="132">
        <f>IF('数据-汇总表'!$I$17="按面积比例",SUMIF('数据-汇总表'!C$19:C$33,A11,'数据-汇总表'!K$19:K$33),SUMIF('数据-汇总表'!C$19:C$33,A11,'数据-汇总表'!N$19:N$33))</f>
        <v>493.44</v>
      </c>
      <c r="T11" s="2231">
        <f t="shared" si="5"/>
        <v>99</v>
      </c>
      <c r="U11" s="185">
        <v>500</v>
      </c>
      <c r="V11" s="176">
        <v>2.5000000000000001E-2</v>
      </c>
      <c r="W11" s="176">
        <v>0.05</v>
      </c>
      <c r="X11" s="2321"/>
      <c r="Y11" s="182">
        <v>1</v>
      </c>
      <c r="Z11" s="195"/>
      <c r="AA11" s="176"/>
      <c r="AB11" s="176"/>
      <c r="AC11" s="2321"/>
      <c r="AD11" s="184"/>
      <c r="AE11" s="971">
        <f t="shared" ca="1" si="6"/>
        <v>47.93</v>
      </c>
      <c r="AF11" s="141"/>
      <c r="AG11" s="1212">
        <f t="shared" si="7"/>
        <v>0</v>
      </c>
      <c r="AH11" s="141">
        <v>924</v>
      </c>
      <c r="AI11" s="187">
        <v>12</v>
      </c>
      <c r="AJ11" s="188"/>
      <c r="AK11" s="196">
        <v>1.4999999999999999E-2</v>
      </c>
      <c r="AL11" s="197">
        <v>1.5E-3</v>
      </c>
      <c r="AM11" s="1814">
        <v>0.01</v>
      </c>
      <c r="AN11" s="2389" t="s">
        <v>3202</v>
      </c>
      <c r="AO11" s="1997"/>
      <c r="AP11" s="1203">
        <f t="shared" si="8"/>
        <v>0.88900000000000001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1679</v>
      </c>
      <c r="C14" s="2304" t="s">
        <v>2315</v>
      </c>
      <c r="D14" s="2305"/>
      <c r="E14" s="2306"/>
      <c r="F14" s="174"/>
      <c r="G14" s="175"/>
      <c r="H14" s="2307"/>
      <c r="I14" s="2307"/>
      <c r="J14" s="2307"/>
      <c r="K14" s="179">
        <f>SUMIF('数据-汇总表'!C$19:C$33,'数据-取费表'!A14,'数据-汇总表'!E$19:E$33)</f>
        <v>2059</v>
      </c>
      <c r="L14" s="193">
        <v>2000</v>
      </c>
      <c r="M14" s="177">
        <f t="shared" si="0"/>
        <v>412</v>
      </c>
      <c r="N14" s="194">
        <v>0</v>
      </c>
      <c r="O14" s="177">
        <f t="shared" si="3"/>
        <v>0</v>
      </c>
      <c r="P14" s="178">
        <f t="shared" si="4"/>
        <v>412</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1679</v>
      </c>
      <c r="C15" s="2304" t="s">
        <v>2316</v>
      </c>
      <c r="D15" s="2305"/>
      <c r="E15" s="2306"/>
      <c r="F15" s="174"/>
      <c r="G15" s="175"/>
      <c r="H15" s="2307"/>
      <c r="I15" s="2307"/>
      <c r="J15" s="2307"/>
      <c r="K15" s="179">
        <f>SUMIF('数据-汇总表'!C$19:C$33,'数据-取费表'!A15,'数据-汇总表'!E$19:E$33)</f>
        <v>597</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148752</v>
      </c>
      <c r="L16" s="206">
        <f>ROUND(M16*10000/SUM(K6:K14),0)</f>
        <v>2056</v>
      </c>
      <c r="M16" s="206">
        <f>SUM(M6:M14)</f>
        <v>30463</v>
      </c>
      <c r="N16" s="207">
        <f>ROUND(SUMPRODUCT(M6:M14,N6:N14)/M16,3)</f>
        <v>0</v>
      </c>
      <c r="O16" s="206">
        <f>SUM(O6:O14)</f>
        <v>0</v>
      </c>
      <c r="P16" s="206">
        <f>SUM(P6:P14)</f>
        <v>30463</v>
      </c>
      <c r="Q16" s="208">
        <f>ROUND(SUMPRODUCT(Q6:Q13,K6:K13)/SUMPRODUCT((Q6:Q13&gt;0)*(K6:K13)),2)</f>
        <v>0.11</v>
      </c>
      <c r="R16" s="2308">
        <f>SUM(R6:R13)</f>
        <v>56681.61</v>
      </c>
      <c r="S16" s="209">
        <f>SUM(S6:S13)</f>
        <v>2058.9900000000002</v>
      </c>
      <c r="T16" s="210">
        <f>IF(SUMIF(T6:T13,"&lt;9E307")=M14,SUMIF(T6:T13,"&lt;9E307"),"有误，请检查")</f>
        <v>412</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0.93799999999999994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2338</v>
      </c>
      <c r="B27" s="227">
        <v>40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2339</v>
      </c>
      <c r="B28" s="229">
        <v>80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2337</v>
      </c>
      <c r="B29" s="232"/>
      <c r="C29" s="1551"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0.03</v>
      </c>
      <c r="C33" s="2362" t="s">
        <v>2888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3218">
        <v>0.05</v>
      </c>
      <c r="C34" s="2362" t="s">
        <v>2889</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3">
        <v>1.4999999999999999E-2</v>
      </c>
      <c r="C36" s="2362" t="s">
        <v>2891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2892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7">
        <v>1.4999999999999999E-2</v>
      </c>
      <c r="C38" s="2362" t="s">
        <v>2892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2455</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2456</v>
      </c>
      <c r="B40" s="2478">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69" t="s">
        <v>2896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0" t="s">
        <v>2897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0" t="s">
        <v>2898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1096</v>
      </c>
      <c r="C53" s="3071" t="s">
        <v>2899</v>
      </c>
      <c r="D53" s="3072" t="s">
        <v>2900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4" t="s">
        <v>2901</v>
      </c>
      <c r="B54" s="186">
        <v>8</v>
      </c>
      <c r="C54" s="1991">
        <v>30</v>
      </c>
      <c r="D54" s="3073"/>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4" t="s">
        <v>2902</v>
      </c>
      <c r="B55" s="186">
        <v>5</v>
      </c>
      <c r="C55" s="1991">
        <v>24</v>
      </c>
      <c r="D55" s="3073"/>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4" t="s">
        <v>2903</v>
      </c>
      <c r="B56" s="186">
        <v>4</v>
      </c>
      <c r="C56" s="1991">
        <v>18</v>
      </c>
      <c r="D56" s="3073"/>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4" t="s">
        <v>2904</v>
      </c>
      <c r="B57" s="186">
        <v>3</v>
      </c>
      <c r="C57" s="1991">
        <v>12</v>
      </c>
      <c r="D57" s="3073"/>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4" t="s">
        <v>2905</v>
      </c>
      <c r="B58" s="186"/>
      <c r="C58" s="1991">
        <v>3</v>
      </c>
      <c r="D58" s="3073"/>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4" t="s">
        <v>2906</v>
      </c>
      <c r="B59" s="186"/>
      <c r="C59" s="1991">
        <v>1.5</v>
      </c>
      <c r="D59" s="3073"/>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4"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4"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4"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5" t="s">
        <v>2910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1663</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1664</v>
      </c>
      <c r="D2" s="1223"/>
      <c r="E2" s="1224"/>
      <c r="F2" s="1225"/>
      <c r="G2" s="1222" t="s">
        <v>1665</v>
      </c>
      <c r="H2" s="2005"/>
      <c r="I2" s="2005"/>
      <c r="J2" s="2005"/>
      <c r="K2" s="2005"/>
      <c r="L2" s="2005"/>
      <c r="M2" s="2005"/>
      <c r="N2" s="2005"/>
      <c r="O2" s="2005"/>
      <c r="P2" s="2005"/>
      <c r="Q2" s="2005"/>
      <c r="R2" s="2005"/>
    </row>
    <row r="3" spans="1:18" ht="81">
      <c r="A3" s="1226" t="s">
        <v>1666</v>
      </c>
      <c r="B3" s="1227" t="s">
        <v>1653</v>
      </c>
      <c r="C3" s="3196" t="s">
        <v>3208</v>
      </c>
      <c r="D3" s="2006"/>
      <c r="E3" s="1228" t="s">
        <v>1666</v>
      </c>
      <c r="F3" s="1229" t="s">
        <v>1654</v>
      </c>
      <c r="G3" s="3078" t="s">
        <v>2915</v>
      </c>
      <c r="H3" s="2005"/>
      <c r="I3" s="2005"/>
      <c r="J3" s="2005"/>
      <c r="K3" s="2005"/>
      <c r="L3" s="2005"/>
      <c r="M3" s="2005"/>
      <c r="N3" s="2005"/>
      <c r="O3" s="2005"/>
      <c r="P3" s="2005"/>
      <c r="Q3" s="2005"/>
      <c r="R3" s="2005"/>
    </row>
    <row r="4" spans="1:18" ht="40.5">
      <c r="A4" s="1228"/>
      <c r="B4" s="1230" t="s">
        <v>1667</v>
      </c>
      <c r="C4" s="3076"/>
      <c r="D4" s="2006"/>
      <c r="E4" s="1231"/>
      <c r="F4" s="1232" t="s">
        <v>1668</v>
      </c>
      <c r="G4" s="3077" t="s">
        <v>2912</v>
      </c>
      <c r="H4" s="2005"/>
      <c r="I4" s="2005"/>
      <c r="J4" s="2005"/>
      <c r="K4" s="2005"/>
      <c r="L4" s="2005"/>
      <c r="M4" s="2005"/>
      <c r="N4" s="2005"/>
      <c r="O4" s="2005"/>
      <c r="P4" s="2005"/>
      <c r="Q4" s="2005"/>
      <c r="R4" s="2005"/>
    </row>
    <row r="5" spans="1:18" ht="27">
      <c r="A5" s="1228"/>
      <c r="B5" s="1230" t="s">
        <v>1669</v>
      </c>
      <c r="C5" s="3076"/>
      <c r="D5" s="2006"/>
      <c r="E5" s="1231"/>
      <c r="F5" s="1230" t="s">
        <v>2545</v>
      </c>
      <c r="G5" s="3077" t="s">
        <v>2913</v>
      </c>
      <c r="H5" s="2005"/>
      <c r="I5" s="2005"/>
      <c r="J5" s="2005"/>
      <c r="K5" s="2005"/>
      <c r="L5" s="2005"/>
      <c r="M5" s="2005"/>
      <c r="N5" s="2005"/>
      <c r="O5" s="2005"/>
      <c r="P5" s="2005"/>
      <c r="Q5" s="2005"/>
      <c r="R5" s="2005"/>
    </row>
    <row r="6" spans="1:18" ht="81">
      <c r="A6" s="1228"/>
      <c r="B6" s="1230" t="s">
        <v>1655</v>
      </c>
      <c r="C6" s="3194" t="s">
        <v>3297</v>
      </c>
      <c r="D6" s="2006"/>
      <c r="E6" s="1231"/>
      <c r="F6" s="1230" t="s">
        <v>2546</v>
      </c>
      <c r="G6" s="3077" t="s">
        <v>2911</v>
      </c>
      <c r="H6" s="2005"/>
      <c r="I6" s="2005"/>
      <c r="J6" s="2005"/>
      <c r="K6" s="2005"/>
      <c r="L6" s="2005"/>
      <c r="M6" s="2005"/>
      <c r="N6" s="2005"/>
      <c r="O6" s="2005"/>
      <c r="P6" s="2005"/>
      <c r="Q6" s="2005"/>
      <c r="R6" s="2005"/>
    </row>
    <row r="7" spans="1:18" ht="122.25" thickBot="1">
      <c r="A7" s="1228"/>
      <c r="B7" s="1230" t="s">
        <v>2545</v>
      </c>
      <c r="C7" s="3194" t="s">
        <v>3298</v>
      </c>
      <c r="D7" s="2007"/>
      <c r="E7" s="1233"/>
      <c r="F7" s="1234" t="s">
        <v>1670</v>
      </c>
      <c r="G7" s="3079" t="s">
        <v>2914</v>
      </c>
      <c r="H7" s="2005"/>
      <c r="I7" s="2005"/>
      <c r="J7" s="2005"/>
      <c r="K7" s="2005"/>
      <c r="L7" s="2005"/>
      <c r="M7" s="2005"/>
      <c r="N7" s="2005"/>
      <c r="O7" s="2005"/>
      <c r="P7" s="2005"/>
      <c r="Q7" s="2005"/>
      <c r="R7" s="2005"/>
    </row>
    <row r="8" spans="1:18" ht="27">
      <c r="A8" s="1228"/>
      <c r="B8" s="1230" t="s">
        <v>2546</v>
      </c>
      <c r="C8" s="3194" t="s">
        <v>3207</v>
      </c>
      <c r="D8" s="2007"/>
      <c r="E8" s="2007"/>
      <c r="F8" s="1552"/>
      <c r="G8" s="1552"/>
      <c r="H8" s="2005"/>
      <c r="I8" s="2005"/>
      <c r="J8" s="2005"/>
      <c r="K8" s="2005"/>
      <c r="L8" s="2005"/>
      <c r="M8" s="2005"/>
      <c r="N8" s="2005"/>
      <c r="O8" s="2005"/>
      <c r="P8" s="2005"/>
      <c r="Q8" s="2005"/>
      <c r="R8" s="2005"/>
    </row>
    <row r="9" spans="1:18" ht="54">
      <c r="A9" s="1228"/>
      <c r="B9" s="1230" t="s">
        <v>1656</v>
      </c>
      <c r="C9" s="3195" t="s">
        <v>3299</v>
      </c>
      <c r="D9" s="2006"/>
      <c r="E9" s="2007"/>
      <c r="F9" s="1552"/>
      <c r="G9" s="1552"/>
      <c r="H9" s="2005"/>
      <c r="I9" s="2005"/>
      <c r="J9" s="2005"/>
      <c r="K9" s="2005"/>
      <c r="L9" s="2005"/>
      <c r="M9" s="2005"/>
      <c r="N9" s="2005"/>
      <c r="O9" s="2005"/>
      <c r="P9" s="2005"/>
      <c r="Q9" s="2005"/>
      <c r="R9" s="2005"/>
    </row>
    <row r="10" spans="1:18" s="2013" customFormat="1" ht="14.25" thickBot="1">
      <c r="A10" s="1235"/>
      <c r="B10" s="1236" t="s">
        <v>1671</v>
      </c>
      <c r="C10" s="3197" t="s">
        <v>3209</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1672</v>
      </c>
      <c r="B13" s="2575"/>
      <c r="C13" s="2575"/>
      <c r="D13" s="1223"/>
      <c r="E13" s="2575"/>
      <c r="F13" s="2575"/>
      <c r="G13" s="2575"/>
    </row>
    <row r="14" spans="1:18" ht="14.25" thickBot="1">
      <c r="A14" s="1237"/>
      <c r="B14" s="1238"/>
      <c r="C14" s="1239" t="s">
        <v>1664</v>
      </c>
      <c r="D14" s="2006"/>
      <c r="E14" s="1240"/>
      <c r="F14" s="1240"/>
      <c r="G14" s="1222" t="s">
        <v>1665</v>
      </c>
    </row>
    <row r="15" spans="1:18" ht="81">
      <c r="A15" s="2585" t="s">
        <v>1657</v>
      </c>
      <c r="B15" s="1241" t="s">
        <v>1653</v>
      </c>
      <c r="C15" s="1242" t="str">
        <f>C3</f>
        <v>估价对象周边居住用地比例较大、居住小区规模较大和社区发展完善程度较好，有欧景花都、御景园等居住小区，综合评价居住社区成熟度较好。</v>
      </c>
      <c r="D15" s="2006"/>
      <c r="E15" s="2582" t="s">
        <v>1658</v>
      </c>
      <c r="F15" s="1241" t="s">
        <v>1673</v>
      </c>
      <c r="G15" s="1243" t="str">
        <f>G3</f>
        <v>估价对象位于XX开发区，园区建设成熟度XX，产业集聚程度XX</v>
      </c>
    </row>
    <row r="16" spans="1:18" ht="40.5">
      <c r="A16" s="2586"/>
      <c r="B16" s="1244" t="s">
        <v>1667</v>
      </c>
      <c r="C16" s="1245">
        <f>C4</f>
        <v>0</v>
      </c>
      <c r="D16" s="2006"/>
      <c r="E16" s="2583"/>
      <c r="F16" s="1246" t="s">
        <v>1668</v>
      </c>
      <c r="G16" s="1004" t="str">
        <f>G4</f>
        <v>估价对象周边道路状况、公共交通通达情况、停车便捷程度，综合评价交通便捷度较好</v>
      </c>
    </row>
    <row r="17" spans="1:7" ht="14.25">
      <c r="A17" s="2586"/>
      <c r="B17" s="1244" t="s">
        <v>1669</v>
      </c>
      <c r="C17" s="1245">
        <f>C5</f>
        <v>0</v>
      </c>
      <c r="D17" s="2007"/>
      <c r="E17" s="2583"/>
      <c r="F17" s="1246" t="s">
        <v>1674</v>
      </c>
      <c r="G17" s="2791"/>
    </row>
    <row r="18" spans="1:7" ht="81">
      <c r="A18" s="2586"/>
      <c r="B18" s="1246" t="s">
        <v>1655</v>
      </c>
      <c r="C18" s="1004" t="str">
        <f>C6</f>
        <v>估价对象周边道路较密集，公共交通通达情况较好，有211路，泰兴1、2路等公共交通，停车较便捷，综合评价交通便捷度较好。</v>
      </c>
      <c r="D18" s="2007"/>
      <c r="E18" s="2583"/>
      <c r="F18" s="1246" t="s">
        <v>1670</v>
      </c>
      <c r="G18" s="1004" t="str">
        <f>G7</f>
        <v>该园区内是否有污染型企业，绿化情况，卫生条件，整体环境状况判断</v>
      </c>
    </row>
    <row r="19" spans="1:7" ht="27">
      <c r="A19" s="2586"/>
      <c r="B19" s="1246" t="s">
        <v>1659</v>
      </c>
      <c r="C19" s="3193" t="s">
        <v>3221</v>
      </c>
      <c r="D19" s="2006"/>
      <c r="E19" s="2583"/>
      <c r="F19" s="1230" t="s">
        <v>2545</v>
      </c>
      <c r="G19" s="1004" t="str">
        <f>G5</f>
        <v>估价对象所在区域公共配套设施齐备情况</v>
      </c>
    </row>
    <row r="20" spans="1:7" ht="54">
      <c r="A20" s="2586"/>
      <c r="B20" s="1246" t="s">
        <v>1660</v>
      </c>
      <c r="C20" s="1245" t="str">
        <f>C9</f>
        <v>区域自然环境：龙河湾公园；人文环境：无博物馆、展览馆等人文景观；综合评价环境状况一般。</v>
      </c>
      <c r="D20" s="2007"/>
      <c r="E20" s="2583"/>
      <c r="F20" s="1230" t="s">
        <v>2546</v>
      </c>
      <c r="G20" s="1004" t="str">
        <f>G6</f>
        <v>估价对象所在区域基础设施水平</v>
      </c>
    </row>
    <row r="21" spans="1:7" ht="121.5">
      <c r="A21" s="2586"/>
      <c r="B21" s="1230" t="s">
        <v>2545</v>
      </c>
      <c r="C21" s="1004" t="str">
        <f>C7</f>
        <v>估价对象所在区域2公里内有：银行（中国工商银行），购物（碧云商业广场、佰泰百货），医院（泰兴市肿瘤医院），学校（泰兴市第二高级中学、泰兴市鼓楼小学）等，公共配套设施齐备情况较好。</v>
      </c>
      <c r="D21" s="2006"/>
      <c r="E21" s="2583"/>
      <c r="F21" s="1246" t="s">
        <v>1661</v>
      </c>
      <c r="G21" s="3080"/>
    </row>
    <row r="22" spans="1:7" ht="27">
      <c r="A22" s="2586"/>
      <c r="B22" s="1230" t="s">
        <v>2546</v>
      </c>
      <c r="C22" s="1004" t="str">
        <f>C8</f>
        <v>估价对象所在区域基础设施水平达到“六通”。</v>
      </c>
      <c r="D22" s="2006"/>
      <c r="E22" s="2583"/>
      <c r="F22" s="1246" t="s">
        <v>1671</v>
      </c>
      <c r="G22" s="2791"/>
    </row>
    <row r="23" spans="1:7" ht="15" thickBot="1">
      <c r="A23" s="2586"/>
      <c r="B23" s="1246" t="s">
        <v>1661</v>
      </c>
      <c r="C23" s="3080" t="s">
        <v>3206</v>
      </c>
      <c r="E23" s="2584"/>
      <c r="F23" s="1247" t="s">
        <v>1675</v>
      </c>
      <c r="G23" s="3081"/>
    </row>
    <row r="24" spans="1:7" ht="14.25" thickBot="1">
      <c r="A24" s="2587"/>
      <c r="B24" s="1247" t="s">
        <v>1662</v>
      </c>
      <c r="C24" s="1248" t="str">
        <f>C10</f>
        <v>城市次干道——银杏路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J13" sqref="J13"/>
    </sheetView>
  </sheetViews>
  <sheetFormatPr defaultColWidth="14.625" defaultRowHeight="13.5"/>
  <cols>
    <col min="1" max="1" width="24.375" customWidth="1"/>
  </cols>
  <sheetData>
    <row r="1" spans="1:9" ht="16.5">
      <c r="A1" s="3040" t="s">
        <v>2842</v>
      </c>
      <c r="B1" s="3040">
        <f>SUM(B14:B23)</f>
        <v>727863.88</v>
      </c>
      <c r="C1" s="3041"/>
      <c r="D1" s="3041"/>
      <c r="E1" s="3041"/>
      <c r="F1" s="3041"/>
    </row>
    <row r="2" spans="1:9" ht="16.5">
      <c r="A2" s="3040" t="s">
        <v>2843</v>
      </c>
      <c r="B2" s="3040">
        <f>SUM(C14:C23)</f>
        <v>283286.40000000002</v>
      </c>
      <c r="C2" s="3041"/>
      <c r="D2" s="3041"/>
      <c r="E2" s="3041"/>
      <c r="F2" s="3041"/>
    </row>
    <row r="3" spans="1:9" ht="16.5">
      <c r="A3" s="3040" t="s">
        <v>2844</v>
      </c>
      <c r="B3" s="3042">
        <f>项目基本情况!D3</f>
        <v>43391</v>
      </c>
      <c r="C3" s="3041"/>
      <c r="D3" s="3041"/>
      <c r="E3" s="3041"/>
      <c r="F3" s="3041"/>
    </row>
    <row r="4" spans="1:9" ht="33">
      <c r="A4" s="3040" t="s">
        <v>2845</v>
      </c>
      <c r="B4" s="3040" t="s">
        <v>2846</v>
      </c>
      <c r="C4" s="3040" t="s">
        <v>2847</v>
      </c>
      <c r="D4" s="3040" t="s">
        <v>2848</v>
      </c>
      <c r="E4" s="3041"/>
      <c r="F4" s="3041"/>
    </row>
    <row r="5" spans="1:9" ht="16.5">
      <c r="A5" s="3040" t="s">
        <v>2849</v>
      </c>
      <c r="B5" s="3040">
        <f ca="1">SUM(D14:D23)</f>
        <v>268306</v>
      </c>
      <c r="C5" s="3040">
        <f ca="1">ROUND(B5*10000/$B$1,0)</f>
        <v>3686</v>
      </c>
      <c r="D5" s="3040">
        <f ca="1">ROUND(B5*10000/$B$2,0)</f>
        <v>9471</v>
      </c>
      <c r="E5" s="3041"/>
      <c r="F5" s="3041"/>
    </row>
    <row r="6" spans="1:9" ht="16.5">
      <c r="A6" s="3040" t="s">
        <v>2850</v>
      </c>
      <c r="B6" s="3040">
        <f ca="1">SUM(G14:G23)</f>
        <v>249306</v>
      </c>
      <c r="C6" s="3040">
        <f t="shared" ref="C6:C8" ca="1" si="0">ROUND(B6*10000/$B$1,0)</f>
        <v>3425</v>
      </c>
      <c r="D6" s="3040">
        <f t="shared" ref="D6:D8" ca="1" si="1">ROUND(B6*10000/$B$2,0)</f>
        <v>8800</v>
      </c>
      <c r="E6" s="3041"/>
      <c r="F6" s="3041"/>
    </row>
    <row r="7" spans="1:9" ht="16.5">
      <c r="A7" s="3040" t="s">
        <v>2851</v>
      </c>
      <c r="B7" s="3040">
        <f>SUM(H14:H23)</f>
        <v>0</v>
      </c>
      <c r="C7" s="3040">
        <f t="shared" si="0"/>
        <v>0</v>
      </c>
      <c r="D7" s="3040">
        <f t="shared" si="1"/>
        <v>0</v>
      </c>
      <c r="E7" s="3041"/>
      <c r="F7" s="3041"/>
    </row>
    <row r="8" spans="1:9" ht="16.5">
      <c r="A8" s="3040" t="s">
        <v>2852</v>
      </c>
      <c r="B8" s="3040">
        <f>SUM(I14:I23)</f>
        <v>0</v>
      </c>
      <c r="C8" s="3040">
        <f t="shared" si="0"/>
        <v>0</v>
      </c>
      <c r="D8" s="3040">
        <f t="shared" si="1"/>
        <v>0</v>
      </c>
      <c r="E8" s="3041"/>
      <c r="F8" s="3041"/>
    </row>
    <row r="9" spans="1:9" ht="16.5">
      <c r="A9" s="3040" t="s">
        <v>2853</v>
      </c>
      <c r="B9" s="3043"/>
      <c r="C9" s="3041"/>
      <c r="D9" s="3041"/>
      <c r="E9" s="3041"/>
      <c r="F9" s="3041"/>
    </row>
    <row r="10" spans="1:9" ht="16.5">
      <c r="A10" s="3040" t="s">
        <v>2854</v>
      </c>
      <c r="B10" s="3043"/>
      <c r="C10" s="3041"/>
      <c r="D10" s="3041"/>
      <c r="E10" s="3041"/>
      <c r="F10" s="3041"/>
    </row>
    <row r="11" spans="1:9" ht="16.5">
      <c r="A11" s="3040" t="s">
        <v>2871</v>
      </c>
      <c r="B11" s="3043"/>
      <c r="C11" s="3041"/>
      <c r="D11" s="3041"/>
      <c r="E11" s="3041"/>
      <c r="F11" s="3041"/>
    </row>
    <row r="12" spans="1:9" ht="16.5">
      <c r="A12" s="3041"/>
      <c r="B12" s="3041"/>
      <c r="C12" s="3041"/>
      <c r="D12" s="3041"/>
      <c r="E12" s="3041"/>
      <c r="F12" s="3041"/>
    </row>
    <row r="13" spans="1:9" ht="33">
      <c r="A13" s="3046" t="s">
        <v>2870</v>
      </c>
      <c r="B13" s="3044" t="s">
        <v>2842</v>
      </c>
      <c r="C13" s="3044" t="s">
        <v>2843</v>
      </c>
      <c r="D13" s="3044" t="s">
        <v>2855</v>
      </c>
      <c r="E13" s="3040" t="s">
        <v>2869</v>
      </c>
      <c r="F13" s="3040" t="s">
        <v>2848</v>
      </c>
      <c r="G13" s="3044" t="s">
        <v>2856</v>
      </c>
      <c r="H13" s="3044" t="s">
        <v>2857</v>
      </c>
      <c r="I13" s="3044" t="s">
        <v>2858</v>
      </c>
    </row>
    <row r="14" spans="1:9" ht="16.5">
      <c r="A14" s="3047" t="s">
        <v>2868</v>
      </c>
      <c r="B14" s="3044">
        <f>结果表!L38</f>
        <v>148752</v>
      </c>
      <c r="C14" s="3044">
        <f>结果表!K38</f>
        <v>56910</v>
      </c>
      <c r="D14" s="3044">
        <f ca="1">结果表!C42</f>
        <v>43015</v>
      </c>
      <c r="E14" s="3044">
        <f ca="1">ROUND(D14*10000/B14,0)</f>
        <v>2892</v>
      </c>
      <c r="F14" s="3044">
        <f ca="1">ROUND(D14*10000/C14,0)</f>
        <v>7558</v>
      </c>
      <c r="G14" s="3044">
        <f ca="1">结果表!C44</f>
        <v>43015</v>
      </c>
      <c r="H14" s="3044" t="str">
        <f>结果表!C45</f>
        <v>——</v>
      </c>
      <c r="I14" s="3044" t="str">
        <f>结果表!C46</f>
        <v>——</v>
      </c>
    </row>
    <row r="15" spans="1:9" ht="16.5">
      <c r="A15" s="3047" t="s">
        <v>2859</v>
      </c>
      <c r="B15" s="3048">
        <f>[1]系统读取表!$B$14</f>
        <v>128445</v>
      </c>
      <c r="C15" s="3048">
        <f>[1]系统读取表!$C$14</f>
        <v>44435</v>
      </c>
      <c r="D15" s="3048">
        <f ca="1">[1]系统读取表!$D$14</f>
        <v>52729</v>
      </c>
      <c r="E15" s="3044">
        <f t="shared" ref="E15:E23" ca="1" si="2">ROUND(D15*10000/B15,0)</f>
        <v>4105</v>
      </c>
      <c r="F15" s="3044">
        <f t="shared" ref="F15:F23" ca="1" si="3">ROUND(D15*10000/C15,0)</f>
        <v>11867</v>
      </c>
      <c r="G15" s="3045">
        <f ca="1">[1]系统读取表!$G$14</f>
        <v>52729</v>
      </c>
      <c r="H15" s="3045"/>
      <c r="I15" s="3048"/>
    </row>
    <row r="16" spans="1:9" ht="16.5">
      <c r="A16" s="3047" t="s">
        <v>2860</v>
      </c>
      <c r="B16" s="3048">
        <f>[2]系统读取表!$B$14</f>
        <v>131917</v>
      </c>
      <c r="C16" s="3048">
        <f>[2]系统读取表!$C$14</f>
        <v>44652</v>
      </c>
      <c r="D16" s="3048">
        <f ca="1">[2]系统读取表!$D$14</f>
        <v>57665</v>
      </c>
      <c r="E16" s="3044">
        <f t="shared" ca="1" si="2"/>
        <v>4371</v>
      </c>
      <c r="F16" s="3044">
        <f t="shared" ca="1" si="3"/>
        <v>12914</v>
      </c>
      <c r="G16" s="3045">
        <f ca="1">[2]系统读取表!$G$14</f>
        <v>42665</v>
      </c>
      <c r="H16" s="3045"/>
      <c r="I16" s="3048"/>
    </row>
    <row r="17" spans="1:9" ht="16.5">
      <c r="A17" s="3047" t="s">
        <v>2861</v>
      </c>
      <c r="B17" s="3048">
        <f>[3]系统读取表!$B$14</f>
        <v>72545</v>
      </c>
      <c r="C17" s="3048">
        <f>[3]系统读取表!$C$14</f>
        <v>27020</v>
      </c>
      <c r="D17" s="3048">
        <f ca="1">[3]系统读取表!$D$14</f>
        <v>31039</v>
      </c>
      <c r="E17" s="3044">
        <f t="shared" ca="1" si="2"/>
        <v>4279</v>
      </c>
      <c r="F17" s="3044">
        <f t="shared" ca="1" si="3"/>
        <v>11487</v>
      </c>
      <c r="G17" s="3045">
        <f ca="1">[3]系统读取表!$G$14</f>
        <v>31039</v>
      </c>
      <c r="H17" s="3045"/>
      <c r="I17" s="3048"/>
    </row>
    <row r="18" spans="1:9" ht="16.5">
      <c r="A18" s="3047" t="s">
        <v>2862</v>
      </c>
      <c r="B18" s="3048">
        <f>[4]系统读取表!$B$14</f>
        <v>56036</v>
      </c>
      <c r="C18" s="3048">
        <f>[4]系统读取表!$C$14</f>
        <v>21946</v>
      </c>
      <c r="D18" s="3048">
        <f ca="1">[4]系统读取表!$D$14</f>
        <v>24032</v>
      </c>
      <c r="E18" s="3044">
        <f t="shared" ca="1" si="2"/>
        <v>4289</v>
      </c>
      <c r="F18" s="3044">
        <f t="shared" ca="1" si="3"/>
        <v>10951</v>
      </c>
      <c r="G18" s="3048">
        <f ca="1">[4]系统读取表!$G$14</f>
        <v>20032</v>
      </c>
      <c r="H18" s="3048"/>
      <c r="I18" s="3048"/>
    </row>
    <row r="19" spans="1:9" ht="16.5">
      <c r="A19" s="3047" t="s">
        <v>2863</v>
      </c>
      <c r="B19" s="3048">
        <f>[5]系统读取表!$B$14</f>
        <v>68439.159999999989</v>
      </c>
      <c r="C19" s="3048">
        <f>[5]系统读取表!$C$14</f>
        <v>18344.5</v>
      </c>
      <c r="D19" s="3048">
        <f ca="1">[5]系统读取表!$D$14</f>
        <v>21737</v>
      </c>
      <c r="E19" s="3044">
        <f t="shared" ca="1" si="2"/>
        <v>3176</v>
      </c>
      <c r="F19" s="3044">
        <f t="shared" ca="1" si="3"/>
        <v>11849</v>
      </c>
      <c r="G19" s="3048">
        <f ca="1">[5]系统读取表!$G$14</f>
        <v>21737</v>
      </c>
      <c r="H19" s="3048"/>
      <c r="I19" s="3048"/>
    </row>
    <row r="20" spans="1:9" ht="16.5">
      <c r="A20" s="3047" t="s">
        <v>2864</v>
      </c>
      <c r="B20" s="3048">
        <f>[6]系统读取表!$B$14</f>
        <v>121729.71999999999</v>
      </c>
      <c r="C20" s="3048">
        <f>[6]系统读取表!$C$14</f>
        <v>69978.899999999994</v>
      </c>
      <c r="D20" s="3048">
        <f ca="1">[6]系统读取表!$D$14</f>
        <v>38089</v>
      </c>
      <c r="E20" s="3044">
        <f t="shared" ca="1" si="2"/>
        <v>3129</v>
      </c>
      <c r="F20" s="3044">
        <f t="shared" ca="1" si="3"/>
        <v>5443</v>
      </c>
      <c r="G20" s="3048">
        <f ca="1">[6]系统读取表!$G$14</f>
        <v>38089</v>
      </c>
      <c r="H20" s="3048"/>
      <c r="I20" s="3048"/>
    </row>
    <row r="21" spans="1:9" ht="16.5">
      <c r="A21" s="3047" t="s">
        <v>2865</v>
      </c>
      <c r="B21" s="3048"/>
      <c r="C21" s="3048"/>
      <c r="D21" s="3048"/>
      <c r="E21" s="3044" t="e">
        <f t="shared" si="2"/>
        <v>#DIV/0!</v>
      </c>
      <c r="F21" s="3044" t="e">
        <f t="shared" si="3"/>
        <v>#DIV/0!</v>
      </c>
      <c r="G21" s="3048"/>
      <c r="H21" s="3048"/>
      <c r="I21" s="3048"/>
    </row>
    <row r="22" spans="1:9" ht="16.5">
      <c r="A22" s="3047" t="s">
        <v>2866</v>
      </c>
      <c r="B22" s="3048"/>
      <c r="C22" s="3048"/>
      <c r="D22" s="3048"/>
      <c r="E22" s="3044" t="e">
        <f t="shared" si="2"/>
        <v>#DIV/0!</v>
      </c>
      <c r="F22" s="3044" t="e">
        <f t="shared" si="3"/>
        <v>#DIV/0!</v>
      </c>
      <c r="G22" s="3048"/>
      <c r="H22" s="3048"/>
      <c r="I22" s="3048"/>
    </row>
    <row r="23" spans="1:9" ht="16.5">
      <c r="A23" s="3047" t="s">
        <v>2867</v>
      </c>
      <c r="B23" s="3048"/>
      <c r="C23" s="3048"/>
      <c r="D23" s="3048"/>
      <c r="E23" s="3040" t="e">
        <f t="shared" si="2"/>
        <v>#DIV/0!</v>
      </c>
      <c r="F23" s="3040" t="e">
        <f t="shared" si="3"/>
        <v>#DIV/0!</v>
      </c>
      <c r="G23" s="3048"/>
      <c r="H23" s="3048"/>
      <c r="I23" s="3048"/>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77" sqref="H7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8.625" style="256" customWidth="1"/>
    <col min="15" max="19" width="12.75" style="256" bestFit="1" customWidth="1"/>
    <col min="20" max="26" width="12.625" style="256"/>
    <col min="27" max="16384" width="12.625" style="1249"/>
  </cols>
  <sheetData>
    <row r="1" spans="1:22" ht="21.75" customHeight="1" thickBot="1">
      <c r="A1" s="1773" t="s">
        <v>2056</v>
      </c>
      <c r="B1" s="1774"/>
      <c r="C1" s="1802" t="s">
        <v>2057</v>
      </c>
      <c r="D1" s="1803" t="s">
        <v>3247</v>
      </c>
      <c r="E1" s="1802" t="s">
        <v>2058</v>
      </c>
      <c r="F1" s="1804" t="s">
        <v>3248</v>
      </c>
      <c r="G1" s="310"/>
      <c r="H1" s="310"/>
      <c r="I1" s="310"/>
      <c r="J1" s="2026"/>
      <c r="K1" s="2026"/>
      <c r="L1" s="2026"/>
      <c r="M1" s="2026"/>
      <c r="N1" s="2026"/>
      <c r="O1" s="2026"/>
      <c r="P1" s="2026"/>
      <c r="Q1" s="2026"/>
      <c r="R1" s="2026"/>
      <c r="S1" s="2026"/>
      <c r="T1" s="2026"/>
      <c r="U1" s="2026"/>
      <c r="V1" s="2026"/>
    </row>
    <row r="2" spans="1:22" ht="21.75" customHeight="1" thickBot="1">
      <c r="A2" s="3343" t="str">
        <f>项目基本情况!K2</f>
        <v>江苏省泰州市泰兴市银杏路北侧、济川路东侧1号地块出让国有建设用地使用权</v>
      </c>
      <c r="B2" s="3344"/>
      <c r="C2" s="3345"/>
      <c r="D2" s="3345"/>
      <c r="E2" s="3345"/>
      <c r="F2" s="3345"/>
      <c r="G2" s="3344"/>
      <c r="H2" s="3344"/>
      <c r="I2" s="3346"/>
      <c r="J2" s="2027"/>
      <c r="K2" s="2026"/>
      <c r="L2" s="2026"/>
      <c r="M2" s="2026"/>
      <c r="N2" s="2026"/>
      <c r="O2" s="2026"/>
      <c r="P2" s="2026"/>
      <c r="Q2" s="2026"/>
      <c r="R2" s="2026"/>
      <c r="S2" s="2026"/>
      <c r="T2" s="2026"/>
      <c r="U2" s="2026"/>
      <c r="V2" s="2026"/>
    </row>
    <row r="3" spans="1:22" ht="14.25">
      <c r="A3" s="3336" t="s">
        <v>298</v>
      </c>
      <c r="B3" s="3337"/>
      <c r="C3" s="3337"/>
      <c r="D3" s="3337"/>
      <c r="E3" s="3337"/>
      <c r="F3" s="3337"/>
      <c r="G3" s="3337"/>
      <c r="H3" s="3337"/>
      <c r="I3" s="3337"/>
      <c r="J3" s="2027"/>
      <c r="K3" s="2026"/>
      <c r="L3" s="2026"/>
      <c r="M3" s="2026"/>
      <c r="N3" s="2026"/>
      <c r="O3" s="2026"/>
      <c r="P3" s="2026"/>
      <c r="Q3" s="2026"/>
      <c r="R3" s="2026"/>
      <c r="S3" s="2026"/>
      <c r="T3" s="2026"/>
      <c r="U3" s="2026"/>
      <c r="V3" s="2026"/>
    </row>
    <row r="4" spans="1:22" ht="14.25">
      <c r="A4" s="257" t="s">
        <v>299</v>
      </c>
      <c r="B4" s="258" t="s">
        <v>300</v>
      </c>
      <c r="C4" s="259" t="s">
        <v>3250</v>
      </c>
      <c r="D4" s="259" t="s">
        <v>3249</v>
      </c>
      <c r="E4" s="3308" t="s">
        <v>301</v>
      </c>
      <c r="F4" s="3309"/>
      <c r="G4" s="3309"/>
      <c r="H4" s="3309"/>
      <c r="I4" s="333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7" t="s">
        <v>302</v>
      </c>
      <c r="B5" s="3333">
        <v>25</v>
      </c>
      <c r="C5" s="3331"/>
      <c r="D5" s="3335"/>
      <c r="E5" s="260" t="s">
        <v>303</v>
      </c>
      <c r="F5" s="261"/>
      <c r="G5" s="261"/>
      <c r="H5" s="261"/>
      <c r="I5" s="262"/>
      <c r="J5" s="2027"/>
      <c r="K5" s="2026"/>
      <c r="L5" s="2026"/>
      <c r="M5" s="2026"/>
      <c r="N5" s="2026"/>
      <c r="O5" s="2026"/>
      <c r="P5" s="2026"/>
      <c r="Q5" s="2026"/>
      <c r="R5" s="2026"/>
      <c r="S5" s="2026"/>
      <c r="T5" s="2026"/>
      <c r="U5" s="2026"/>
      <c r="V5" s="2026"/>
    </row>
    <row r="6" spans="1:22" ht="14.25">
      <c r="A6" s="3307"/>
      <c r="B6" s="3333"/>
      <c r="C6" s="3334"/>
      <c r="D6" s="3335"/>
      <c r="E6" s="260" t="s">
        <v>304</v>
      </c>
      <c r="F6" s="261"/>
      <c r="G6" s="261"/>
      <c r="H6" s="261"/>
      <c r="I6" s="262"/>
      <c r="J6" s="2027"/>
      <c r="K6" s="2026"/>
      <c r="L6" s="2026"/>
      <c r="M6" s="2026"/>
      <c r="N6" s="2026"/>
      <c r="O6" s="2026"/>
      <c r="P6" s="2026"/>
      <c r="Q6" s="2026"/>
      <c r="R6" s="2026"/>
      <c r="S6" s="2026"/>
      <c r="T6" s="2026"/>
      <c r="U6" s="2026"/>
      <c r="V6" s="2026"/>
    </row>
    <row r="7" spans="1:22" ht="14.25">
      <c r="A7" s="3307"/>
      <c r="B7" s="3333"/>
      <c r="C7" s="3332"/>
      <c r="D7" s="3335"/>
      <c r="E7" s="260" t="s">
        <v>305</v>
      </c>
      <c r="F7" s="261"/>
      <c r="G7" s="261"/>
      <c r="H7" s="261"/>
      <c r="I7" s="262"/>
      <c r="J7" s="2027"/>
      <c r="K7" s="2026"/>
      <c r="L7" s="2026"/>
      <c r="M7" s="2026"/>
      <c r="N7" s="2026"/>
      <c r="O7" s="2026"/>
      <c r="P7" s="2026"/>
      <c r="Q7" s="2026"/>
      <c r="R7" s="2026"/>
      <c r="S7" s="2026"/>
      <c r="T7" s="2026"/>
      <c r="U7" s="2026"/>
      <c r="V7" s="2026"/>
    </row>
    <row r="8" spans="1:22" ht="14.25">
      <c r="A8" s="3307" t="s">
        <v>306</v>
      </c>
      <c r="B8" s="3333">
        <v>15</v>
      </c>
      <c r="C8" s="3331"/>
      <c r="D8" s="3335"/>
      <c r="E8" s="260" t="s">
        <v>307</v>
      </c>
      <c r="F8" s="261"/>
      <c r="G8" s="261"/>
      <c r="H8" s="261"/>
      <c r="I8" s="262"/>
      <c r="J8" s="2027"/>
      <c r="K8" s="2026"/>
      <c r="L8" s="2026"/>
      <c r="M8" s="2026"/>
      <c r="N8" s="2026"/>
      <c r="O8" s="2026"/>
      <c r="P8" s="2026"/>
      <c r="Q8" s="2026"/>
      <c r="R8" s="2026"/>
      <c r="S8" s="2026"/>
      <c r="T8" s="2026"/>
      <c r="U8" s="2026"/>
      <c r="V8" s="2026"/>
    </row>
    <row r="9" spans="1:22" ht="14.25">
      <c r="A9" s="3307"/>
      <c r="B9" s="3333"/>
      <c r="C9" s="3332"/>
      <c r="D9" s="3335"/>
      <c r="E9" s="260" t="s">
        <v>308</v>
      </c>
      <c r="F9" s="261"/>
      <c r="G9" s="261"/>
      <c r="H9" s="261"/>
      <c r="I9" s="262"/>
      <c r="J9" s="2027"/>
      <c r="K9" s="2026"/>
      <c r="L9" s="2026"/>
      <c r="M9" s="2026"/>
      <c r="N9" s="2026"/>
      <c r="O9" s="2026"/>
      <c r="P9" s="2026"/>
      <c r="Q9" s="2026"/>
      <c r="R9" s="2026"/>
      <c r="S9" s="2026"/>
      <c r="T9" s="2026"/>
      <c r="U9" s="2026"/>
      <c r="V9" s="2026"/>
    </row>
    <row r="10" spans="1:22" ht="14.25">
      <c r="A10" s="3307" t="s">
        <v>309</v>
      </c>
      <c r="B10" s="3333">
        <v>15</v>
      </c>
      <c r="C10" s="3331"/>
      <c r="D10" s="3335"/>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7"/>
      <c r="B11" s="3333"/>
      <c r="C11" s="3332"/>
      <c r="D11" s="3335"/>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7" t="s">
        <v>312</v>
      </c>
      <c r="B12" s="3333">
        <v>15</v>
      </c>
      <c r="C12" s="3331"/>
      <c r="D12" s="3335"/>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7"/>
      <c r="B13" s="3333"/>
      <c r="C13" s="3332"/>
      <c r="D13" s="3335"/>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7" t="s">
        <v>315</v>
      </c>
      <c r="B14" s="3333">
        <v>30</v>
      </c>
      <c r="C14" s="3331">
        <v>5</v>
      </c>
      <c r="D14" s="3335">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7"/>
      <c r="B15" s="3333"/>
      <c r="C15" s="3334"/>
      <c r="D15" s="3335"/>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7"/>
      <c r="B16" s="3333"/>
      <c r="C16" s="3332"/>
      <c r="D16" s="333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46389</v>
      </c>
      <c r="D19" s="270">
        <f ca="1">SUMIF(INDIRECT("'"&amp;D4&amp;"'"&amp;"!A:A"),结果表!B19,INDIRECT("'"&amp;D4&amp;"'"&amp;"!B:B"))</f>
        <v>39641</v>
      </c>
      <c r="E19" s="267" t="s">
        <v>323</v>
      </c>
      <c r="F19" s="268" t="s">
        <v>322</v>
      </c>
      <c r="G19" s="271">
        <f ca="1">ROUND(C19*$C$18+D19*$D$18,0)</f>
        <v>43015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3119</v>
      </c>
      <c r="D20" s="276">
        <f ca="1">SUMIF(INDIRECT("'"&amp;D4&amp;"'"&amp;"!A:A"),结果表!B20,INDIRECT("'"&amp;D4&amp;"'"&amp;"!B:B"))</f>
        <v>2665</v>
      </c>
      <c r="E20" s="273"/>
      <c r="F20" s="274" t="s">
        <v>325</v>
      </c>
      <c r="G20" s="277">
        <f ca="1">ROUND(C20*$C$18+D20*$D$18,0)</f>
        <v>2892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8151</v>
      </c>
      <c r="D21" s="151">
        <f ca="1">SUMIF(INDIRECT("'"&amp;D4&amp;"'"&amp;"!A:A"),结果表!B21,INDIRECT("'"&amp;D4&amp;"'"&amp;"!B:B"))</f>
        <v>6966</v>
      </c>
      <c r="E21" s="273"/>
      <c r="F21" s="279" t="s">
        <v>327</v>
      </c>
      <c r="G21" s="281">
        <f ca="1">ROUND(C21*$C$18+D21*$D$18,0)</f>
        <v>7559</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0.17022779445523573</v>
      </c>
      <c r="E22" s="283"/>
      <c r="F22" s="284"/>
      <c r="G22" s="285">
        <f ca="1">ROUND(G19/('数据-汇总表'!D3/666.67),0)</f>
        <v>504</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14"/>
      <c r="B25" s="1320" t="s">
        <v>331</v>
      </c>
      <c r="C25" s="289">
        <f>IF(B30=0,0,C30)</f>
        <v>0</v>
      </c>
      <c r="D25" s="290"/>
      <c r="E25" s="310"/>
      <c r="F25" s="310"/>
      <c r="G25" s="310"/>
      <c r="H25" s="310"/>
      <c r="I25" s="310"/>
      <c r="J25" s="2026"/>
      <c r="K25" s="1254" t="str">
        <f ca="1">项目基本情况!B16&amp;"国有建设用地使用权价格："&amp;O38&amp;"万元"</f>
        <v>出让国有建设用地使用权价格：43015万元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大写金额：人民币肆亿叁仟零壹拾伍万元整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单位面积地价：7558元/平方米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楼面地价：2892元/平方米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抵押价格：43015万元</v>
      </c>
      <c r="L29" s="1251"/>
      <c r="M29" s="1251"/>
      <c r="N29" s="1251"/>
      <c r="O29" s="1250"/>
      <c r="P29" s="2026"/>
      <c r="V29" s="2026"/>
    </row>
    <row r="30" spans="1:26" ht="18.75" thickBot="1">
      <c r="A30" s="3123" t="s">
        <v>336</v>
      </c>
      <c r="B30" s="308"/>
      <c r="C30" s="308"/>
      <c r="D30" s="309"/>
      <c r="E30" s="3124" t="s">
        <v>2962</v>
      </c>
      <c r="F30" s="310"/>
      <c r="G30" s="310"/>
      <c r="H30" s="310"/>
      <c r="I30" s="310"/>
      <c r="J30" s="2026"/>
      <c r="K30" s="1257" t="str">
        <f ca="1">IF(K29="——","——","大写金额：人民币"&amp;NUMBERSTRING(INT(O39*10000),2)&amp;"元整")</f>
        <v>大写金额：人民币肆亿叁仟零壹拾伍万元整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1688</v>
      </c>
      <c r="C32" s="1381">
        <f ca="1">G19-C24</f>
        <v>43015</v>
      </c>
      <c r="D32" s="1382" t="s">
        <v>1689</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1690</v>
      </c>
      <c r="C33" s="263">
        <f ca="1">ROUND(C32*10000/'数据-汇总表'!E3,0)</f>
        <v>2892</v>
      </c>
      <c r="D33" s="1384" t="s">
        <v>1691</v>
      </c>
      <c r="E33" s="3313"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5" t="s">
        <v>1692</v>
      </c>
      <c r="C34" s="263">
        <f ca="1">ROUND(C32*10000/'数据-汇总表'!D3,0)</f>
        <v>7558</v>
      </c>
      <c r="D34" s="1386" t="s">
        <v>1691</v>
      </c>
      <c r="E34" s="3354"/>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504</v>
      </c>
      <c r="D35" s="1389" t="s">
        <v>1693</v>
      </c>
      <c r="E35" s="3355"/>
      <c r="F35" s="300" t="s">
        <v>342</v>
      </c>
      <c r="G35" s="981"/>
      <c r="H35" s="980" t="s">
        <v>343</v>
      </c>
      <c r="I35" s="310"/>
      <c r="J35" s="2026"/>
      <c r="K35" s="3328" t="s">
        <v>350</v>
      </c>
      <c r="L35" s="3328" t="s">
        <v>351</v>
      </c>
      <c r="M35" s="1263" t="s">
        <v>352</v>
      </c>
      <c r="N35" s="3328" t="s">
        <v>353</v>
      </c>
      <c r="O35" s="3328" t="s">
        <v>354</v>
      </c>
      <c r="P35" s="2026"/>
      <c r="V35" s="2026"/>
    </row>
    <row r="36" spans="1:26" ht="16.5" customHeight="1">
      <c r="A36" s="302" t="s">
        <v>344</v>
      </c>
      <c r="B36" s="303" t="s">
        <v>333</v>
      </c>
      <c r="C36" s="304" t="s">
        <v>345</v>
      </c>
      <c r="D36" s="304" t="s">
        <v>346</v>
      </c>
      <c r="E36" s="305" t="s">
        <v>347</v>
      </c>
      <c r="F36" s="310"/>
      <c r="G36" s="310"/>
      <c r="H36" s="310"/>
      <c r="I36" s="310"/>
      <c r="J36" s="2028"/>
      <c r="K36" s="3329"/>
      <c r="L36" s="3329"/>
      <c r="M36" s="1265" t="s">
        <v>355</v>
      </c>
      <c r="N36" s="3329"/>
      <c r="O36" s="3329"/>
      <c r="P36" s="2026"/>
      <c r="V36" s="2026"/>
    </row>
    <row r="37" spans="1:26" ht="16.5" customHeight="1" thickBot="1">
      <c r="A37" s="1259" t="s">
        <v>348</v>
      </c>
      <c r="B37" s="306"/>
      <c r="C37" s="293"/>
      <c r="D37" s="293"/>
      <c r="E37" s="294"/>
      <c r="F37" s="310"/>
      <c r="G37" s="310"/>
      <c r="H37" s="310"/>
      <c r="I37" s="310"/>
      <c r="J37" s="2028"/>
      <c r="K37" s="3330"/>
      <c r="L37" s="3330"/>
      <c r="M37" s="1266"/>
      <c r="N37" s="3330"/>
      <c r="O37" s="3330"/>
      <c r="P37" s="2026"/>
      <c r="V37" s="2026"/>
    </row>
    <row r="38" spans="1:26" ht="16.5" customHeight="1" thickBot="1">
      <c r="A38" s="1259" t="s">
        <v>349</v>
      </c>
      <c r="B38" s="306"/>
      <c r="C38" s="293"/>
      <c r="D38" s="293"/>
      <c r="E38" s="294"/>
      <c r="F38" s="310"/>
      <c r="G38" s="310"/>
      <c r="H38" s="310"/>
      <c r="I38" s="310"/>
      <c r="J38" s="2028"/>
      <c r="K38" s="1267">
        <f>'数据-汇总表'!D3</f>
        <v>56910</v>
      </c>
      <c r="L38" s="1268">
        <f>'数据-汇总表'!E3</f>
        <v>148752</v>
      </c>
      <c r="M38" s="1268">
        <f ca="1">C34</f>
        <v>7558</v>
      </c>
      <c r="N38" s="1268">
        <f ca="1">C33</f>
        <v>2892</v>
      </c>
      <c r="O38" s="1269">
        <f ca="1">C32</f>
        <v>43015</v>
      </c>
      <c r="P38" s="2026"/>
      <c r="V38" s="2026"/>
    </row>
    <row r="39" spans="1:26" ht="16.5" customHeight="1" thickBot="1">
      <c r="A39" s="1264"/>
      <c r="B39" s="307"/>
      <c r="C39" s="308"/>
      <c r="D39" s="308"/>
      <c r="E39" s="309"/>
      <c r="F39" s="310"/>
      <c r="G39" s="310"/>
      <c r="H39" s="310"/>
      <c r="I39" s="310"/>
      <c r="J39" s="2028"/>
      <c r="K39" s="3373" t="str">
        <f>MID(A44,3,LEN(A44)-2)</f>
        <v>抵押价格</v>
      </c>
      <c r="L39" s="3374"/>
      <c r="M39" s="3374"/>
      <c r="N39" s="3375"/>
      <c r="O39" s="1391">
        <f ca="1">C44</f>
        <v>43015</v>
      </c>
      <c r="P39" s="2026"/>
      <c r="V39" s="2026"/>
    </row>
    <row r="40" spans="1:26" ht="19.5" thickBot="1">
      <c r="A40" s="104" t="s">
        <v>872</v>
      </c>
      <c r="B40" s="310"/>
      <c r="C40" s="310"/>
      <c r="D40" s="310"/>
      <c r="E40" s="310"/>
      <c r="F40" s="310"/>
      <c r="G40" s="310"/>
      <c r="H40" s="310"/>
      <c r="I40" s="310"/>
      <c r="J40" s="2028"/>
      <c r="K40" s="3373" t="str">
        <f t="shared" ref="K40:K41" si="0">MID(A45,3,LEN(A45)-2)</f>
        <v/>
      </c>
      <c r="L40" s="3374"/>
      <c r="M40" s="3374"/>
      <c r="N40" s="3375"/>
      <c r="O40" s="1391" t="str">
        <f>C45</f>
        <v>——</v>
      </c>
      <c r="P40" s="2026"/>
      <c r="V40" s="2026"/>
    </row>
    <row r="41" spans="1:26" ht="16.5" thickBot="1">
      <c r="A41" s="311" t="s">
        <v>356</v>
      </c>
      <c r="B41" s="312"/>
      <c r="C41" s="313" t="s">
        <v>357</v>
      </c>
      <c r="D41" s="314" t="s">
        <v>358</v>
      </c>
      <c r="E41" s="314" t="s">
        <v>359</v>
      </c>
      <c r="F41" s="315" t="s">
        <v>360</v>
      </c>
      <c r="G41" s="310"/>
      <c r="H41" s="310"/>
      <c r="I41" s="310"/>
      <c r="J41" s="2028"/>
      <c r="K41" s="3373" t="str">
        <f t="shared" si="0"/>
        <v/>
      </c>
      <c r="L41" s="3374"/>
      <c r="M41" s="3374"/>
      <c r="N41" s="3375"/>
      <c r="O41" s="1391" t="str">
        <f>C46</f>
        <v>——</v>
      </c>
      <c r="P41" s="2026"/>
      <c r="V41" s="2026"/>
    </row>
    <row r="42" spans="1:26" ht="29.25">
      <c r="A42" s="3315" t="s">
        <v>2068</v>
      </c>
      <c r="B42" s="3316"/>
      <c r="C42" s="263">
        <f ca="1">C32</f>
        <v>43015</v>
      </c>
      <c r="D42" s="316">
        <f ca="1">C33</f>
        <v>2892</v>
      </c>
      <c r="E42" s="316">
        <f ca="1">C34</f>
        <v>7558</v>
      </c>
      <c r="F42" s="317">
        <f ca="1">C35</f>
        <v>504</v>
      </c>
      <c r="G42" s="310"/>
      <c r="H42" s="310"/>
      <c r="I42" s="318"/>
      <c r="J42" s="2028"/>
      <c r="K42" s="1270" t="s">
        <v>361</v>
      </c>
      <c r="L42" s="2045" t="s">
        <v>362</v>
      </c>
      <c r="M42" s="1271" t="s">
        <v>363</v>
      </c>
      <c r="N42" s="2046" t="s">
        <v>364</v>
      </c>
      <c r="O42" s="2047" t="s">
        <v>365</v>
      </c>
      <c r="P42" s="2026"/>
      <c r="V42" s="2026"/>
    </row>
    <row r="43" spans="1:26" ht="30">
      <c r="A43" s="3326" t="s">
        <v>2728</v>
      </c>
      <c r="B43" s="3327"/>
      <c r="C43" s="263">
        <f>IF(H33="正常操作",G33+G34+G35,G34+G35)</f>
        <v>0</v>
      </c>
      <c r="D43" s="316" t="s">
        <v>43</v>
      </c>
      <c r="E43" s="316" t="s">
        <v>44</v>
      </c>
      <c r="F43" s="317" t="s">
        <v>44</v>
      </c>
      <c r="G43" s="2864" t="s">
        <v>951</v>
      </c>
      <c r="H43" s="310"/>
      <c r="I43" s="318"/>
      <c r="J43" s="2028"/>
      <c r="K43" s="1272" t="str">
        <f>C4</f>
        <v>比较法-住宅、综合</v>
      </c>
      <c r="L43" s="1273">
        <f ca="1">IF(L42="估价结果/万元",C19,C20)</f>
        <v>46389</v>
      </c>
      <c r="M43" s="1274">
        <f>C18</f>
        <v>0.5</v>
      </c>
      <c r="N43" s="1275">
        <f ca="1">IF(N42="测算结果/万元",G19,G20)</f>
        <v>43015</v>
      </c>
      <c r="O43" s="1276">
        <f ca="1">IF(O42="最终结果/万元",C32,C33)</f>
        <v>43015</v>
      </c>
      <c r="P43" s="2026"/>
      <c r="V43" s="2026"/>
    </row>
    <row r="44" spans="1:26" ht="30.75" thickBot="1">
      <c r="A44" s="3315" t="str">
        <f>IF(OR(项目基本情况!E8="抵押价格",项目基本情况!E8="已注销及未注销"),"3.抵押价格","——")</f>
        <v>3.抵押价格</v>
      </c>
      <c r="B44" s="3316"/>
      <c r="C44" s="263">
        <f ca="1">IF(A44="——","——",C42-C43)</f>
        <v>43015</v>
      </c>
      <c r="D44" s="316">
        <f ca="1">ROUND(C44*10000/'数据-汇总表'!E3,0)</f>
        <v>2892</v>
      </c>
      <c r="E44" s="316">
        <f ca="1">ROUND(C44*10000/'数据-汇总表'!D3,0)</f>
        <v>7558</v>
      </c>
      <c r="F44" s="317">
        <f ca="1">ROUND(C44/('数据-汇总表'!D3/666.67),0)</f>
        <v>504</v>
      </c>
      <c r="G44" s="310"/>
      <c r="H44" s="310"/>
      <c r="I44" s="318"/>
      <c r="J44" s="2028"/>
      <c r="K44" s="1277" t="str">
        <f>D4</f>
        <v>剩余法-待开发</v>
      </c>
      <c r="L44" s="1278">
        <f ca="1">IF(L42="估价结果/万元",D19,D20)</f>
        <v>39641</v>
      </c>
      <c r="M44" s="1279">
        <f>D18</f>
        <v>0.5</v>
      </c>
      <c r="N44" s="1280"/>
      <c r="O44" s="1281"/>
      <c r="P44" s="2026"/>
      <c r="V44" s="2026"/>
    </row>
    <row r="45" spans="1:26" ht="15">
      <c r="A45" s="3321" t="str">
        <f>IF(项目基本情况!E8="已注销及未注销","4.抵押担保权已注销时的抵押价格",IF(项目基本情况!E8="已注销","3.抵押担保权已注销时的抵押价格","——"))</f>
        <v>——</v>
      </c>
      <c r="B45" s="332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7" t="str">
        <f>IF(项目基本情况!E9="抵押净值",IF(A45="——","4.抵押净值","5.抵押净值"),"——")</f>
        <v>——</v>
      </c>
      <c r="B46" s="331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62" t="s">
        <v>374</v>
      </c>
      <c r="B63" s="3363"/>
      <c r="C63" s="3364"/>
      <c r="D63" s="340">
        <f ca="1">ROUND(系统读取表!B5*F63,0)</f>
        <v>268306</v>
      </c>
      <c r="E63" s="301" t="s">
        <v>375</v>
      </c>
      <c r="F63" s="341">
        <v>1</v>
      </c>
      <c r="G63" s="342" t="s">
        <v>376</v>
      </c>
      <c r="H63" s="310"/>
      <c r="I63" s="310"/>
      <c r="J63" s="2026"/>
      <c r="K63" s="2026"/>
      <c r="L63" s="2026"/>
      <c r="M63" s="2026"/>
      <c r="N63" s="2026"/>
      <c r="O63" s="2026"/>
      <c r="P63" s="310"/>
      <c r="Q63" s="2026"/>
      <c r="R63" s="2026"/>
      <c r="S63" s="2026"/>
      <c r="T63" s="2026"/>
      <c r="U63" s="2026"/>
      <c r="V63" s="2026"/>
    </row>
    <row r="64" spans="1:22" ht="14.25" customHeight="1">
      <c r="A64" s="3323" t="s">
        <v>378</v>
      </c>
      <c r="B64" s="3324"/>
      <c r="C64" s="3324"/>
      <c r="D64" s="3324"/>
      <c r="E64" s="3324"/>
      <c r="F64" s="3324"/>
      <c r="G64" s="3325"/>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9" t="s">
        <v>386</v>
      </c>
      <c r="B66" s="3320"/>
      <c r="C66" s="3320"/>
      <c r="D66" s="260">
        <f ca="1">IF(H66="情况1",0,IF(H66="情况2",D70,IF(H66="情况3",D71,IF(H66="情况4",D72))))</f>
        <v>14054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7" t="s">
        <v>385</v>
      </c>
      <c r="M66" s="3378"/>
      <c r="N66" s="2456"/>
      <c r="O66" s="2457"/>
      <c r="P66" s="2458"/>
      <c r="Q66" s="2026"/>
      <c r="R66" s="2026"/>
      <c r="S66" s="2026"/>
      <c r="T66" s="2026"/>
      <c r="U66" s="2026"/>
      <c r="V66" s="2026"/>
    </row>
    <row r="67" spans="1:22" ht="25.5" customHeight="1">
      <c r="A67" s="351" t="s">
        <v>390</v>
      </c>
      <c r="B67" s="3310" t="s">
        <v>391</v>
      </c>
      <c r="C67" s="3310"/>
      <c r="D67" s="352">
        <v>0</v>
      </c>
      <c r="E67" s="41" t="s">
        <v>392</v>
      </c>
      <c r="F67" s="62" t="s">
        <v>21</v>
      </c>
      <c r="G67" s="3365"/>
      <c r="H67" s="310"/>
      <c r="I67" s="1291"/>
      <c r="J67" s="2033"/>
      <c r="K67" s="1974">
        <v>2</v>
      </c>
      <c r="L67" s="3376" t="s">
        <v>389</v>
      </c>
      <c r="M67" s="3376"/>
      <c r="N67" s="1324">
        <f>'数据-取费表'!B2</f>
        <v>43391</v>
      </c>
      <c r="O67" s="1324"/>
      <c r="P67" s="1324"/>
      <c r="Q67" s="2026"/>
      <c r="R67" s="2026"/>
      <c r="S67" s="2026"/>
      <c r="T67" s="2026"/>
      <c r="U67" s="2026"/>
      <c r="V67" s="2026"/>
    </row>
    <row r="68" spans="1:22" ht="25.5" customHeight="1">
      <c r="A68" s="353"/>
      <c r="B68" s="3310" t="s">
        <v>394</v>
      </c>
      <c r="C68" s="3310"/>
      <c r="D68" s="354"/>
      <c r="E68" s="77"/>
      <c r="F68" s="355"/>
      <c r="G68" s="3366"/>
      <c r="H68" s="310"/>
      <c r="I68" s="1291"/>
      <c r="J68" s="2033"/>
      <c r="K68" s="1974">
        <v>3</v>
      </c>
      <c r="L68" s="3376" t="s">
        <v>393</v>
      </c>
      <c r="M68" s="3376"/>
      <c r="N68" s="1292">
        <f ca="1">系统读取表!B5</f>
        <v>268306</v>
      </c>
      <c r="O68" s="1292"/>
      <c r="P68" s="1292"/>
      <c r="Q68" s="2026"/>
      <c r="R68" s="2026"/>
      <c r="S68" s="2026"/>
      <c r="T68" s="2026"/>
      <c r="U68" s="2026"/>
      <c r="V68" s="2026"/>
    </row>
    <row r="69" spans="1:22" ht="12" customHeight="1">
      <c r="A69" s="356"/>
      <c r="B69" s="3310" t="s">
        <v>395</v>
      </c>
      <c r="C69" s="3310"/>
      <c r="D69" s="357"/>
      <c r="E69" s="73"/>
      <c r="F69" s="355"/>
      <c r="G69" s="3367"/>
      <c r="H69" s="310"/>
      <c r="I69" s="1291"/>
      <c r="J69" s="2033"/>
      <c r="K69" s="1293">
        <v>4</v>
      </c>
      <c r="L69" s="3381" t="s">
        <v>2881</v>
      </c>
      <c r="M69" s="3382"/>
      <c r="N69" s="1294">
        <f ca="1">系统读取表!B6</f>
        <v>249306</v>
      </c>
      <c r="O69" s="1294"/>
      <c r="P69" s="1294"/>
      <c r="Q69" s="2026"/>
      <c r="R69" s="2026"/>
      <c r="S69" s="2026"/>
      <c r="T69" s="2026"/>
      <c r="U69" s="2026"/>
      <c r="V69" s="2026"/>
    </row>
    <row r="70" spans="1:22" ht="24" customHeight="1">
      <c r="A70" s="358" t="s">
        <v>396</v>
      </c>
      <c r="B70" s="3310" t="s">
        <v>397</v>
      </c>
      <c r="C70" s="3310"/>
      <c r="D70" s="357">
        <f ca="1">ROUND(D63*'数据-取费表'!B41/(1+'数据-取费表'!C42),0)</f>
        <v>14054</v>
      </c>
      <c r="E70" s="17" t="s">
        <v>398</v>
      </c>
      <c r="F70" s="359">
        <f>'数据-取费表'!B41</f>
        <v>5.5000000000000007E-2</v>
      </c>
      <c r="G70" s="360"/>
      <c r="H70" s="310"/>
      <c r="I70" s="1291"/>
      <c r="J70" s="2033"/>
      <c r="K70" s="3057"/>
      <c r="L70" s="3058"/>
      <c r="M70" s="3058"/>
      <c r="N70" s="3059" t="s">
        <v>2885</v>
      </c>
      <c r="O70" s="3058"/>
      <c r="P70" s="3060"/>
      <c r="Q70" s="2026"/>
      <c r="R70" s="2026"/>
      <c r="S70" s="2026"/>
      <c r="T70" s="2026"/>
      <c r="U70" s="2026"/>
      <c r="V70" s="2026"/>
    </row>
    <row r="71" spans="1:22" ht="12" customHeight="1">
      <c r="A71" s="358" t="s">
        <v>404</v>
      </c>
      <c r="B71" s="3311" t="s">
        <v>405</v>
      </c>
      <c r="C71" s="3312"/>
      <c r="D71" s="357">
        <f ca="1">ROUND(D63*'数据-取费表'!B41/(1+'数据-取费表'!C42),0)</f>
        <v>14054</v>
      </c>
      <c r="E71" s="17" t="s">
        <v>398</v>
      </c>
      <c r="F71" s="359">
        <f>'数据-取费表'!B41</f>
        <v>5.5000000000000007E-2</v>
      </c>
      <c r="G71" s="360"/>
      <c r="H71" s="310"/>
      <c r="I71" s="1291"/>
      <c r="J71" s="2033"/>
      <c r="K71" s="3056" t="s">
        <v>399</v>
      </c>
      <c r="L71" s="3383" t="s">
        <v>400</v>
      </c>
      <c r="M71" s="3383"/>
      <c r="N71" s="3056" t="s">
        <v>401</v>
      </c>
      <c r="O71" s="3056" t="s">
        <v>402</v>
      </c>
      <c r="P71" s="3056" t="s">
        <v>403</v>
      </c>
      <c r="Q71" s="2026"/>
      <c r="R71" s="2026"/>
      <c r="S71" s="2026"/>
      <c r="T71" s="2026"/>
      <c r="U71" s="2026"/>
      <c r="V71" s="2026"/>
    </row>
    <row r="72" spans="1:22" ht="12" customHeight="1">
      <c r="A72" s="358" t="s">
        <v>407</v>
      </c>
      <c r="B72" s="3311" t="s">
        <v>408</v>
      </c>
      <c r="C72" s="3312"/>
      <c r="D72" s="357">
        <f ca="1">C86</f>
        <v>13944</v>
      </c>
      <c r="E72" s="73" t="s">
        <v>409</v>
      </c>
      <c r="F72" s="359">
        <f>'数据-取费表'!B41</f>
        <v>5.5000000000000007E-2</v>
      </c>
      <c r="G72" s="360"/>
      <c r="H72" s="1297"/>
      <c r="I72" s="1291"/>
      <c r="J72" s="2033"/>
      <c r="K72" s="1974">
        <v>1</v>
      </c>
      <c r="L72" s="3358" t="s">
        <v>406</v>
      </c>
      <c r="M72" s="3358"/>
      <c r="N72" s="1295">
        <f ca="1">D66</f>
        <v>14054</v>
      </c>
      <c r="O72" s="1857" t="str">
        <f>E66</f>
        <v>销售额×税（费）率</v>
      </c>
      <c r="P72" s="1296">
        <f>F66</f>
        <v>5.5000000000000007E-2</v>
      </c>
      <c r="Q72" s="2026"/>
      <c r="R72" s="2026"/>
      <c r="S72" s="2026"/>
      <c r="T72" s="2026"/>
      <c r="U72" s="2026"/>
      <c r="V72" s="2026"/>
    </row>
    <row r="73" spans="1:22" ht="24" customHeight="1">
      <c r="A73" s="3352" t="s">
        <v>411</v>
      </c>
      <c r="B73" s="3320"/>
      <c r="C73" s="3320"/>
      <c r="D73" s="361">
        <f ca="1">IF(H73="个人住宅",0,ROUND(D63*I73,0))</f>
        <v>134</v>
      </c>
      <c r="E73" s="17" t="s">
        <v>412</v>
      </c>
      <c r="F73" s="359">
        <f>IF(H73="正常",I73,"免征")</f>
        <v>5.0000000000000001E-4</v>
      </c>
      <c r="G73" s="360"/>
      <c r="H73" s="191" t="s">
        <v>3302</v>
      </c>
      <c r="I73" s="359">
        <f>'数据-取费表'!B49</f>
        <v>5.0000000000000001E-4</v>
      </c>
      <c r="J73" s="2033"/>
      <c r="K73" s="1974">
        <v>2</v>
      </c>
      <c r="L73" s="3358" t="s">
        <v>410</v>
      </c>
      <c r="M73" s="3358"/>
      <c r="N73" s="1295">
        <f t="shared" ref="N73:P74" ca="1" si="1">D73</f>
        <v>134</v>
      </c>
      <c r="O73" s="1857" t="str">
        <f t="shared" si="1"/>
        <v>销售额×税（费）率</v>
      </c>
      <c r="P73" s="1296">
        <f t="shared" si="1"/>
        <v>5.0000000000000001E-4</v>
      </c>
      <c r="Q73" s="2026"/>
      <c r="R73" s="2026"/>
      <c r="S73" s="2026"/>
      <c r="T73" s="2026"/>
      <c r="U73" s="2026"/>
      <c r="V73" s="2026"/>
    </row>
    <row r="74" spans="1:22" ht="24.75">
      <c r="A74" s="3352" t="s">
        <v>414</v>
      </c>
      <c r="B74" s="3320"/>
      <c r="C74" s="3320"/>
      <c r="D74" s="361">
        <f ca="1">IF(H74="个人住宅",D75,D76)</f>
        <v>0</v>
      </c>
      <c r="E74" s="17" t="s">
        <v>415</v>
      </c>
      <c r="F74" s="359" t="str">
        <f>IF(H74="正常",F76,"免征")</f>
        <v>——</v>
      </c>
      <c r="G74" s="982" t="s">
        <v>416</v>
      </c>
      <c r="H74" s="362" t="s">
        <v>3302</v>
      </c>
      <c r="I74" s="42"/>
      <c r="J74" s="2033"/>
      <c r="K74" s="1974">
        <v>3</v>
      </c>
      <c r="L74" s="3358" t="s">
        <v>413</v>
      </c>
      <c r="M74" s="3358"/>
      <c r="N74" s="1295">
        <f t="shared" ca="1" si="1"/>
        <v>0</v>
      </c>
      <c r="O74" s="1857" t="str">
        <f t="shared" si="1"/>
        <v>增值额×税（费）率</v>
      </c>
      <c r="P74" s="1298" t="str">
        <f t="shared" si="1"/>
        <v>——</v>
      </c>
      <c r="Q74" s="2026"/>
      <c r="R74" s="2026"/>
      <c r="S74" s="2026"/>
      <c r="T74" s="2026"/>
      <c r="U74" s="2026"/>
      <c r="V74" s="2026"/>
    </row>
    <row r="75" spans="1:22" ht="24">
      <c r="A75" s="358" t="s">
        <v>417</v>
      </c>
      <c r="B75" s="3308" t="s">
        <v>418</v>
      </c>
      <c r="C75" s="3338"/>
      <c r="D75" s="363">
        <v>0</v>
      </c>
      <c r="E75" s="41" t="s">
        <v>419</v>
      </c>
      <c r="F75" s="364"/>
      <c r="G75" s="360"/>
      <c r="H75" s="42"/>
      <c r="I75" s="42"/>
      <c r="J75" s="2033"/>
      <c r="K75" s="3049" t="str">
        <f>IF(H77="非个人房产","",4)</f>
        <v/>
      </c>
      <c r="L75" s="3358" t="str">
        <f>IF(H77="非个人房产","——","个人所得税")</f>
        <v>——</v>
      </c>
      <c r="M75" s="3358"/>
      <c r="N75" s="1299" t="str">
        <f>D77</f>
        <v>——</v>
      </c>
      <c r="O75" s="1870" t="str">
        <f>E77</f>
        <v>——</v>
      </c>
      <c r="P75" s="1300" t="str">
        <f>F77</f>
        <v>——</v>
      </c>
      <c r="Q75" s="2026"/>
      <c r="R75" s="2026"/>
      <c r="S75" s="2026"/>
      <c r="T75" s="2026"/>
      <c r="U75" s="2026"/>
      <c r="V75" s="2026"/>
    </row>
    <row r="76" spans="1:22" ht="24.75">
      <c r="A76" s="358" t="s">
        <v>396</v>
      </c>
      <c r="B76" s="3308" t="s">
        <v>421</v>
      </c>
      <c r="C76" s="3309"/>
      <c r="D76" s="361">
        <f ca="1">IF(H76="转让取得",C99,C115)</f>
        <v>0</v>
      </c>
      <c r="E76" s="17" t="s">
        <v>422</v>
      </c>
      <c r="F76" s="53" t="s">
        <v>21</v>
      </c>
      <c r="G76" s="360"/>
      <c r="H76" s="362" t="s">
        <v>423</v>
      </c>
      <c r="I76" s="42"/>
      <c r="J76" s="2033"/>
      <c r="K76" s="3049" t="str">
        <f>IF(项目基本情况!K6="上海银行",IF(K75="",4,K75+1),"")</f>
        <v/>
      </c>
      <c r="L76" s="3369" t="str">
        <f>IF(项目基本情况!K6="上海银行","其他处置费用","")</f>
        <v/>
      </c>
      <c r="M76" s="3370"/>
      <c r="N76" s="1295" t="str">
        <f>IF(项目基本情况!K6="上海银行",N89,"")</f>
        <v/>
      </c>
      <c r="O76" s="3371" t="str">
        <f>IF(项目基本情况!K6="上海银行","包含处置中涉及的律师、诉讼、拍卖、评估等费用","")</f>
        <v/>
      </c>
      <c r="P76" s="3372"/>
      <c r="Q76" s="2026"/>
      <c r="R76" s="2026"/>
      <c r="S76" s="2026"/>
      <c r="T76" s="2026"/>
      <c r="U76" s="2026"/>
      <c r="V76" s="2026"/>
    </row>
    <row r="77" spans="1:22" ht="26.25" thickBot="1">
      <c r="A77" s="3360" t="s">
        <v>425</v>
      </c>
      <c r="B77" s="3361"/>
      <c r="C77" s="3361"/>
      <c r="D77" s="365" t="str">
        <f>IF(H77="非个人房产","——",IF(H77="个人住宅",0,ROUND(D63*I77,0)))</f>
        <v>——</v>
      </c>
      <c r="E77" s="366" t="str">
        <f>IF(H77="非个人房产","——","销售额×税（费）率")</f>
        <v>——</v>
      </c>
      <c r="F77" s="367" t="str">
        <f>IF(H77="非个人房产","——",IF(H77="个人住宅","免征",I77))</f>
        <v>——</v>
      </c>
      <c r="G77" s="983" t="s">
        <v>416</v>
      </c>
      <c r="H77" s="362" t="s">
        <v>3311</v>
      </c>
      <c r="I77" s="368">
        <v>0.01</v>
      </c>
      <c r="J77" s="2033"/>
      <c r="K77" s="3359">
        <f>IF(AND(K75="",K76=""),4,IF(项目基本情况!K6="上海银行",K76+1,K75+1))</f>
        <v>4</v>
      </c>
      <c r="L77" s="3358" t="s">
        <v>2882</v>
      </c>
      <c r="M77" s="3055" t="s">
        <v>420</v>
      </c>
      <c r="N77" s="1301"/>
      <c r="O77" s="1302">
        <f ca="1">SUMIF(N72:N76,"&lt;9e307")</f>
        <v>14188</v>
      </c>
      <c r="P77" s="1303"/>
      <c r="Q77" s="3053">
        <f ca="1">O77/N69</f>
        <v>5.6909982110338299E-2</v>
      </c>
      <c r="R77" s="2026"/>
      <c r="S77" s="2026"/>
      <c r="T77" s="2026"/>
      <c r="U77" s="2026"/>
      <c r="V77" s="2026"/>
    </row>
    <row r="78" spans="1:22" ht="12" customHeight="1">
      <c r="A78" s="1304"/>
      <c r="B78" s="310"/>
      <c r="C78" s="310"/>
      <c r="D78" s="310"/>
      <c r="E78" s="42"/>
      <c r="F78" s="42"/>
      <c r="G78" s="42"/>
      <c r="H78" s="1002"/>
      <c r="I78" s="310"/>
      <c r="J78" s="2033"/>
      <c r="K78" s="3359"/>
      <c r="L78" s="3358"/>
      <c r="M78" s="3055" t="s">
        <v>424</v>
      </c>
      <c r="N78" s="1301"/>
      <c r="O78" s="1302" t="str">
        <f ca="1">NUMBERSTRING(INT(O77*10000),2)&amp;"元整"</f>
        <v>壹亿肆仟壹佰捌拾捌万元整</v>
      </c>
      <c r="P78" s="1303"/>
      <c r="Q78" s="2026"/>
      <c r="R78" s="2026"/>
      <c r="S78" s="2026"/>
      <c r="T78" s="2026"/>
      <c r="U78" s="2026"/>
      <c r="V78" s="2026"/>
    </row>
    <row r="79" spans="1:22" ht="13.5" thickBot="1">
      <c r="A79" s="3353" t="s">
        <v>426</v>
      </c>
      <c r="B79" s="3353"/>
      <c r="C79" s="3353"/>
      <c r="D79" s="3353"/>
      <c r="E79" s="3353"/>
      <c r="F79" s="42"/>
      <c r="G79" s="42"/>
      <c r="H79" s="1002"/>
      <c r="I79" s="310"/>
      <c r="J79" s="2033"/>
      <c r="K79" s="3379">
        <f>K77+1</f>
        <v>5</v>
      </c>
      <c r="L79" s="3358" t="s">
        <v>2883</v>
      </c>
      <c r="M79" s="3055" t="s">
        <v>420</v>
      </c>
      <c r="N79" s="1301"/>
      <c r="O79" s="1302">
        <f ca="1">N69-O77</f>
        <v>235118</v>
      </c>
      <c r="P79" s="1303"/>
      <c r="Q79" s="2026"/>
      <c r="R79" s="2026"/>
      <c r="S79" s="2026"/>
      <c r="T79" s="2026"/>
      <c r="U79" s="2026"/>
      <c r="V79" s="2026"/>
    </row>
    <row r="80" spans="1:22" ht="25.5">
      <c r="A80" s="3348" t="s">
        <v>427</v>
      </c>
      <c r="B80" s="3349"/>
      <c r="C80" s="993"/>
      <c r="D80" s="993" t="s">
        <v>428</v>
      </c>
      <c r="E80" s="369" t="s">
        <v>429</v>
      </c>
      <c r="F80" s="42"/>
      <c r="G80" s="42"/>
      <c r="H80" s="1002"/>
      <c r="I80" s="310"/>
      <c r="J80" s="2026"/>
      <c r="K80" s="3380"/>
      <c r="L80" s="3358"/>
      <c r="M80" s="3055" t="s">
        <v>424</v>
      </c>
      <c r="N80" s="1301"/>
      <c r="O80" s="1302" t="str">
        <f ca="1">NUMBERSTRING(INT(O79*10000),2)&amp;"元整"</f>
        <v>贰拾叁亿伍仟壹佰壹拾捌万元整</v>
      </c>
      <c r="P80" s="1303"/>
      <c r="Q80" s="2026"/>
      <c r="R80" s="2026"/>
      <c r="S80" s="2026"/>
      <c r="T80" s="2026"/>
      <c r="U80" s="2026"/>
      <c r="V80" s="2026"/>
    </row>
    <row r="81" spans="1:26" ht="13.5" thickBot="1">
      <c r="A81" s="380" t="s">
        <v>1823</v>
      </c>
      <c r="B81" s="370" t="s">
        <v>430</v>
      </c>
      <c r="C81" s="371">
        <f ca="1">ROUND((C82+C83)/(1+'数据-取费表'!C42),0)</f>
        <v>255530</v>
      </c>
      <c r="D81" s="372"/>
      <c r="E81" s="373"/>
      <c r="F81" s="42"/>
      <c r="G81" s="42"/>
      <c r="H81" s="1002"/>
      <c r="I81" s="310"/>
      <c r="J81" s="2026"/>
      <c r="K81" s="3049">
        <f>K79+1</f>
        <v>6</v>
      </c>
      <c r="L81" s="3356" t="s">
        <v>2884</v>
      </c>
      <c r="M81" s="3357"/>
      <c r="N81" s="1305"/>
      <c r="O81" s="1306">
        <f ca="1">ROUND(O79*10000/'数据-汇总表'!E3,0)</f>
        <v>15806</v>
      </c>
      <c r="P81" s="1307"/>
      <c r="Q81" s="2026"/>
      <c r="R81" s="2026"/>
      <c r="S81" s="2026"/>
      <c r="T81" s="2026"/>
      <c r="U81" s="2026"/>
      <c r="V81" s="2026"/>
    </row>
    <row r="82" spans="1:26" ht="13.5" thickTop="1">
      <c r="A82" s="374" t="s">
        <v>1824</v>
      </c>
      <c r="B82" s="375" t="s">
        <v>431</v>
      </c>
      <c r="C82" s="376">
        <f ca="1">D63</f>
        <v>268306</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1825</v>
      </c>
      <c r="B83" s="375" t="s">
        <v>432</v>
      </c>
      <c r="C83" s="379">
        <v>0</v>
      </c>
      <c r="D83" s="377"/>
      <c r="E83" s="378"/>
      <c r="F83" s="42"/>
      <c r="G83" s="42"/>
      <c r="H83" s="1002"/>
      <c r="I83" s="310"/>
      <c r="J83" s="2026"/>
      <c r="K83" s="3368" t="s">
        <v>2872</v>
      </c>
      <c r="L83" s="3061" t="s">
        <v>2873</v>
      </c>
      <c r="M83" s="3051">
        <f ca="1">IF(N69&gt;10000,N69*0.5%,IF(AND(N69&gt;1000,N69&lt;=10000),N69*1%,IF(AND(N69&gt;100,N69&lt;=1000),N69*3%,IF(AND(N69&gt;10,N69&lt;=100),N69*5%,N69*8%))))</f>
        <v>1246.53</v>
      </c>
      <c r="N83" s="53">
        <f ca="1">ROUND(M83,1)</f>
        <v>1246.5</v>
      </c>
      <c r="O83" s="3054"/>
      <c r="P83" s="2026"/>
      <c r="Q83" s="2026"/>
      <c r="R83" s="2026"/>
      <c r="S83" s="2026"/>
      <c r="T83" s="2026"/>
      <c r="U83" s="2026"/>
      <c r="V83" s="2026"/>
    </row>
    <row r="84" spans="1:26" ht="12.75">
      <c r="A84" s="380" t="s">
        <v>1826</v>
      </c>
      <c r="B84" s="381" t="s">
        <v>433</v>
      </c>
      <c r="C84" s="382">
        <v>2000</v>
      </c>
      <c r="D84" s="383" t="s">
        <v>19</v>
      </c>
      <c r="E84" s="3094" t="s">
        <v>2934</v>
      </c>
      <c r="F84" s="42"/>
      <c r="G84" s="42"/>
      <c r="H84" s="1002"/>
      <c r="I84" s="310"/>
      <c r="J84" s="2026"/>
      <c r="K84" s="3368"/>
      <c r="L84" s="3061" t="s">
        <v>2874</v>
      </c>
      <c r="M84" s="3051">
        <f ca="1">IF(N69&gt;2000,N69*0.5%,IF(AND(N69&gt;1000,N69&lt;=2000),N69*0.6%,IF(AND(N69&gt;500,N69&lt;=1000),N69*0.7%,IF(AND(N69&gt;200,N69&lt;=500),N69*0.8%,IF(AND(N69&gt;100,N69&lt;=200),N69*0.9%,IF(AND(N69&gt;50,N69&lt;=100),N69*1%,IF(AND(N69&gt;20,N69&lt;=50),N69*1.5%,IF(AND(N69&gt;10,N69&lt;=20),N69*2%,IF(AND(N69&gt;1,N69&lt;=10),N69*2.5%)))))))))</f>
        <v>1246.53</v>
      </c>
      <c r="N84" s="53">
        <f t="shared" ref="N84:N85" ca="1" si="2">ROUND(M84,1)</f>
        <v>1246.5</v>
      </c>
      <c r="O84" s="2026" t="s">
        <v>2875</v>
      </c>
      <c r="P84" s="2026"/>
      <c r="Q84" s="2026"/>
      <c r="R84" s="2026"/>
      <c r="S84" s="2026"/>
      <c r="T84" s="2026"/>
      <c r="U84" s="2026"/>
      <c r="V84" s="2026"/>
    </row>
    <row r="85" spans="1:26" ht="12.75">
      <c r="A85" s="380" t="s">
        <v>1827</v>
      </c>
      <c r="B85" s="381" t="s">
        <v>434</v>
      </c>
      <c r="C85" s="384">
        <f ca="1">C81-C84</f>
        <v>253530</v>
      </c>
      <c r="D85" s="377" t="s">
        <v>19</v>
      </c>
      <c r="E85" s="378"/>
      <c r="F85" s="42"/>
      <c r="G85" s="42"/>
      <c r="H85" s="1002"/>
      <c r="I85" s="310"/>
      <c r="J85" s="2026"/>
      <c r="K85" s="3368"/>
      <c r="L85" s="3061" t="s">
        <v>2876</v>
      </c>
      <c r="M85" s="3051">
        <f ca="1">IF(N69&gt;1000,N69*0.1%,IF(AND(N69&gt;500,N69&lt;=1000),N69*0.5%,IF(AND(N69&gt;50,N69&lt;=500),N69*1%,IF(AND(N69&gt;1,N69&lt;=50),N69*1.5%))))</f>
        <v>249.30600000000001</v>
      </c>
      <c r="N85" s="53">
        <f t="shared" ca="1" si="2"/>
        <v>249.3</v>
      </c>
      <c r="O85" s="2026" t="s">
        <v>2875</v>
      </c>
      <c r="P85" s="2026"/>
      <c r="Q85" s="2026"/>
      <c r="R85" s="2026"/>
      <c r="S85" s="2026"/>
      <c r="T85" s="2026"/>
      <c r="U85" s="2026"/>
      <c r="V85" s="2026"/>
    </row>
    <row r="86" spans="1:26" ht="13.5" thickBot="1">
      <c r="A86" s="385" t="s">
        <v>1828</v>
      </c>
      <c r="B86" s="386" t="s">
        <v>435</v>
      </c>
      <c r="C86" s="387">
        <f ca="1">IF(C85&lt;=0,0,ROUND(C85*D86,0))</f>
        <v>13944</v>
      </c>
      <c r="D86" s="388">
        <f>'数据-取费表'!B41</f>
        <v>5.5000000000000007E-2</v>
      </c>
      <c r="E86" s="389"/>
      <c r="F86" s="42"/>
      <c r="G86" s="42"/>
      <c r="H86" s="1002"/>
      <c r="I86" s="310"/>
      <c r="J86" s="2026"/>
      <c r="K86" s="3368"/>
      <c r="L86" s="3061" t="s">
        <v>2877</v>
      </c>
      <c r="M86" s="3051">
        <f ca="1">N69*0.5%</f>
        <v>1246.53</v>
      </c>
      <c r="N86" s="53">
        <f ca="1">IF(M86&gt;0.5,0.5,ROUND(M86,0))</f>
        <v>0.5</v>
      </c>
      <c r="O86" s="2026" t="s">
        <v>2878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8"/>
      <c r="L87" s="3061" t="s">
        <v>2879</v>
      </c>
      <c r="M87" s="3051">
        <f ca="1">IF(N69&gt;=10000,(8.25+(N69-10000)*0.01%),IF(AND(N69&gt;=8000,N69&lt;10000),(7.85+(N69-8000)*0.02%),IF(AND(N69&gt;=5000,N69&lt;8000),(6.65+(N69-5000)*0.04%),IF(AND(N69&gt;=2000,N69&lt;5000),(4.25+(PN69-2000)*0.08%),IF(AND(N69&gt;=1000,N69&lt;2000),(2.75+(N69-1000)*0.15%),IF(AND(N69&gt;=100,N69&lt;1000),(0.5+(N69-100)*0.25%),IF(AND(N69&gt;0,N69&lt;100),N69*0.5%)))))))</f>
        <v>32.180599999999998</v>
      </c>
      <c r="N87" s="53">
        <f ca="1">ROUND(M87*0.9,1)</f>
        <v>29</v>
      </c>
      <c r="O87" s="3054"/>
      <c r="P87" s="310"/>
      <c r="Q87" s="2026"/>
      <c r="R87" s="2026"/>
      <c r="S87" s="2026"/>
      <c r="T87" s="2026"/>
      <c r="U87" s="2026"/>
      <c r="V87" s="2026"/>
      <c r="W87" s="291"/>
      <c r="X87" s="291"/>
      <c r="Y87" s="291"/>
      <c r="Z87" s="291"/>
    </row>
    <row r="88" spans="1:26" s="1313" customFormat="1" ht="15" thickBot="1">
      <c r="A88" s="3350" t="s">
        <v>436</v>
      </c>
      <c r="B88" s="3351"/>
      <c r="C88" s="3351"/>
      <c r="D88" s="3351"/>
      <c r="E88" s="3351"/>
      <c r="F88" s="3351"/>
      <c r="G88" s="3351"/>
      <c r="H88" s="3351"/>
      <c r="I88" s="1314"/>
      <c r="J88" s="2034"/>
      <c r="K88" s="3368"/>
      <c r="L88" s="3061" t="s">
        <v>2880</v>
      </c>
      <c r="M88" s="3051">
        <f ca="1">IF(N69&gt;10000,N69*0.5%,IF(AND(N69&gt;5000,N69&lt;=10000),N69*1%,IF(AND(N69&gt;1000,N69&lt;=5000),N69*2%,IF(AND(N69&gt;200,N69&lt;=1000),N69*3%,N69*5%))))</f>
        <v>1246.53</v>
      </c>
      <c r="N88" s="53">
        <f ca="1">ROUND(M88,1)</f>
        <v>1246.5</v>
      </c>
      <c r="O88" s="3054"/>
      <c r="P88" s="11"/>
      <c r="Q88" s="2031"/>
      <c r="R88" s="2031"/>
      <c r="S88" s="2031"/>
      <c r="T88" s="2031"/>
      <c r="U88" s="2031"/>
      <c r="V88" s="2031"/>
      <c r="W88" s="2035"/>
      <c r="X88" s="2035"/>
      <c r="Y88" s="2035"/>
      <c r="Z88" s="2035"/>
    </row>
    <row r="89" spans="1:26" s="1313" customFormat="1" ht="14.25">
      <c r="A89" s="3348" t="s">
        <v>427</v>
      </c>
      <c r="B89" s="3349"/>
      <c r="C89" s="993"/>
      <c r="D89" s="993" t="s">
        <v>428</v>
      </c>
      <c r="E89" s="390" t="s">
        <v>437</v>
      </c>
      <c r="F89" s="391"/>
      <c r="G89" s="391"/>
      <c r="H89" s="392"/>
      <c r="I89" s="1315"/>
      <c r="J89" s="2036"/>
      <c r="K89" s="3368"/>
      <c r="L89" s="3061" t="s">
        <v>27</v>
      </c>
      <c r="M89" s="3052"/>
      <c r="N89" s="53">
        <f ca="1">ROUND(SUM(N83:N88),0)</f>
        <v>4018</v>
      </c>
      <c r="O89" s="3062">
        <f ca="1">N89/N69</f>
        <v>1.611674007043553E-2</v>
      </c>
      <c r="P89" s="2031"/>
      <c r="Q89" s="2031"/>
      <c r="R89" s="2031"/>
      <c r="S89" s="2031"/>
      <c r="T89" s="2031"/>
      <c r="U89" s="2031"/>
      <c r="V89" s="2031"/>
      <c r="W89" s="2035"/>
      <c r="X89" s="2035"/>
      <c r="Y89" s="2035"/>
      <c r="Z89" s="2035"/>
    </row>
    <row r="90" spans="1:26" s="1313" customFormat="1" ht="14.25">
      <c r="A90" s="380" t="s">
        <v>1823</v>
      </c>
      <c r="B90" s="381" t="s">
        <v>438</v>
      </c>
      <c r="C90" s="384">
        <f ca="1">ROUND(D63/(1+'数据-取费表'!C42),0)</f>
        <v>255530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1829</v>
      </c>
      <c r="B91" s="347" t="s">
        <v>439</v>
      </c>
      <c r="C91" s="384">
        <f ca="1">C92+C96</f>
        <v>3839</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1830</v>
      </c>
      <c r="B92" s="375" t="s">
        <v>440</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1831</v>
      </c>
      <c r="B93" s="375" t="s">
        <v>441</v>
      </c>
      <c r="C93" s="395">
        <v>2000</v>
      </c>
      <c r="D93" s="377" t="s">
        <v>19</v>
      </c>
      <c r="E93" s="396" t="s">
        <v>442</v>
      </c>
      <c r="F93" s="397" t="s">
        <v>443</v>
      </c>
      <c r="G93" s="396" t="s">
        <v>444</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1832</v>
      </c>
      <c r="B94" s="399" t="s">
        <v>445</v>
      </c>
      <c r="C94" s="377">
        <f>IF(F93="购房发票",ROUND(C93*H93*5%,0),0)</f>
        <v>500</v>
      </c>
      <c r="D94" s="400">
        <v>0.05</v>
      </c>
      <c r="E94" s="3311" t="s">
        <v>446</v>
      </c>
      <c r="F94" s="3310"/>
      <c r="G94" s="3310"/>
      <c r="H94" s="3347"/>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1834</v>
      </c>
      <c r="B96" s="375" t="s">
        <v>449</v>
      </c>
      <c r="C96" s="404">
        <f ca="1">ROUND(D63*D96/(1+'数据-取费表'!C42),0)</f>
        <v>1278</v>
      </c>
      <c r="D96" s="405">
        <f>'数据-取费表'!B43</f>
        <v>5.000000000000001E-3</v>
      </c>
      <c r="E96" s="3339" t="s">
        <v>2428</v>
      </c>
      <c r="F96" s="3340"/>
      <c r="G96" s="3340"/>
      <c r="H96" s="334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1835</v>
      </c>
      <c r="B97" s="381" t="s">
        <v>450</v>
      </c>
      <c r="C97" s="384">
        <f ca="1">C90-C91</f>
        <v>251691</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1836</v>
      </c>
      <c r="B98" s="381" t="s">
        <v>451</v>
      </c>
      <c r="C98" s="406">
        <f ca="1">IF(C97&lt;=0,0,C97/C91)</f>
        <v>65.561604584527217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1837</v>
      </c>
      <c r="B99" s="386" t="s">
        <v>452</v>
      </c>
      <c r="C99" s="407">
        <f ca="1">ROUND(IF(C97&lt;=0,0,IF(C98&gt;=200%,C97*60%-C91*35%,IF(C98&gt;=100%,C97*50%-C91*15%,IF(C98&gt;=50%,C97*40%-C91*5%,IF(C98&lt;50%,C97*30%,0))))),0)</f>
        <v>149671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0" t="s">
        <v>453</v>
      </c>
      <c r="B101" s="3351"/>
      <c r="C101" s="3351"/>
      <c r="D101" s="3351"/>
      <c r="E101" s="3351"/>
      <c r="F101" s="3351"/>
      <c r="G101" s="3351"/>
      <c r="H101" s="3351"/>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8" t="s">
        <v>427</v>
      </c>
      <c r="B102" s="3349"/>
      <c r="C102" s="993"/>
      <c r="D102" s="993" t="s">
        <v>428</v>
      </c>
      <c r="E102" s="390" t="s">
        <v>437</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1823</v>
      </c>
      <c r="B103" s="381" t="s">
        <v>438</v>
      </c>
      <c r="C103" s="384">
        <f ca="1">ROUND(D63/(1+'数据-取费表'!C42),0)</f>
        <v>255530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1829</v>
      </c>
      <c r="B104" s="347" t="s">
        <v>439</v>
      </c>
      <c r="C104" s="384">
        <f ca="1">IF(H106="仅含出让金",C105+C108+C109+C110+C111+C112,C105+C109+C110+C111+C112)</f>
        <v>327325</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1830</v>
      </c>
      <c r="B105" s="375" t="s">
        <v>454</v>
      </c>
      <c r="C105" s="404">
        <f>C106+C107</f>
        <v>93800</v>
      </c>
      <c r="D105" s="405"/>
      <c r="E105" s="984"/>
      <c r="F105" s="985"/>
      <c r="G105" s="985"/>
      <c r="H105" s="986"/>
      <c r="I105" s="11"/>
      <c r="J105" s="2031"/>
      <c r="K105" s="2031"/>
      <c r="L105" s="3517" t="s">
        <v>3303</v>
      </c>
      <c r="M105" s="2031"/>
      <c r="N105" s="2031"/>
      <c r="O105" s="2031"/>
      <c r="P105" s="2031"/>
      <c r="Q105" s="2031"/>
      <c r="R105" s="2031"/>
      <c r="S105" s="2031"/>
      <c r="T105" s="2031"/>
      <c r="U105" s="2031"/>
      <c r="V105" s="2031"/>
      <c r="W105" s="2035"/>
      <c r="X105" s="2035"/>
      <c r="Y105" s="2035"/>
      <c r="Z105" s="2035"/>
    </row>
    <row r="106" spans="1:26" s="1313" customFormat="1" ht="14.25">
      <c r="A106" s="394" t="s">
        <v>1831</v>
      </c>
      <c r="B106" s="375" t="s">
        <v>455</v>
      </c>
      <c r="C106" s="415">
        <f>M113</f>
        <v>91024</v>
      </c>
      <c r="D106" s="405"/>
      <c r="E106" s="416" t="s">
        <v>456</v>
      </c>
      <c r="F106" s="985"/>
      <c r="G106" s="417" t="s">
        <v>457</v>
      </c>
      <c r="H106" s="418" t="s">
        <v>2439</v>
      </c>
      <c r="I106" s="11"/>
      <c r="J106" s="2031"/>
      <c r="K106" s="2031"/>
      <c r="L106" s="2031" t="s">
        <v>3304</v>
      </c>
      <c r="M106" s="2031">
        <v>8418</v>
      </c>
      <c r="N106" s="2031"/>
      <c r="O106" s="2031"/>
      <c r="P106" s="2031"/>
      <c r="Q106" s="2031"/>
      <c r="R106" s="2031"/>
      <c r="S106" s="2031"/>
      <c r="T106" s="2031"/>
      <c r="U106" s="2031"/>
      <c r="V106" s="2031"/>
      <c r="W106" s="2035"/>
      <c r="X106" s="2035"/>
      <c r="Y106" s="2035"/>
      <c r="Z106" s="2035"/>
    </row>
    <row r="107" spans="1:26" s="1313" customFormat="1" ht="14.25">
      <c r="A107" s="394" t="s">
        <v>1832</v>
      </c>
      <c r="B107" s="375" t="s">
        <v>447</v>
      </c>
      <c r="C107" s="404">
        <f>ROUND(C106*D107,0)</f>
        <v>2776</v>
      </c>
      <c r="D107" s="405">
        <f>'数据-取费表'!B48+'数据-取费表'!B49</f>
        <v>3.0499999999999999E-2</v>
      </c>
      <c r="E107" s="416" t="s">
        <v>458</v>
      </c>
      <c r="F107" s="985"/>
      <c r="G107" s="985"/>
      <c r="H107" s="986"/>
      <c r="I107" s="11"/>
      <c r="J107" s="2031"/>
      <c r="K107" s="2031"/>
      <c r="L107" s="2031" t="s">
        <v>3305</v>
      </c>
      <c r="M107" s="2031">
        <f>ROUND(1664.7489*44652/10000,0)</f>
        <v>7433</v>
      </c>
      <c r="N107" s="2031"/>
      <c r="O107" s="2031"/>
      <c r="P107" s="2031"/>
      <c r="Q107" s="2031"/>
      <c r="R107" s="2031"/>
      <c r="S107" s="2031"/>
      <c r="T107" s="2031"/>
      <c r="U107" s="2031"/>
      <c r="V107" s="2031"/>
      <c r="W107" s="2035"/>
      <c r="X107" s="2035"/>
      <c r="Y107" s="2035"/>
      <c r="Z107" s="2035"/>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31"/>
      <c r="K108" s="2031"/>
      <c r="L108" s="2031" t="s">
        <v>3306</v>
      </c>
      <c r="M108" s="2031">
        <f>ROUND(1825.69*27020/10000,0)</f>
        <v>4933</v>
      </c>
      <c r="N108" s="2031"/>
      <c r="O108" s="2031"/>
      <c r="P108" s="2031"/>
      <c r="Q108" s="2031"/>
      <c r="R108" s="2031"/>
      <c r="S108" s="2031"/>
      <c r="T108" s="2031"/>
      <c r="U108" s="2031"/>
      <c r="V108" s="2031"/>
      <c r="W108" s="2035"/>
      <c r="X108" s="2035"/>
      <c r="Y108" s="2035"/>
      <c r="Z108" s="2035"/>
    </row>
    <row r="109" spans="1:26" s="1313" customFormat="1" ht="24" customHeight="1">
      <c r="A109" s="1618" t="s">
        <v>1838</v>
      </c>
      <c r="B109" s="375" t="s">
        <v>460</v>
      </c>
      <c r="C109" s="404">
        <f ca="1">IF(H109="——",IF(F1="现房",'剩余法-现房'!C18,'剩余法-待开发'!C18),I109)</f>
        <v>202606</v>
      </c>
      <c r="D109" s="405"/>
      <c r="E109" s="3342" t="s">
        <v>461</v>
      </c>
      <c r="F109" s="3340"/>
      <c r="G109" s="3340"/>
      <c r="H109" s="1939" t="s">
        <v>2280</v>
      </c>
      <c r="I109" s="1940">
        <f ca="1">'[1]剩余法-待开发'!$C$18+'[2]剩余法-待开发'!$C$18+'[3]剩余法-待开发'!$C$18+'[4]剩余法-待开发'!$C$18+'[5]剩余法-待开发'!$C$18+'剩余法-待开发'!C18+'[6]剩余法-待开发'!$C$18</f>
        <v>202606</v>
      </c>
      <c r="J109" s="2031"/>
      <c r="K109" s="2031"/>
      <c r="L109" s="2031" t="s">
        <v>3307</v>
      </c>
      <c r="M109" s="2031">
        <f>ROUND(1825.69*21946/10000,0)</f>
        <v>4007</v>
      </c>
      <c r="N109" s="2031"/>
      <c r="O109" s="2031"/>
      <c r="P109" s="2031"/>
      <c r="Q109" s="2031"/>
      <c r="R109" s="2031"/>
      <c r="S109" s="2031"/>
      <c r="T109" s="2031"/>
      <c r="U109" s="2031"/>
      <c r="V109" s="2031"/>
      <c r="W109" s="2035"/>
      <c r="X109" s="2035"/>
      <c r="Y109" s="2035"/>
      <c r="Z109" s="2035"/>
    </row>
    <row r="110" spans="1:26" s="1313" customFormat="1" ht="25.5" customHeight="1">
      <c r="A110" s="1618" t="s">
        <v>1839</v>
      </c>
      <c r="B110" s="375" t="s">
        <v>462</v>
      </c>
      <c r="C110" s="404">
        <f ca="1">ROUND((C105+C108+C109)*D110,0)</f>
        <v>29641</v>
      </c>
      <c r="D110" s="405">
        <v>0.1</v>
      </c>
      <c r="E110" s="3342" t="s">
        <v>463</v>
      </c>
      <c r="F110" s="3340"/>
      <c r="G110" s="3340"/>
      <c r="H110" s="3341"/>
      <c r="I110" s="11"/>
      <c r="J110" s="2031"/>
      <c r="K110" s="2031"/>
      <c r="L110" s="2031" t="s">
        <v>3308</v>
      </c>
      <c r="M110" s="2031">
        <f>ROUND(1771.3602*18344.5/10000,0)</f>
        <v>3249</v>
      </c>
      <c r="N110" s="2031"/>
      <c r="O110" s="2031"/>
      <c r="P110" s="2031"/>
      <c r="Q110" s="2031"/>
      <c r="R110" s="2031"/>
      <c r="S110" s="2031"/>
      <c r="T110" s="2031"/>
      <c r="U110" s="2031"/>
      <c r="V110" s="2031"/>
      <c r="W110" s="2035"/>
      <c r="X110" s="2035"/>
      <c r="Y110" s="2035"/>
      <c r="Z110" s="2035"/>
    </row>
    <row r="111" spans="1:26" s="1313" customFormat="1" ht="25.5" customHeight="1">
      <c r="A111" s="1618" t="s">
        <v>1840</v>
      </c>
      <c r="B111" s="375" t="s">
        <v>449</v>
      </c>
      <c r="C111" s="404">
        <f ca="1">ROUND(D63*D111/(1+'数据-取费表'!C42),0)</f>
        <v>1278</v>
      </c>
      <c r="D111" s="405">
        <f>'数据-取费表'!B43</f>
        <v>5.000000000000001E-3</v>
      </c>
      <c r="E111" s="3339" t="s">
        <v>2428</v>
      </c>
      <c r="F111" s="3340"/>
      <c r="G111" s="3340"/>
      <c r="H111" s="3341"/>
      <c r="I111" s="11"/>
      <c r="J111" s="2031"/>
      <c r="K111" s="2031"/>
      <c r="L111" s="2031" t="s">
        <v>3309</v>
      </c>
      <c r="M111" s="2031">
        <v>50588</v>
      </c>
      <c r="N111" s="2031"/>
      <c r="O111" s="2031"/>
      <c r="P111" s="2031"/>
      <c r="Q111" s="2031"/>
      <c r="R111" s="2031"/>
      <c r="S111" s="2031"/>
      <c r="T111" s="2031"/>
      <c r="U111" s="2031"/>
      <c r="V111" s="2031"/>
      <c r="W111" s="2035"/>
      <c r="X111" s="2035"/>
      <c r="Y111" s="2035"/>
      <c r="Z111" s="2035"/>
    </row>
    <row r="112" spans="1:26" s="1313" customFormat="1" ht="25.5" customHeight="1">
      <c r="A112" s="1618" t="s">
        <v>1841</v>
      </c>
      <c r="B112" s="375" t="s">
        <v>464</v>
      </c>
      <c r="C112" s="404">
        <f>ROUND(C108*D112,0)</f>
        <v>0</v>
      </c>
      <c r="D112" s="405">
        <v>0.2</v>
      </c>
      <c r="E112" s="3342" t="s">
        <v>2453</v>
      </c>
      <c r="F112" s="3340"/>
      <c r="G112" s="3340"/>
      <c r="H112" s="3341"/>
      <c r="I112" s="11"/>
      <c r="J112" s="2031"/>
      <c r="K112" s="2031"/>
      <c r="L112" s="2031" t="s">
        <v>3310</v>
      </c>
      <c r="M112" s="2031">
        <f>ROUND(1771.3602*69978.9/10000,0)</f>
        <v>12396</v>
      </c>
      <c r="N112" s="2031"/>
      <c r="O112" s="2031"/>
      <c r="P112" s="2031"/>
      <c r="Q112" s="2031"/>
      <c r="R112" s="2031"/>
      <c r="S112" s="2031"/>
      <c r="T112" s="2031"/>
      <c r="U112" s="2031"/>
      <c r="V112" s="2031"/>
      <c r="W112" s="2035"/>
      <c r="X112" s="2035"/>
      <c r="Y112" s="2035"/>
      <c r="Z112" s="2035"/>
    </row>
    <row r="113" spans="1:26" s="1313" customFormat="1" ht="14.25">
      <c r="A113" s="1616" t="s">
        <v>1835</v>
      </c>
      <c r="B113" s="381" t="s">
        <v>450</v>
      </c>
      <c r="C113" s="384">
        <f ca="1">ROUND(C103-C104,0)</f>
        <v>-71795</v>
      </c>
      <c r="D113" s="377" t="s">
        <v>19</v>
      </c>
      <c r="E113" s="990"/>
      <c r="F113" s="989"/>
      <c r="G113" s="989"/>
      <c r="H113" s="413"/>
      <c r="I113" s="11"/>
      <c r="J113" s="2031"/>
      <c r="K113" s="2031"/>
      <c r="L113" s="2031"/>
      <c r="M113" s="2031">
        <f>SUM(M106:M112)</f>
        <v>91024</v>
      </c>
      <c r="N113" s="2031"/>
      <c r="O113" s="2031"/>
      <c r="P113" s="2031"/>
      <c r="Q113" s="2031"/>
      <c r="R113" s="2031"/>
      <c r="S113" s="2031"/>
      <c r="T113" s="2031"/>
      <c r="U113" s="2031"/>
      <c r="V113" s="2031"/>
      <c r="W113" s="2035"/>
      <c r="X113" s="2035"/>
      <c r="Y113" s="2035"/>
      <c r="Z113" s="2035"/>
    </row>
    <row r="114" spans="1:26" s="1313" customFormat="1" ht="24">
      <c r="A114" s="1616" t="s">
        <v>1836</v>
      </c>
      <c r="B114" s="381" t="s">
        <v>451</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1837</v>
      </c>
      <c r="B115" s="386" t="s">
        <v>452</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J51" sqref="J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466</v>
      </c>
      <c r="B2" s="507">
        <f>F68</f>
        <v>46389</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3119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519</v>
      </c>
      <c r="B4" s="426">
        <f>IF(B48="单位面积地价",C50,ROUND(B2*10000/'数据-汇总表'!D3,0))</f>
        <v>8151</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543</v>
      </c>
      <c r="C5" s="430"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520</v>
      </c>
      <c r="B6" s="512"/>
      <c r="C6" s="3393" t="s">
        <v>521</v>
      </c>
      <c r="D6" s="3394"/>
      <c r="E6" s="3393" t="s">
        <v>522</v>
      </c>
      <c r="F6" s="3394"/>
      <c r="G6" s="3393" t="s">
        <v>523</v>
      </c>
      <c r="H6" s="3394"/>
      <c r="I6" s="3393" t="s">
        <v>524</v>
      </c>
      <c r="J6" s="3394"/>
      <c r="K6" s="513" t="s">
        <v>525</v>
      </c>
      <c r="L6" s="2131"/>
      <c r="M6" s="2130"/>
      <c r="N6" s="2130"/>
      <c r="O6" s="2132"/>
      <c r="P6" s="3395" t="s">
        <v>526</v>
      </c>
      <c r="Q6" s="3396"/>
      <c r="R6" s="3401" t="s">
        <v>522</v>
      </c>
      <c r="S6" s="3402"/>
      <c r="T6" s="3401" t="s">
        <v>523</v>
      </c>
      <c r="U6" s="3402"/>
      <c r="V6" s="3388" t="s">
        <v>524</v>
      </c>
      <c r="W6" s="3388"/>
      <c r="X6" s="1566"/>
      <c r="Y6" s="3401" t="s">
        <v>526</v>
      </c>
      <c r="Z6" s="3402"/>
      <c r="AA6" s="3390" t="s">
        <v>522</v>
      </c>
      <c r="AB6" s="3391" t="s">
        <v>523</v>
      </c>
      <c r="AC6" s="3390" t="s">
        <v>524</v>
      </c>
    </row>
    <row r="7" spans="1:30" ht="20.25">
      <c r="A7" s="514"/>
      <c r="B7" s="515"/>
      <c r="C7" s="3411" t="s">
        <v>3177</v>
      </c>
      <c r="D7" s="3410"/>
      <c r="E7" s="3409" t="s">
        <v>3178</v>
      </c>
      <c r="F7" s="3410"/>
      <c r="G7" s="3409" t="s">
        <v>3179</v>
      </c>
      <c r="H7" s="3410"/>
      <c r="I7" s="3409" t="s">
        <v>3180</v>
      </c>
      <c r="J7" s="3410"/>
      <c r="K7" s="513"/>
      <c r="L7" s="2131"/>
      <c r="M7" s="2130"/>
      <c r="N7" s="2130"/>
      <c r="O7" s="2132"/>
      <c r="P7" s="3397"/>
      <c r="Q7" s="3398"/>
      <c r="R7" s="3403"/>
      <c r="S7" s="3404"/>
      <c r="T7" s="3403"/>
      <c r="U7" s="3404"/>
      <c r="V7" s="3388"/>
      <c r="W7" s="3388"/>
      <c r="X7" s="1566"/>
      <c r="Y7" s="3403"/>
      <c r="Z7" s="3404"/>
      <c r="AA7" s="3391"/>
      <c r="AB7" s="3391"/>
      <c r="AC7" s="3391"/>
    </row>
    <row r="8" spans="1:30" ht="32.25" customHeight="1" thickBot="1">
      <c r="A8" s="514"/>
      <c r="B8" s="515"/>
      <c r="C8" s="3412" t="s">
        <v>3296</v>
      </c>
      <c r="D8" s="3413"/>
      <c r="E8" s="3412" t="s">
        <v>3200</v>
      </c>
      <c r="F8" s="3413"/>
      <c r="G8" s="3407" t="s">
        <v>3201</v>
      </c>
      <c r="H8" s="3408"/>
      <c r="I8" s="3407" t="s">
        <v>3181</v>
      </c>
      <c r="J8" s="3408"/>
      <c r="K8" s="513" t="s">
        <v>527</v>
      </c>
      <c r="L8" s="2131"/>
      <c r="M8" s="2130"/>
      <c r="N8" s="2130"/>
      <c r="O8" s="2132"/>
      <c r="P8" s="3399"/>
      <c r="Q8" s="3400"/>
      <c r="R8" s="3403"/>
      <c r="S8" s="3404"/>
      <c r="T8" s="3405"/>
      <c r="U8" s="3406"/>
      <c r="V8" s="3388"/>
      <c r="W8" s="3388"/>
      <c r="X8" s="1566"/>
      <c r="Y8" s="3405"/>
      <c r="Z8" s="3406"/>
      <c r="AA8" s="3392"/>
      <c r="AB8" s="3392"/>
      <c r="AC8" s="3392"/>
    </row>
    <row r="9" spans="1:30" s="1219" customFormat="1" ht="21" thickBot="1">
      <c r="A9" s="2909"/>
      <c r="B9" s="2916" t="s">
        <v>528</v>
      </c>
      <c r="C9" s="2908">
        <f>'数据-取费表'!B2</f>
        <v>43391</v>
      </c>
      <c r="D9" s="519">
        <v>100</v>
      </c>
      <c r="E9" s="520">
        <v>43174</v>
      </c>
      <c r="F9" s="521">
        <f>SUMIF(72:72,YEAR(E9)&amp;"-"&amp;INT((MONTH(E9)+2)/3),73:73)</f>
        <v>97</v>
      </c>
      <c r="G9" s="522">
        <v>43124</v>
      </c>
      <c r="H9" s="519">
        <f>SUMIF(72:72,YEAR(G9)&amp;"-"&amp;INT((MONTH(G9)+2)/3),73:73)</f>
        <v>97</v>
      </c>
      <c r="I9" s="522">
        <v>43124</v>
      </c>
      <c r="J9" s="519">
        <f>SUMIF(72:72,YEAR(I9)&amp;"-"&amp;INT((MONTH(I9)+2)/3),73:73)</f>
        <v>97</v>
      </c>
      <c r="K9" s="523"/>
      <c r="L9" s="2133"/>
      <c r="M9" s="2130"/>
      <c r="N9" s="2130"/>
      <c r="O9" s="2134"/>
      <c r="P9" s="3419" t="s">
        <v>529</v>
      </c>
      <c r="Q9" s="3421"/>
      <c r="R9" s="1567" t="s">
        <v>8</v>
      </c>
      <c r="S9" s="1568">
        <f t="shared" ref="S9:S17" si="0">F9</f>
        <v>97</v>
      </c>
      <c r="T9" s="1567" t="s">
        <v>8</v>
      </c>
      <c r="U9" s="1568">
        <f t="shared" ref="U9:U17" si="1">H9</f>
        <v>97</v>
      </c>
      <c r="V9" s="1567" t="s">
        <v>8</v>
      </c>
      <c r="W9" s="1568">
        <f t="shared" ref="W9:W17" si="2">J9</f>
        <v>97</v>
      </c>
      <c r="X9" s="1569"/>
      <c r="Y9" s="3419" t="s">
        <v>529</v>
      </c>
      <c r="Z9" s="3420"/>
      <c r="AA9" s="1570">
        <f>D9/F9</f>
        <v>1.0309278350515463</v>
      </c>
      <c r="AB9" s="1570">
        <f>D9/H9</f>
        <v>1.0309278350515463</v>
      </c>
      <c r="AC9" s="1570">
        <f>D9/J9</f>
        <v>1.0309278350515463</v>
      </c>
    </row>
    <row r="10" spans="1:30" s="1219" customFormat="1" ht="21" thickBot="1">
      <c r="A10" s="2910"/>
      <c r="B10" s="2917"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3"/>
      <c r="M10" s="2130"/>
      <c r="N10" s="2130"/>
      <c r="O10" s="2134"/>
      <c r="P10" s="3419" t="s">
        <v>532</v>
      </c>
      <c r="Q10" s="3420"/>
      <c r="R10" s="1567" t="s">
        <v>8</v>
      </c>
      <c r="S10" s="1568">
        <f t="shared" si="0"/>
        <v>100</v>
      </c>
      <c r="T10" s="1567" t="s">
        <v>8</v>
      </c>
      <c r="U10" s="1568">
        <f t="shared" si="1"/>
        <v>100</v>
      </c>
      <c r="V10" s="1567" t="s">
        <v>8</v>
      </c>
      <c r="W10" s="1568">
        <f t="shared" si="2"/>
        <v>100</v>
      </c>
      <c r="X10" s="1569"/>
      <c r="Y10" s="3419" t="s">
        <v>532</v>
      </c>
      <c r="Z10" s="3420"/>
      <c r="AA10" s="1570">
        <f t="shared" ref="AA10:AA47" si="3">D10/F10</f>
        <v>1</v>
      </c>
      <c r="AB10" s="1570">
        <f t="shared" ref="AB10:AB47" si="4">D10/H10</f>
        <v>1</v>
      </c>
      <c r="AC10" s="1570">
        <f t="shared" ref="AC10:AC47" si="5">D10/J10</f>
        <v>1</v>
      </c>
    </row>
    <row r="11" spans="1:30" s="1219" customFormat="1" ht="20.25">
      <c r="A11" s="2911"/>
      <c r="B11" s="2918" t="s">
        <v>2754</v>
      </c>
      <c r="C11" s="2906" t="s">
        <v>922</v>
      </c>
      <c r="D11" s="253">
        <v>100</v>
      </c>
      <c r="E11" s="2906" t="s">
        <v>922</v>
      </c>
      <c r="F11" s="253">
        <f>SUMIF(77:77,E11,78:78)-SUMIF(77:77,C11,78:78)+100</f>
        <v>100</v>
      </c>
      <c r="G11" s="2906" t="s">
        <v>922</v>
      </c>
      <c r="H11" s="253">
        <f>SUMIF(77:77,G11,78:78)-SUMIF(77:77,C11,78:78)+100</f>
        <v>100</v>
      </c>
      <c r="I11" s="2906" t="s">
        <v>922</v>
      </c>
      <c r="J11" s="253">
        <f>SUMIF(77:77,I11,78:78)-SUMIF(77:77,C11,78:78)+100</f>
        <v>100</v>
      </c>
      <c r="K11" s="523"/>
      <c r="L11" s="2133"/>
      <c r="M11" s="2130"/>
      <c r="N11" s="2130"/>
      <c r="O11" s="2135"/>
      <c r="P11" s="3387" t="s">
        <v>534</v>
      </c>
      <c r="Q11" s="1150" t="str">
        <f t="shared" ref="Q11:Q17" si="6">B11</f>
        <v>用途</v>
      </c>
      <c r="R11" s="1567" t="s">
        <v>8</v>
      </c>
      <c r="S11" s="1568">
        <f t="shared" si="0"/>
        <v>100</v>
      </c>
      <c r="T11" s="1567" t="s">
        <v>8</v>
      </c>
      <c r="U11" s="1568">
        <f t="shared" si="1"/>
        <v>100</v>
      </c>
      <c r="V11" s="1567" t="s">
        <v>8</v>
      </c>
      <c r="W11" s="1568">
        <f t="shared" si="2"/>
        <v>100</v>
      </c>
      <c r="X11" s="1569"/>
      <c r="Y11" s="3333" t="s">
        <v>535</v>
      </c>
      <c r="Z11" s="1149" t="str">
        <f t="shared" ref="Z11:Z17" si="7">Q11</f>
        <v>用途</v>
      </c>
      <c r="AA11" s="1570">
        <f t="shared" si="3"/>
        <v>1</v>
      </c>
      <c r="AB11" s="1570">
        <f t="shared" si="4"/>
        <v>1</v>
      </c>
      <c r="AC11" s="1570">
        <f t="shared" si="5"/>
        <v>1</v>
      </c>
    </row>
    <row r="12" spans="1:30" s="1337" customFormat="1" ht="27">
      <c r="A12" s="2912"/>
      <c r="B12" s="2917" t="s">
        <v>2755</v>
      </c>
      <c r="C12" s="909">
        <f>项目基本情况!D19</f>
        <v>69.95</v>
      </c>
      <c r="D12" s="254">
        <v>100</v>
      </c>
      <c r="E12" s="528" t="s">
        <v>3185</v>
      </c>
      <c r="F12" s="254">
        <f>ROUND(100/'数据-取费表'!G16,0)</f>
        <v>100</v>
      </c>
      <c r="G12" s="528" t="s">
        <v>3185</v>
      </c>
      <c r="H12" s="254">
        <f>ROUND(100/'数据-取费表'!G16,0)</f>
        <v>100</v>
      </c>
      <c r="I12" s="528" t="s">
        <v>3185</v>
      </c>
      <c r="J12" s="254">
        <f>ROUND(100/'数据-取费表'!G16,0)</f>
        <v>100</v>
      </c>
      <c r="K12" s="530"/>
      <c r="L12" s="2136"/>
      <c r="M12" s="2130"/>
      <c r="N12" s="2130"/>
      <c r="O12" s="2137"/>
      <c r="P12" s="3387"/>
      <c r="Q12" s="1150" t="str">
        <f t="shared" si="6"/>
        <v>土地使用年限（年）</v>
      </c>
      <c r="R12" s="1567" t="s">
        <v>8</v>
      </c>
      <c r="S12" s="1568">
        <f t="shared" si="0"/>
        <v>100</v>
      </c>
      <c r="T12" s="1567" t="s">
        <v>8</v>
      </c>
      <c r="U12" s="1568">
        <f t="shared" si="1"/>
        <v>100</v>
      </c>
      <c r="V12" s="1567" t="s">
        <v>8</v>
      </c>
      <c r="W12" s="1568">
        <f t="shared" si="2"/>
        <v>100</v>
      </c>
      <c r="X12" s="1569"/>
      <c r="Y12" s="3333"/>
      <c r="Z12" s="1149" t="str">
        <f t="shared" si="7"/>
        <v>土地使用年限（年）</v>
      </c>
      <c r="AA12" s="1570">
        <f t="shared" si="3"/>
        <v>1</v>
      </c>
      <c r="AB12" s="1570">
        <f t="shared" si="4"/>
        <v>1</v>
      </c>
      <c r="AC12" s="1570">
        <f t="shared" si="5"/>
        <v>1</v>
      </c>
    </row>
    <row r="13" spans="1:30" ht="20.25">
      <c r="A13" s="2913"/>
      <c r="B13" s="2917" t="s">
        <v>2756</v>
      </c>
      <c r="C13" s="533">
        <v>2</v>
      </c>
      <c r="D13" s="254">
        <v>100</v>
      </c>
      <c r="E13" s="532">
        <v>1.2</v>
      </c>
      <c r="F13" s="254">
        <f>LOOKUP(E13,82:82,83:83)-LOOKUP(C13,82:82,83:83)+100</f>
        <v>110</v>
      </c>
      <c r="G13" s="533">
        <v>1.8</v>
      </c>
      <c r="H13" s="254">
        <f>LOOKUP(G13,82:82,83:83)-LOOKUP(C13,82:82,83:83)+100</f>
        <v>105</v>
      </c>
      <c r="I13" s="532">
        <v>1.8</v>
      </c>
      <c r="J13" s="254">
        <f>LOOKUP(I13,82:82,83:83)-LOOKUP(C13,82:82,83:83)+100</f>
        <v>105</v>
      </c>
      <c r="K13" s="534">
        <v>5</v>
      </c>
      <c r="L13" s="2138"/>
      <c r="M13" s="2130"/>
      <c r="N13" s="2130"/>
      <c r="O13" s="2139"/>
      <c r="P13" s="3387"/>
      <c r="Q13" s="1150" t="str">
        <f t="shared" si="6"/>
        <v>容积率</v>
      </c>
      <c r="R13" s="1567" t="s">
        <v>8</v>
      </c>
      <c r="S13" s="1568">
        <f t="shared" si="0"/>
        <v>110</v>
      </c>
      <c r="T13" s="1567" t="s">
        <v>8</v>
      </c>
      <c r="U13" s="1568">
        <f t="shared" si="1"/>
        <v>105</v>
      </c>
      <c r="V13" s="1567" t="s">
        <v>8</v>
      </c>
      <c r="W13" s="1568">
        <f t="shared" si="2"/>
        <v>105</v>
      </c>
      <c r="X13" s="1569"/>
      <c r="Y13" s="3333"/>
      <c r="Z13" s="1149" t="str">
        <f t="shared" si="7"/>
        <v>容积率</v>
      </c>
      <c r="AA13" s="1570">
        <f t="shared" si="3"/>
        <v>0.90909090909090906</v>
      </c>
      <c r="AB13" s="1570">
        <f t="shared" si="4"/>
        <v>0.95238095238095233</v>
      </c>
      <c r="AC13" s="1570">
        <f t="shared" si="5"/>
        <v>0.95238095238095233</v>
      </c>
    </row>
    <row r="14" spans="1:30" s="1219" customFormat="1" ht="21" thickBot="1">
      <c r="A14" s="2910"/>
      <c r="B14" s="2919" t="s">
        <v>2757</v>
      </c>
      <c r="C14" s="3207" t="s">
        <v>3293</v>
      </c>
      <c r="D14" s="537">
        <v>100</v>
      </c>
      <c r="E14" s="1373" t="s">
        <v>3294</v>
      </c>
      <c r="F14" s="254">
        <f>SUMIF(84:84,E14,85:85)-SUMIF(84:84,C14,85:85)+100</f>
        <v>120</v>
      </c>
      <c r="G14" s="3208" t="s">
        <v>3294</v>
      </c>
      <c r="H14" s="254">
        <f>SUMIF(84:84,G14,85:85)-SUMIF(84:84,C14,85:85)+100</f>
        <v>120</v>
      </c>
      <c r="I14" s="3209" t="s">
        <v>3294</v>
      </c>
      <c r="J14" s="254">
        <f>SUMIF(84:84,I14,85:85)-SUMIF(84:84,C14,85:85)+100</f>
        <v>120</v>
      </c>
      <c r="K14" s="530"/>
      <c r="L14" s="2133"/>
      <c r="M14" s="2130"/>
      <c r="N14" s="2130"/>
      <c r="O14" s="2135"/>
      <c r="P14" s="3387"/>
      <c r="Q14" s="1150" t="str">
        <f t="shared" si="6"/>
        <v>配建</v>
      </c>
      <c r="R14" s="1567" t="s">
        <v>8</v>
      </c>
      <c r="S14" s="1568">
        <f t="shared" si="0"/>
        <v>120</v>
      </c>
      <c r="T14" s="1567" t="s">
        <v>8</v>
      </c>
      <c r="U14" s="1568">
        <f t="shared" si="1"/>
        <v>120</v>
      </c>
      <c r="V14" s="1567" t="s">
        <v>8</v>
      </c>
      <c r="W14" s="1568">
        <f t="shared" si="2"/>
        <v>120</v>
      </c>
      <c r="X14" s="1569"/>
      <c r="Y14" s="3333"/>
      <c r="Z14" s="1149" t="str">
        <f t="shared" si="7"/>
        <v>配建</v>
      </c>
      <c r="AA14" s="1570">
        <f>D14/F14</f>
        <v>0.83333333333333337</v>
      </c>
      <c r="AB14" s="1570">
        <f>D14/H14</f>
        <v>0.83333333333333337</v>
      </c>
      <c r="AC14" s="1570">
        <f>D14/J14</f>
        <v>0.83333333333333337</v>
      </c>
    </row>
    <row r="15" spans="1:30" ht="20.25" hidden="1">
      <c r="A15" s="2914"/>
      <c r="B15" s="292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7"/>
      <c r="Q15" s="1150">
        <f t="shared" si="6"/>
        <v>111</v>
      </c>
      <c r="R15" s="1567" t="s">
        <v>8</v>
      </c>
      <c r="S15" s="1568">
        <f t="shared" si="0"/>
        <v>100</v>
      </c>
      <c r="T15" s="1567" t="s">
        <v>8</v>
      </c>
      <c r="U15" s="1568">
        <f t="shared" si="1"/>
        <v>100</v>
      </c>
      <c r="V15" s="1567" t="s">
        <v>8</v>
      </c>
      <c r="W15" s="1568">
        <f t="shared" si="2"/>
        <v>100</v>
      </c>
      <c r="X15" s="1569"/>
      <c r="Y15" s="3333"/>
      <c r="Z15" s="1149">
        <f t="shared" si="7"/>
        <v>111</v>
      </c>
      <c r="AA15" s="1570">
        <f>D15/F15</f>
        <v>1</v>
      </c>
      <c r="AB15" s="1570">
        <f>D15/H15</f>
        <v>1</v>
      </c>
      <c r="AC15" s="1570">
        <f>D15/J15</f>
        <v>1</v>
      </c>
    </row>
    <row r="16" spans="1:30" ht="21" hidden="1" thickBot="1">
      <c r="A16" s="2915"/>
      <c r="B16" s="292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7"/>
      <c r="Q16" s="1150">
        <f t="shared" si="6"/>
        <v>111</v>
      </c>
      <c r="R16" s="1567" t="s">
        <v>8</v>
      </c>
      <c r="S16" s="1568">
        <f t="shared" si="0"/>
        <v>100</v>
      </c>
      <c r="T16" s="1567" t="s">
        <v>8</v>
      </c>
      <c r="U16" s="1568">
        <f t="shared" si="1"/>
        <v>100</v>
      </c>
      <c r="V16" s="1567" t="s">
        <v>8</v>
      </c>
      <c r="W16" s="1568">
        <f t="shared" si="2"/>
        <v>100</v>
      </c>
      <c r="X16" s="1569"/>
      <c r="Y16" s="3333"/>
      <c r="Z16" s="1149">
        <f t="shared" si="7"/>
        <v>111</v>
      </c>
      <c r="AA16" s="1570">
        <f>D16/F16</f>
        <v>1</v>
      </c>
      <c r="AB16" s="1570">
        <f>D16/H16</f>
        <v>1</v>
      </c>
      <c r="AC16" s="1570">
        <f>D16/J16</f>
        <v>1</v>
      </c>
    </row>
    <row r="17" spans="1:29" ht="142.5">
      <c r="A17" s="2907" t="s">
        <v>2752</v>
      </c>
      <c r="B17" s="577" t="s">
        <v>295</v>
      </c>
      <c r="C17" s="547" t="str">
        <f>估价对象房地状况!C15</f>
        <v>估价对象周边居住用地比例较大、居住小区规模较大和社区发展完善程度较好，有欧景花都、御景园等居住小区，综合评价居住社区成熟度较好。</v>
      </c>
      <c r="D17" s="550">
        <v>100</v>
      </c>
      <c r="E17" s="3200" t="s">
        <v>3219</v>
      </c>
      <c r="F17" s="548">
        <f>SUMIF(90:90,E18,91:91)-SUMIF(90:90,C18,91:91)+100</f>
        <v>103</v>
      </c>
      <c r="G17" s="3202" t="s">
        <v>3268</v>
      </c>
      <c r="H17" s="548">
        <f>SUMIF(90:90,G18,91:91)-SUMIF(90:90,C18,91:91)+100</f>
        <v>100</v>
      </c>
      <c r="I17" s="3202" t="s">
        <v>3228</v>
      </c>
      <c r="J17" s="548">
        <f>SUMIF(90:90,I18,91:91)-SUMIF(90:90,C18,91:91)+100</f>
        <v>100</v>
      </c>
      <c r="K17" s="534">
        <v>3</v>
      </c>
      <c r="L17" s="2140"/>
      <c r="M17" s="2130"/>
      <c r="N17" s="2130"/>
      <c r="O17" s="2139"/>
      <c r="P17" s="3422" t="s">
        <v>539</v>
      </c>
      <c r="Q17" s="1571" t="str">
        <f t="shared" si="6"/>
        <v>居住社区成熟度</v>
      </c>
      <c r="R17" s="1572" t="s">
        <v>8</v>
      </c>
      <c r="S17" s="1573">
        <f t="shared" si="0"/>
        <v>103</v>
      </c>
      <c r="T17" s="1572" t="s">
        <v>8</v>
      </c>
      <c r="U17" s="1573">
        <f t="shared" si="1"/>
        <v>100</v>
      </c>
      <c r="V17" s="1572" t="s">
        <v>8</v>
      </c>
      <c r="W17" s="1573">
        <f t="shared" si="2"/>
        <v>100</v>
      </c>
      <c r="X17" s="1566"/>
      <c r="Y17" s="3422" t="s">
        <v>539</v>
      </c>
      <c r="Z17" s="1574" t="str">
        <f t="shared" si="7"/>
        <v>居住社区成熟度</v>
      </c>
      <c r="AA17" s="1575">
        <f t="shared" si="3"/>
        <v>0.970873786407767</v>
      </c>
      <c r="AB17" s="1575">
        <f t="shared" si="4"/>
        <v>1</v>
      </c>
      <c r="AC17" s="1575">
        <f t="shared" si="5"/>
        <v>1</v>
      </c>
    </row>
    <row r="18" spans="1:29" ht="20.25">
      <c r="A18" s="531"/>
      <c r="B18" s="552"/>
      <c r="C18" s="553" t="s">
        <v>3186</v>
      </c>
      <c r="D18" s="556"/>
      <c r="E18" s="553" t="s">
        <v>3187</v>
      </c>
      <c r="F18" s="554"/>
      <c r="G18" s="553" t="s">
        <v>3186</v>
      </c>
      <c r="H18" s="558"/>
      <c r="I18" s="557" t="s">
        <v>3186</v>
      </c>
      <c r="J18" s="554"/>
      <c r="K18" s="530"/>
      <c r="L18" s="2140"/>
      <c r="M18" s="2130"/>
      <c r="N18" s="2130"/>
      <c r="O18" s="2139"/>
      <c r="P18" s="3423"/>
      <c r="Q18" s="1571"/>
      <c r="R18" s="1572"/>
      <c r="S18" s="1573"/>
      <c r="T18" s="1572"/>
      <c r="U18" s="1573"/>
      <c r="V18" s="1572"/>
      <c r="W18" s="1573"/>
      <c r="X18" s="1566"/>
      <c r="Y18" s="3423"/>
      <c r="Z18" s="1574"/>
      <c r="AA18" s="1575">
        <v>1</v>
      </c>
      <c r="AB18" s="1575">
        <v>1</v>
      </c>
      <c r="AC18" s="1575">
        <v>1</v>
      </c>
    </row>
    <row r="19" spans="1:29" ht="20.25" hidden="1">
      <c r="A19" s="531"/>
      <c r="B19" s="559" t="s">
        <v>540</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0"/>
      <c r="M19" s="2130"/>
      <c r="N19" s="2130"/>
      <c r="O19" s="2139"/>
      <c r="P19" s="3423"/>
      <c r="Q19" s="1571" t="str">
        <f>B19</f>
        <v>商业繁华度</v>
      </c>
      <c r="R19" s="1572" t="s">
        <v>8</v>
      </c>
      <c r="S19" s="1573">
        <f>F19</f>
        <v>100</v>
      </c>
      <c r="T19" s="1572" t="s">
        <v>8</v>
      </c>
      <c r="U19" s="1573">
        <f>H19</f>
        <v>100</v>
      </c>
      <c r="V19" s="1572" t="s">
        <v>8</v>
      </c>
      <c r="W19" s="1573">
        <f>J19</f>
        <v>100</v>
      </c>
      <c r="X19" s="1566"/>
      <c r="Y19" s="3423"/>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0"/>
      <c r="M20" s="2130"/>
      <c r="N20" s="2130"/>
      <c r="O20" s="2139"/>
      <c r="P20" s="3423"/>
      <c r="Q20" s="1571"/>
      <c r="R20" s="1572"/>
      <c r="S20" s="1573"/>
      <c r="T20" s="1572"/>
      <c r="U20" s="1573"/>
      <c r="V20" s="1572"/>
      <c r="W20" s="1573"/>
      <c r="X20" s="1566"/>
      <c r="Y20" s="3423"/>
      <c r="Z20" s="1574"/>
      <c r="AA20" s="1575">
        <v>1</v>
      </c>
      <c r="AB20" s="1575">
        <v>1</v>
      </c>
      <c r="AC20" s="1575">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3"/>
      <c r="Q21" s="1571" t="str">
        <f>B21</f>
        <v>办公集聚程度</v>
      </c>
      <c r="R21" s="1572" t="s">
        <v>8</v>
      </c>
      <c r="S21" s="1573">
        <f>F21</f>
        <v>100</v>
      </c>
      <c r="T21" s="1572" t="s">
        <v>8</v>
      </c>
      <c r="U21" s="1573">
        <f>H21</f>
        <v>100</v>
      </c>
      <c r="V21" s="1572" t="s">
        <v>8</v>
      </c>
      <c r="W21" s="1573">
        <f>J21</f>
        <v>100</v>
      </c>
      <c r="X21" s="1566"/>
      <c r="Y21" s="342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23"/>
      <c r="Q22" s="1571"/>
      <c r="R22" s="1572"/>
      <c r="S22" s="1573"/>
      <c r="T22" s="1572"/>
      <c r="U22" s="1573"/>
      <c r="V22" s="1572"/>
      <c r="W22" s="1573"/>
      <c r="X22" s="1566"/>
      <c r="Y22" s="3423"/>
      <c r="Z22" s="1574"/>
      <c r="AA22" s="1575">
        <v>1</v>
      </c>
      <c r="AB22" s="1575">
        <v>1</v>
      </c>
      <c r="AC22" s="1575">
        <v>1</v>
      </c>
    </row>
    <row r="23" spans="1:29" ht="114">
      <c r="A23" s="531"/>
      <c r="B23" s="559" t="s">
        <v>542</v>
      </c>
      <c r="C23" s="572" t="str">
        <f>估价对象房地状况!C18</f>
        <v>估价对象周边道路较密集，公共交通通达情况较好，有211路，泰兴1、2路等公共交通，停车较便捷，综合评价交通便捷度较好。</v>
      </c>
      <c r="D23" s="562">
        <v>100</v>
      </c>
      <c r="E23" s="563" t="s">
        <v>3223</v>
      </c>
      <c r="F23" s="564">
        <f>SUMIF(96:96,E24,97:97)-SUMIF(96:96,C24,97:97)+100</f>
        <v>100</v>
      </c>
      <c r="G23" s="563" t="s">
        <v>3229</v>
      </c>
      <c r="H23" s="558">
        <f>SUMIF(96:96,G24,97:97)-SUMIF(96:96,C24,97:97)+100</f>
        <v>100</v>
      </c>
      <c r="I23" s="563" t="s">
        <v>3229</v>
      </c>
      <c r="J23" s="558">
        <f>SUMIF(96:96,I24,97:97)-SUMIF(96:96,C24,97:97)+100</f>
        <v>100</v>
      </c>
      <c r="K23" s="534"/>
      <c r="L23" s="2140"/>
      <c r="M23" s="2130"/>
      <c r="N23" s="2130"/>
      <c r="O23" s="2139"/>
      <c r="P23" s="3423"/>
      <c r="Q23" s="1571" t="str">
        <f>B23</f>
        <v>交通便捷度</v>
      </c>
      <c r="R23" s="1572" t="s">
        <v>8</v>
      </c>
      <c r="S23" s="1573">
        <f>F23</f>
        <v>100</v>
      </c>
      <c r="T23" s="1572" t="s">
        <v>8</v>
      </c>
      <c r="U23" s="1573">
        <f>H23</f>
        <v>100</v>
      </c>
      <c r="V23" s="1572" t="s">
        <v>8</v>
      </c>
      <c r="W23" s="1573">
        <f>J23</f>
        <v>100</v>
      </c>
      <c r="X23" s="1566"/>
      <c r="Y23" s="3423"/>
      <c r="Z23" s="1574" t="str">
        <f>Q23</f>
        <v>交通便捷度</v>
      </c>
      <c r="AA23" s="1575">
        <f t="shared" si="3"/>
        <v>1</v>
      </c>
      <c r="AB23" s="1575">
        <f t="shared" si="4"/>
        <v>1</v>
      </c>
      <c r="AC23" s="1575">
        <f t="shared" si="5"/>
        <v>1</v>
      </c>
    </row>
    <row r="24" spans="1:29" ht="20.25">
      <c r="A24" s="531"/>
      <c r="B24" s="577"/>
      <c r="C24" s="553" t="s">
        <v>3186</v>
      </c>
      <c r="D24" s="556"/>
      <c r="E24" s="553" t="s">
        <v>3186</v>
      </c>
      <c r="F24" s="554"/>
      <c r="G24" s="553" t="s">
        <v>3186</v>
      </c>
      <c r="H24" s="554"/>
      <c r="I24" s="553" t="s">
        <v>3186</v>
      </c>
      <c r="J24" s="554"/>
      <c r="K24" s="530"/>
      <c r="L24" s="2140"/>
      <c r="M24" s="2130"/>
      <c r="N24" s="2130"/>
      <c r="O24" s="2139"/>
      <c r="P24" s="3423"/>
      <c r="Q24" s="1571"/>
      <c r="R24" s="1572"/>
      <c r="S24" s="1573"/>
      <c r="T24" s="1572"/>
      <c r="U24" s="1573"/>
      <c r="V24" s="1572"/>
      <c r="W24" s="1573"/>
      <c r="X24" s="1566"/>
      <c r="Y24" s="3423"/>
      <c r="Z24" s="1574"/>
      <c r="AA24" s="1575">
        <v>1</v>
      </c>
      <c r="AB24" s="1575">
        <v>1</v>
      </c>
      <c r="AC24" s="1575">
        <v>1</v>
      </c>
    </row>
    <row r="25" spans="1:29" ht="42.75">
      <c r="A25" s="514"/>
      <c r="B25" s="258" t="s">
        <v>543</v>
      </c>
      <c r="C25" s="572" t="str">
        <f>估价对象房地状况!C19</f>
        <v>周边多为住宅用地，区域土地利用方向较一致。</v>
      </c>
      <c r="D25" s="562">
        <v>100</v>
      </c>
      <c r="E25" s="3201" t="s">
        <v>3222</v>
      </c>
      <c r="F25" s="564">
        <f>SUMIF(98:98,E26,99:99)-SUMIF(98:98,C26,99:99)+100</f>
        <v>100</v>
      </c>
      <c r="G25" s="3199" t="s">
        <v>3222</v>
      </c>
      <c r="H25" s="558">
        <f>SUMIF(98:98,G26,99:99)-SUMIF(98:98,C26,99:99)+100</f>
        <v>100</v>
      </c>
      <c r="I25" s="3199" t="s">
        <v>3222</v>
      </c>
      <c r="J25" s="558">
        <f>SUMIF(98:98,I26,99:99)-SUMIF(98:98,C26,99:99)+100</f>
        <v>100</v>
      </c>
      <c r="K25" s="534"/>
      <c r="L25" s="2140"/>
      <c r="M25" s="2130"/>
      <c r="N25" s="2130"/>
      <c r="O25" s="2139"/>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0.25">
      <c r="A26" s="514"/>
      <c r="B26" s="1006"/>
      <c r="C26" s="553" t="s">
        <v>3220</v>
      </c>
      <c r="D26" s="556"/>
      <c r="E26" s="553" t="s">
        <v>3220</v>
      </c>
      <c r="F26" s="554"/>
      <c r="G26" s="553" t="s">
        <v>3220</v>
      </c>
      <c r="H26" s="554"/>
      <c r="I26" s="553" t="s">
        <v>3220</v>
      </c>
      <c r="J26" s="554"/>
      <c r="K26" s="530"/>
      <c r="L26" s="2140"/>
      <c r="M26" s="2130"/>
      <c r="N26" s="2130"/>
      <c r="O26" s="2139"/>
      <c r="P26" s="3423"/>
      <c r="Q26" s="1571"/>
      <c r="R26" s="1572"/>
      <c r="S26" s="1573"/>
      <c r="T26" s="1572"/>
      <c r="U26" s="1573"/>
      <c r="V26" s="1572"/>
      <c r="W26" s="1573"/>
      <c r="X26" s="1566"/>
      <c r="Y26" s="3423"/>
      <c r="Z26" s="1574"/>
      <c r="AA26" s="1575"/>
      <c r="AB26" s="1575"/>
      <c r="AC26" s="1575"/>
    </row>
    <row r="27" spans="1:29" ht="99.75">
      <c r="A27" s="514"/>
      <c r="B27" s="577" t="s">
        <v>544</v>
      </c>
      <c r="C27" s="560" t="str">
        <f>估价对象房地状况!C20</f>
        <v>区域自然环境：龙河湾公园；人文环境：无博物馆、展览馆等人文景观；综合评价环境状况一般。</v>
      </c>
      <c r="D27" s="562">
        <v>100</v>
      </c>
      <c r="E27" s="3201" t="s">
        <v>3224</v>
      </c>
      <c r="F27" s="558">
        <f>SUMIF(100:100,E28,101:101)-SUMIF(100:100,C28,101:101)+100</f>
        <v>103</v>
      </c>
      <c r="G27" s="3201" t="s">
        <v>3230</v>
      </c>
      <c r="H27" s="558">
        <f>SUMIF(100:100,G28,101:101)-SUMIF(100:100,C28,101:101)+100</f>
        <v>103</v>
      </c>
      <c r="I27" s="3201" t="s">
        <v>3230</v>
      </c>
      <c r="J27" s="558">
        <f>SUMIF(100:100,I28,101:101)-SUMIF(100:100,C28,101:101)+100</f>
        <v>103</v>
      </c>
      <c r="K27" s="534">
        <v>3</v>
      </c>
      <c r="L27" s="2140"/>
      <c r="M27" s="2130"/>
      <c r="N27" s="2130"/>
      <c r="O27" s="2139"/>
      <c r="P27" s="3423"/>
      <c r="Q27" s="1571" t="str">
        <f t="shared" si="8"/>
        <v>自然及人文环境状况</v>
      </c>
      <c r="R27" s="1572" t="s">
        <v>8</v>
      </c>
      <c r="S27" s="1573">
        <f>F27</f>
        <v>103</v>
      </c>
      <c r="T27" s="1572" t="s">
        <v>8</v>
      </c>
      <c r="U27" s="1573">
        <f>H27</f>
        <v>103</v>
      </c>
      <c r="V27" s="1572" t="s">
        <v>8</v>
      </c>
      <c r="W27" s="1573">
        <f>J27</f>
        <v>103</v>
      </c>
      <c r="X27" s="1566"/>
      <c r="Y27" s="3423"/>
      <c r="Z27" s="1574" t="str">
        <f>Q27</f>
        <v>自然及人文环境状况</v>
      </c>
      <c r="AA27" s="1575">
        <f t="shared" si="3"/>
        <v>0.970873786407767</v>
      </c>
      <c r="AB27" s="1575">
        <f t="shared" si="4"/>
        <v>0.970873786407767</v>
      </c>
      <c r="AC27" s="1575">
        <f t="shared" si="5"/>
        <v>0.970873786407767</v>
      </c>
    </row>
    <row r="28" spans="1:29" ht="20.25">
      <c r="A28" s="514"/>
      <c r="B28" s="565"/>
      <c r="C28" s="553" t="s">
        <v>3220</v>
      </c>
      <c r="D28" s="556"/>
      <c r="E28" s="553" t="s">
        <v>3186</v>
      </c>
      <c r="F28" s="554"/>
      <c r="G28" s="553" t="s">
        <v>3186</v>
      </c>
      <c r="H28" s="554"/>
      <c r="I28" s="553" t="s">
        <v>3186</v>
      </c>
      <c r="J28" s="554"/>
      <c r="K28" s="530"/>
      <c r="L28" s="2140"/>
      <c r="M28" s="2130"/>
      <c r="N28" s="2130"/>
      <c r="O28" s="2139"/>
      <c r="P28" s="3423"/>
      <c r="Q28" s="1571"/>
      <c r="R28" s="1572"/>
      <c r="S28" s="1573"/>
      <c r="T28" s="1572"/>
      <c r="U28" s="1573"/>
      <c r="V28" s="1572"/>
      <c r="W28" s="1573"/>
      <c r="X28" s="1566"/>
      <c r="Y28" s="3423"/>
      <c r="Z28" s="1574"/>
      <c r="AA28" s="1575">
        <v>1</v>
      </c>
      <c r="AB28" s="1575">
        <v>1</v>
      </c>
      <c r="AC28" s="1575">
        <v>1</v>
      </c>
    </row>
    <row r="29" spans="1:29" s="1219" customFormat="1" ht="185.25">
      <c r="A29" s="576"/>
      <c r="B29" s="2589" t="s">
        <v>2547</v>
      </c>
      <c r="C29" s="572" t="str">
        <f>估价对象房地状况!C21</f>
        <v>估价对象所在区域2公里内有：银行（中国工商银行），购物（碧云商业广场、佰泰百货），医院（泰兴市肿瘤医院），学校（泰兴市第二高级中学、泰兴市鼓楼小学）等，公共配套设施齐备情况较好。</v>
      </c>
      <c r="D29" s="562">
        <v>100</v>
      </c>
      <c r="E29" s="563" t="s">
        <v>3227</v>
      </c>
      <c r="F29" s="558">
        <f>SUMIF(102:102,E30,103:103)-SUMIF(102:102,C30,103:103)+100</f>
        <v>100</v>
      </c>
      <c r="G29" s="563" t="s">
        <v>3231</v>
      </c>
      <c r="H29" s="558">
        <f>SUMIF(102:102,G30,103:103)-SUMIF(102:102,C30,103:103)+100</f>
        <v>100</v>
      </c>
      <c r="I29" s="563" t="s">
        <v>3231</v>
      </c>
      <c r="J29" s="558">
        <f>SUMIF(102:102,I30,103:103)-SUMIF(102:102,C30,103:103)+100</f>
        <v>100</v>
      </c>
      <c r="K29" s="534"/>
      <c r="L29" s="2133"/>
      <c r="M29" s="2130"/>
      <c r="N29" s="2130"/>
      <c r="O29" s="2135"/>
      <c r="P29" s="3423"/>
      <c r="Q29" s="1150" t="str">
        <f t="shared" si="8"/>
        <v>公共配套设施</v>
      </c>
      <c r="R29" s="1567" t="s">
        <v>8</v>
      </c>
      <c r="S29" s="1568">
        <f>F29</f>
        <v>100</v>
      </c>
      <c r="T29" s="1567" t="s">
        <v>8</v>
      </c>
      <c r="U29" s="1568">
        <f>H29</f>
        <v>100</v>
      </c>
      <c r="V29" s="1567" t="s">
        <v>8</v>
      </c>
      <c r="W29" s="1568">
        <f>J29</f>
        <v>100</v>
      </c>
      <c r="X29" s="1569"/>
      <c r="Y29" s="3423"/>
      <c r="Z29" s="1149" t="str">
        <f>Q29</f>
        <v>公共配套设施</v>
      </c>
      <c r="AA29" s="1575">
        <f>D29/F29</f>
        <v>1</v>
      </c>
      <c r="AB29" s="1575">
        <f>D29/H29</f>
        <v>1</v>
      </c>
      <c r="AC29" s="1575">
        <f>D29/J29</f>
        <v>1</v>
      </c>
    </row>
    <row r="30" spans="1:29" s="1219" customFormat="1" ht="20.25">
      <c r="A30" s="576"/>
      <c r="B30" s="565"/>
      <c r="C30" s="578" t="s">
        <v>3186</v>
      </c>
      <c r="D30" s="556"/>
      <c r="E30" s="575" t="s">
        <v>3186</v>
      </c>
      <c r="F30" s="554"/>
      <c r="G30" s="575" t="s">
        <v>3186</v>
      </c>
      <c r="H30" s="554"/>
      <c r="I30" s="575" t="s">
        <v>3186</v>
      </c>
      <c r="J30" s="554"/>
      <c r="K30" s="530"/>
      <c r="L30" s="2133"/>
      <c r="M30" s="2130"/>
      <c r="N30" s="2130"/>
      <c r="O30" s="2135"/>
      <c r="P30" s="3423"/>
      <c r="Q30" s="1150"/>
      <c r="R30" s="1567"/>
      <c r="S30" s="1568"/>
      <c r="T30" s="1567"/>
      <c r="U30" s="1568"/>
      <c r="V30" s="1567"/>
      <c r="W30" s="1568"/>
      <c r="X30" s="1569"/>
      <c r="Y30" s="3423"/>
      <c r="Z30" s="1149"/>
      <c r="AA30" s="1575">
        <v>1</v>
      </c>
      <c r="AB30" s="1575">
        <v>1</v>
      </c>
      <c r="AC30" s="1575">
        <v>1</v>
      </c>
    </row>
    <row r="31" spans="1:29" s="1219" customFormat="1" ht="42.75">
      <c r="A31" s="576"/>
      <c r="B31" s="2589" t="s">
        <v>2548</v>
      </c>
      <c r="C31" s="572" t="str">
        <f>估价对象房地状况!C22</f>
        <v>估价对象所在区域基础设施水平达到“六通”。</v>
      </c>
      <c r="D31" s="562">
        <v>100</v>
      </c>
      <c r="E31" s="563" t="s">
        <v>3218</v>
      </c>
      <c r="F31" s="558">
        <f>SUMIF(104:104,E32,105:105)-SUMIF(104:104,C32,105:105)+100</f>
        <v>100</v>
      </c>
      <c r="G31" s="563" t="s">
        <v>3218</v>
      </c>
      <c r="H31" s="558">
        <f>SUMIF(104:104,G32,105:105)-SUMIF(104:104,C32,105:105)+100</f>
        <v>100</v>
      </c>
      <c r="I31" s="563" t="s">
        <v>3218</v>
      </c>
      <c r="J31" s="558">
        <f>SUMIF(104:104,I32,105:105)-SUMIF(104:104,C32,105:105)+100</f>
        <v>100</v>
      </c>
      <c r="K31" s="534"/>
      <c r="L31" s="2133"/>
      <c r="M31" s="2130"/>
      <c r="N31" s="2130"/>
      <c r="O31" s="2135"/>
      <c r="P31" s="3423"/>
      <c r="Q31" s="2576" t="str">
        <f t="shared" ref="Q31" si="9">B31</f>
        <v>基础设施水平</v>
      </c>
      <c r="R31" s="1567" t="s">
        <v>8</v>
      </c>
      <c r="S31" s="1568">
        <f>F31</f>
        <v>100</v>
      </c>
      <c r="T31" s="1567" t="s">
        <v>8</v>
      </c>
      <c r="U31" s="1568">
        <f>H31</f>
        <v>100</v>
      </c>
      <c r="V31" s="1567" t="s">
        <v>8</v>
      </c>
      <c r="W31" s="1568">
        <f>J31</f>
        <v>100</v>
      </c>
      <c r="X31" s="1569"/>
      <c r="Y31" s="3423"/>
      <c r="Z31" s="2573" t="str">
        <f>Q31</f>
        <v>基础设施水平</v>
      </c>
      <c r="AA31" s="1575">
        <f>D31/F31</f>
        <v>1</v>
      </c>
      <c r="AB31" s="1575">
        <f>D31/H31</f>
        <v>1</v>
      </c>
      <c r="AC31" s="1575">
        <f>D31/J31</f>
        <v>1</v>
      </c>
    </row>
    <row r="32" spans="1:29" s="1219" customFormat="1" ht="20.25">
      <c r="A32" s="576"/>
      <c r="B32" s="565"/>
      <c r="C32" s="578" t="s">
        <v>3193</v>
      </c>
      <c r="D32" s="556"/>
      <c r="E32" s="2590" t="s">
        <v>3193</v>
      </c>
      <c r="F32" s="554"/>
      <c r="G32" s="2590" t="s">
        <v>3193</v>
      </c>
      <c r="H32" s="554"/>
      <c r="I32" s="2590" t="s">
        <v>3193</v>
      </c>
      <c r="J32" s="554"/>
      <c r="K32" s="530"/>
      <c r="L32" s="2133"/>
      <c r="M32" s="2130"/>
      <c r="N32" s="2130"/>
      <c r="O32" s="2135"/>
      <c r="P32" s="3423"/>
      <c r="Q32" s="2576"/>
      <c r="R32" s="1567"/>
      <c r="S32" s="1568"/>
      <c r="T32" s="1567"/>
      <c r="U32" s="1568"/>
      <c r="V32" s="1567"/>
      <c r="W32" s="1568"/>
      <c r="X32" s="1569"/>
      <c r="Y32" s="3423"/>
      <c r="Z32" s="2573"/>
      <c r="AA32" s="1575">
        <v>1</v>
      </c>
      <c r="AB32" s="1575">
        <v>1</v>
      </c>
      <c r="AC32" s="1575">
        <v>1</v>
      </c>
    </row>
    <row r="33" spans="1:29" ht="20.25">
      <c r="A33" s="531"/>
      <c r="B33" s="565" t="s">
        <v>546</v>
      </c>
      <c r="C33" s="579" t="s">
        <v>3206</v>
      </c>
      <c r="D33" s="574">
        <v>100</v>
      </c>
      <c r="E33" s="582" t="s">
        <v>3206</v>
      </c>
      <c r="F33" s="539">
        <f>SUMIF(106:106,E33,107:107)-SUMIF(106:106,C33,107:107)+100</f>
        <v>100</v>
      </c>
      <c r="G33" s="579" t="s">
        <v>3206</v>
      </c>
      <c r="H33" s="539">
        <f>SUMIF(106:106,G33,107:107)-SUMIF(106:106,C33,107:107)+100</f>
        <v>100</v>
      </c>
      <c r="I33" s="579" t="s">
        <v>3206</v>
      </c>
      <c r="J33" s="539">
        <f>SUMIF(106:106,I33,107:107)-SUMIF(106:106,C33,107:107)+100</f>
        <v>100</v>
      </c>
      <c r="K33" s="534"/>
      <c r="L33" s="2140"/>
      <c r="M33" s="2130"/>
      <c r="N33" s="2130"/>
      <c r="O33" s="2139"/>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7">
      <c r="A34" s="531"/>
      <c r="B34" s="577" t="s">
        <v>547</v>
      </c>
      <c r="C34" s="3199" t="s">
        <v>3217</v>
      </c>
      <c r="D34" s="562">
        <v>100</v>
      </c>
      <c r="E34" s="3201" t="s">
        <v>3225</v>
      </c>
      <c r="F34" s="558">
        <f>SUMIF(108:108,E35,109:109)-SUMIF(108:108,C35,109:109)+100</f>
        <v>99</v>
      </c>
      <c r="G34" s="3199" t="s">
        <v>3226</v>
      </c>
      <c r="H34" s="558">
        <f>SUMIF(108:108,G35,109:109)-SUMIF(108:108,C35,109:109)+100</f>
        <v>99</v>
      </c>
      <c r="I34" s="3199" t="s">
        <v>3226</v>
      </c>
      <c r="J34" s="558">
        <f>SUMIF(108:108,I35,109:109)-SUMIF(108:108,C35,109:109)+100</f>
        <v>99</v>
      </c>
      <c r="K34" s="534">
        <v>1</v>
      </c>
      <c r="L34" s="2140"/>
      <c r="M34" s="2130"/>
      <c r="N34" s="2130"/>
      <c r="O34" s="2139"/>
      <c r="P34" s="3423"/>
      <c r="Q34" s="1571" t="str">
        <f t="shared" si="8"/>
        <v>毗邻道路的类型与等级</v>
      </c>
      <c r="R34" s="1572" t="s">
        <v>8</v>
      </c>
      <c r="S34" s="1573">
        <f t="shared" si="10"/>
        <v>99</v>
      </c>
      <c r="T34" s="1572" t="s">
        <v>8</v>
      </c>
      <c r="U34" s="1573">
        <f t="shared" si="11"/>
        <v>99</v>
      </c>
      <c r="V34" s="1572" t="s">
        <v>8</v>
      </c>
      <c r="W34" s="1573">
        <f t="shared" si="12"/>
        <v>99</v>
      </c>
      <c r="X34" s="1566"/>
      <c r="Y34" s="3423"/>
      <c r="Z34" s="1574" t="str">
        <f t="shared" si="13"/>
        <v>毗邻道路的类型与等级</v>
      </c>
      <c r="AA34" s="1575">
        <f t="shared" si="3"/>
        <v>1.0101010101010102</v>
      </c>
      <c r="AB34" s="1575">
        <f t="shared" si="4"/>
        <v>1.0101010101010102</v>
      </c>
      <c r="AC34" s="1575">
        <f t="shared" si="5"/>
        <v>1.0101010101010102</v>
      </c>
    </row>
    <row r="35" spans="1:29" ht="20.25">
      <c r="A35" s="531"/>
      <c r="B35" s="565"/>
      <c r="C35" s="553" t="s">
        <v>3213</v>
      </c>
      <c r="D35" s="556"/>
      <c r="E35" s="575" t="s">
        <v>3215</v>
      </c>
      <c r="F35" s="554"/>
      <c r="G35" s="553" t="s">
        <v>3215</v>
      </c>
      <c r="H35" s="554"/>
      <c r="I35" s="553" t="s">
        <v>3215</v>
      </c>
      <c r="J35" s="554"/>
      <c r="K35" s="580"/>
      <c r="L35" s="2140"/>
      <c r="M35" s="2130"/>
      <c r="N35" s="2130"/>
      <c r="O35" s="2139"/>
      <c r="P35" s="3423"/>
      <c r="Q35" s="1571"/>
      <c r="R35" s="1572"/>
      <c r="S35" s="1573"/>
      <c r="T35" s="1572"/>
      <c r="U35" s="1573"/>
      <c r="V35" s="1572"/>
      <c r="W35" s="1573"/>
      <c r="X35" s="1566"/>
      <c r="Y35" s="3423"/>
      <c r="Z35" s="1574"/>
      <c r="AA35" s="1575">
        <v>1</v>
      </c>
      <c r="AB35" s="1575">
        <v>1</v>
      </c>
      <c r="AC35" s="1575">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3"/>
      <c r="Q37" s="1571">
        <f t="shared" si="8"/>
        <v>111</v>
      </c>
      <c r="R37" s="1572" t="s">
        <v>8</v>
      </c>
      <c r="S37" s="1573">
        <f t="shared" si="10"/>
        <v>100</v>
      </c>
      <c r="T37" s="1572" t="s">
        <v>8</v>
      </c>
      <c r="U37" s="1573">
        <f t="shared" si="11"/>
        <v>100</v>
      </c>
      <c r="V37" s="1572" t="s">
        <v>8</v>
      </c>
      <c r="W37" s="1573">
        <f t="shared" si="12"/>
        <v>100</v>
      </c>
      <c r="X37" s="1566"/>
      <c r="Y37" s="3423"/>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4" t="s">
        <v>549</v>
      </c>
      <c r="Q38" s="1571">
        <f t="shared" si="8"/>
        <v>111</v>
      </c>
      <c r="R38" s="1572" t="s">
        <v>8</v>
      </c>
      <c r="S38" s="1573">
        <f t="shared" si="10"/>
        <v>100</v>
      </c>
      <c r="T38" s="1572" t="s">
        <v>8</v>
      </c>
      <c r="U38" s="1573">
        <f t="shared" si="11"/>
        <v>100</v>
      </c>
      <c r="V38" s="1572" t="s">
        <v>8</v>
      </c>
      <c r="W38" s="1573">
        <f t="shared" si="12"/>
        <v>100</v>
      </c>
      <c r="X38" s="1566"/>
      <c r="Y38" s="3425" t="s">
        <v>549</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5"/>
      <c r="Q39" s="1571">
        <f t="shared" si="8"/>
        <v>111</v>
      </c>
      <c r="R39" s="1576" t="s">
        <v>8</v>
      </c>
      <c r="S39" s="1577">
        <f t="shared" si="10"/>
        <v>100</v>
      </c>
      <c r="T39" s="1576" t="s">
        <v>8</v>
      </c>
      <c r="U39" s="1577">
        <f t="shared" si="11"/>
        <v>100</v>
      </c>
      <c r="V39" s="1576" t="s">
        <v>8</v>
      </c>
      <c r="W39" s="1577">
        <f t="shared" si="12"/>
        <v>100</v>
      </c>
      <c r="X39" s="1578"/>
      <c r="Y39" s="3425"/>
      <c r="Z39" s="1579">
        <f t="shared" si="13"/>
        <v>111</v>
      </c>
      <c r="AA39" s="1575">
        <f t="shared" si="3"/>
        <v>1</v>
      </c>
      <c r="AB39" s="1575">
        <f t="shared" si="4"/>
        <v>1</v>
      </c>
      <c r="AC39" s="1575">
        <f t="shared" si="5"/>
        <v>1</v>
      </c>
    </row>
    <row r="40" spans="1:29" ht="20.25">
      <c r="A40" s="2905" t="s">
        <v>2753</v>
      </c>
      <c r="B40" s="594" t="s">
        <v>551</v>
      </c>
      <c r="C40" s="595">
        <f>'数据-基础表'!A3</f>
        <v>56910</v>
      </c>
      <c r="D40" s="596">
        <v>100</v>
      </c>
      <c r="E40" s="595">
        <v>65649</v>
      </c>
      <c r="F40" s="596">
        <f>LOOKUP(E40,119:119,120:120)-LOOKUP(C40,119:119,120:120)+100</f>
        <v>101</v>
      </c>
      <c r="G40" s="595">
        <v>44717</v>
      </c>
      <c r="H40" s="596">
        <f>LOOKUP(G40,119:119,120:120)-LOOKUP(C40,119:119,120:120)+100</f>
        <v>99</v>
      </c>
      <c r="I40" s="597">
        <v>50868</v>
      </c>
      <c r="J40" s="596">
        <f>LOOKUP(I40,119:119,120:120)-LOOKUP(C40,119:119,120:120)+100</f>
        <v>100</v>
      </c>
      <c r="K40" s="580"/>
      <c r="L40" s="2140"/>
      <c r="M40" s="2130"/>
      <c r="N40" s="2130"/>
      <c r="O40" s="2139"/>
      <c r="P40" s="3425"/>
      <c r="Q40" s="1571" t="str">
        <f>B40</f>
        <v>宗地面积</v>
      </c>
      <c r="R40" s="1572" t="s">
        <v>8</v>
      </c>
      <c r="S40" s="1573">
        <f t="shared" si="10"/>
        <v>101</v>
      </c>
      <c r="T40" s="1572" t="s">
        <v>8</v>
      </c>
      <c r="U40" s="1573">
        <f t="shared" si="11"/>
        <v>99</v>
      </c>
      <c r="V40" s="1572" t="s">
        <v>8</v>
      </c>
      <c r="W40" s="1573">
        <f t="shared" si="12"/>
        <v>100</v>
      </c>
      <c r="X40" s="1566"/>
      <c r="Y40" s="3425"/>
      <c r="Z40" s="1574" t="str">
        <f t="shared" si="13"/>
        <v>宗地面积</v>
      </c>
      <c r="AA40" s="1575">
        <f t="shared" si="3"/>
        <v>0.99009900990099009</v>
      </c>
      <c r="AB40" s="1575">
        <f t="shared" si="4"/>
        <v>1.0101010101010102</v>
      </c>
      <c r="AC40" s="1575">
        <f t="shared" si="5"/>
        <v>1</v>
      </c>
    </row>
    <row r="41" spans="1:29" ht="20.25">
      <c r="A41" s="593"/>
      <c r="B41" s="526" t="s">
        <v>552</v>
      </c>
      <c r="C41" s="598" t="s">
        <v>3189</v>
      </c>
      <c r="D41" s="539">
        <v>100</v>
      </c>
      <c r="E41" s="598" t="s">
        <v>3189</v>
      </c>
      <c r="F41" s="539">
        <f>SUMIF(121:121,E41,122:122)-SUMIF(121:121,C41,122:122)+100</f>
        <v>100</v>
      </c>
      <c r="G41" s="598" t="s">
        <v>3189</v>
      </c>
      <c r="H41" s="539">
        <f>SUMIF(121:121,G41,122:122)-SUMIF(121:121,C41,122:122)+100</f>
        <v>100</v>
      </c>
      <c r="I41" s="598" t="s">
        <v>3189</v>
      </c>
      <c r="J41" s="539">
        <f>SUMIF(121:121,I41,122:122)-SUMIF(121:121,C41,122:122)+100</f>
        <v>100</v>
      </c>
      <c r="K41" s="583"/>
      <c r="L41" s="2140"/>
      <c r="M41" s="2130"/>
      <c r="N41" s="2130"/>
      <c r="O41" s="2139"/>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19" customFormat="1" ht="20.25">
      <c r="A43" s="599"/>
      <c r="B43" s="1893" t="s">
        <v>2424</v>
      </c>
      <c r="C43" s="600" t="s">
        <v>3197</v>
      </c>
      <c r="D43" s="254">
        <v>100</v>
      </c>
      <c r="E43" s="600" t="s">
        <v>3197</v>
      </c>
      <c r="F43" s="539">
        <f>SUMIF(125:125,E43,126:126)-SUMIF(125:125,C43,126:126)+100</f>
        <v>100</v>
      </c>
      <c r="G43" s="600" t="s">
        <v>3197</v>
      </c>
      <c r="H43" s="539">
        <f>SUMIF(125:125,G43,126:126)-SUMIF(125:125,C43,126:126)+100</f>
        <v>100</v>
      </c>
      <c r="I43" s="600" t="s">
        <v>3197</v>
      </c>
      <c r="J43" s="539">
        <f>SUMIF(125:125,I43,126:126)-SUMIF(125:125,C43,126:126)+100</f>
        <v>100</v>
      </c>
      <c r="K43" s="583"/>
      <c r="L43" s="2133"/>
      <c r="M43" s="2130"/>
      <c r="N43" s="2130"/>
      <c r="O43" s="2135"/>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49" t="str">
        <f t="shared" si="13"/>
        <v>宗地开发程度</v>
      </c>
      <c r="AA43" s="1570">
        <f t="shared" si="3"/>
        <v>1</v>
      </c>
      <c r="AB43" s="1570">
        <f t="shared" si="4"/>
        <v>1</v>
      </c>
      <c r="AC43" s="1570">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0"/>
      <c r="M44" s="2130"/>
      <c r="N44" s="2130"/>
      <c r="O44" s="2139"/>
      <c r="P44" s="3425" t="s">
        <v>549</v>
      </c>
      <c r="Q44" s="1571" t="str">
        <f t="shared" si="14"/>
        <v>工程地质条件</v>
      </c>
      <c r="R44" s="1572" t="s">
        <v>8</v>
      </c>
      <c r="S44" s="1573">
        <f t="shared" si="10"/>
        <v>100</v>
      </c>
      <c r="T44" s="1572" t="s">
        <v>8</v>
      </c>
      <c r="U44" s="1573">
        <f t="shared" si="11"/>
        <v>100</v>
      </c>
      <c r="V44" s="1572" t="s">
        <v>8</v>
      </c>
      <c r="W44" s="1573">
        <f t="shared" si="12"/>
        <v>100</v>
      </c>
      <c r="X44" s="1566"/>
      <c r="Y44" s="3425" t="s">
        <v>549</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5"/>
      <c r="Q45" s="1571">
        <f t="shared" si="14"/>
        <v>111</v>
      </c>
      <c r="R45" s="1572" t="s">
        <v>8</v>
      </c>
      <c r="S45" s="1573">
        <f t="shared" si="10"/>
        <v>100</v>
      </c>
      <c r="T45" s="1572" t="s">
        <v>8</v>
      </c>
      <c r="U45" s="1573">
        <f t="shared" si="11"/>
        <v>100</v>
      </c>
      <c r="V45" s="1572" t="s">
        <v>8</v>
      </c>
      <c r="W45" s="1573">
        <f t="shared" si="12"/>
        <v>100</v>
      </c>
      <c r="X45" s="1566"/>
      <c r="Y45" s="3425"/>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5"/>
      <c r="Q46" s="1571">
        <f t="shared" si="14"/>
        <v>111</v>
      </c>
      <c r="R46" s="1572" t="s">
        <v>8</v>
      </c>
      <c r="S46" s="1573">
        <f t="shared" si="10"/>
        <v>100</v>
      </c>
      <c r="T46" s="1572" t="s">
        <v>8</v>
      </c>
      <c r="U46" s="1573">
        <f t="shared" si="11"/>
        <v>100</v>
      </c>
      <c r="V46" s="1572" t="s">
        <v>8</v>
      </c>
      <c r="W46" s="1573">
        <f t="shared" si="12"/>
        <v>100</v>
      </c>
      <c r="X46" s="1566"/>
      <c r="Y46" s="3425"/>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5"/>
      <c r="Q47" s="1571">
        <f t="shared" si="14"/>
        <v>111</v>
      </c>
      <c r="R47" s="1576" t="s">
        <v>8</v>
      </c>
      <c r="S47" s="1577">
        <f t="shared" si="10"/>
        <v>100</v>
      </c>
      <c r="T47" s="1576" t="s">
        <v>8</v>
      </c>
      <c r="U47" s="1577">
        <f t="shared" si="11"/>
        <v>100</v>
      </c>
      <c r="V47" s="1576" t="s">
        <v>8</v>
      </c>
      <c r="W47" s="1577">
        <f t="shared" si="12"/>
        <v>100</v>
      </c>
      <c r="X47" s="1578"/>
      <c r="Y47" s="3425"/>
      <c r="Z47" s="1579">
        <f t="shared" si="13"/>
        <v>111</v>
      </c>
      <c r="AA47" s="1575">
        <f t="shared" si="3"/>
        <v>1</v>
      </c>
      <c r="AB47" s="1575">
        <f t="shared" si="4"/>
        <v>1</v>
      </c>
      <c r="AC47" s="1575">
        <f t="shared" si="5"/>
        <v>1</v>
      </c>
    </row>
    <row r="48" spans="1:29" ht="20.25">
      <c r="A48" s="606" t="s">
        <v>555</v>
      </c>
      <c r="B48" s="607" t="s">
        <v>3199</v>
      </c>
      <c r="C48" s="608" t="s">
        <v>1</v>
      </c>
      <c r="D48" s="609"/>
      <c r="E48" s="610">
        <v>5439</v>
      </c>
      <c r="F48" s="611"/>
      <c r="G48" s="612">
        <v>5390</v>
      </c>
      <c r="H48" s="613"/>
      <c r="I48" s="610">
        <v>5177</v>
      </c>
      <c r="J48" s="613"/>
      <c r="K48" s="1339"/>
      <c r="L48" s="2142"/>
      <c r="M48" s="2130"/>
      <c r="N48" s="2130"/>
      <c r="O48" s="2143"/>
      <c r="P48" s="3387" t="str">
        <f>A48</f>
        <v>成交单价</v>
      </c>
      <c r="Q48" s="3387"/>
      <c r="R48" s="3388">
        <f>E48</f>
        <v>5439</v>
      </c>
      <c r="S48" s="3388"/>
      <c r="T48" s="3388">
        <f>G48</f>
        <v>5390</v>
      </c>
      <c r="U48" s="3388"/>
      <c r="V48" s="3388">
        <f>I48</f>
        <v>5177</v>
      </c>
      <c r="W48" s="3388"/>
      <c r="X48" s="1558"/>
      <c r="Y48" s="1580"/>
      <c r="Z48" s="1558"/>
      <c r="AA48" s="1558"/>
      <c r="AB48" s="1558"/>
      <c r="AC48" s="1558"/>
    </row>
    <row r="49" spans="1:29" ht="21" thickBot="1">
      <c r="A49" s="614" t="s">
        <v>2691</v>
      </c>
      <c r="B49" s="615"/>
      <c r="C49" s="616">
        <f>R50</f>
        <v>4176</v>
      </c>
      <c r="D49" s="617"/>
      <c r="E49" s="616">
        <f>R49</f>
        <v>4004</v>
      </c>
      <c r="F49" s="618"/>
      <c r="G49" s="619">
        <f>T49</f>
        <v>4369</v>
      </c>
      <c r="H49" s="617"/>
      <c r="I49" s="616">
        <f>V49</f>
        <v>4154</v>
      </c>
      <c r="J49" s="617"/>
      <c r="K49" s="1340"/>
      <c r="L49" s="2142"/>
      <c r="M49" s="2130"/>
      <c r="N49" s="2130"/>
      <c r="O49" s="2143"/>
      <c r="P49" s="3387" t="str">
        <f>A49</f>
        <v>比较价格（元/平方米）</v>
      </c>
      <c r="Q49" s="3387"/>
      <c r="R49" s="3389">
        <f>ROUND(PRODUCT(R48,AA9:AA47),0)</f>
        <v>4004</v>
      </c>
      <c r="S49" s="3389"/>
      <c r="T49" s="3389">
        <f>ROUND(PRODUCT(T48,AB9:AB47),0)</f>
        <v>4369</v>
      </c>
      <c r="U49" s="3389"/>
      <c r="V49" s="3389">
        <f>ROUND(PRODUCT(V48,AC9:AC47),0)</f>
        <v>4154</v>
      </c>
      <c r="W49" s="3389"/>
      <c r="X49" s="1558"/>
      <c r="Y49" s="1558"/>
      <c r="Z49" s="1558"/>
      <c r="AA49" s="1558"/>
      <c r="AB49" s="1558"/>
      <c r="AC49" s="1558"/>
    </row>
    <row r="50" spans="1:29" ht="21" thickBot="1">
      <c r="A50" s="620" t="s">
        <v>2927</v>
      </c>
      <c r="B50" s="621"/>
      <c r="C50" s="622">
        <f>R50</f>
        <v>4176</v>
      </c>
      <c r="D50" s="622"/>
      <c r="E50" s="622"/>
      <c r="F50" s="622"/>
      <c r="G50" s="622"/>
      <c r="H50" s="622"/>
      <c r="I50" s="622"/>
      <c r="J50" s="622"/>
      <c r="K50" s="1341"/>
      <c r="L50" s="2142"/>
      <c r="M50" s="2130"/>
      <c r="N50" s="2130"/>
      <c r="O50" s="2143"/>
      <c r="P50" s="3384" t="str">
        <f>A50</f>
        <v>估价对象XX用房的比较价格（楼面单价，元/平方米）</v>
      </c>
      <c r="Q50" s="3385"/>
      <c r="R50" s="3386">
        <f>ROUND(AVERAGE(R49:V49),0)</f>
        <v>4176</v>
      </c>
      <c r="S50" s="3386"/>
      <c r="T50" s="3386"/>
      <c r="U50" s="3386"/>
      <c r="V50" s="3386"/>
      <c r="W50" s="3386"/>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f>IF(E48&lt;E49,E49/E48-1,E48/E49-1)</f>
        <v>0.35839160839160833</v>
      </c>
      <c r="F53" s="626" t="str">
        <f>IF(OR(E53&gt;=0.3,E53&lt;=-0.3),"超过30%","")</f>
        <v>超过30%</v>
      </c>
      <c r="G53" s="625">
        <f>IF(G48&lt;G49,G49/G48-1,G48/G49-1)</f>
        <v>0.23369192034790576</v>
      </c>
      <c r="H53" s="626" t="str">
        <f>IF(OR(G53&gt;=0.3,G53&lt;=-0.3),"超过30%","")</f>
        <v/>
      </c>
      <c r="I53" s="625">
        <f>IF(I48&lt;I49,I49/I48-1,I48/I49-1)</f>
        <v>0.24626865671641784</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f>IF(E49&lt;G49,G49/E49-1,E49/G49-1)</f>
        <v>9.1158841158841097E-2</v>
      </c>
      <c r="F54" s="626" t="str">
        <f>IF(OR(E54&gt;=0.2,E54&lt;=-0.2),"超过20%","")</f>
        <v/>
      </c>
      <c r="G54" s="625">
        <f>IF(G49&lt;I49,I49/G49-1,G49/I49-1)</f>
        <v>5.1757342320654764E-2</v>
      </c>
      <c r="H54" s="626" t="str">
        <f>IF(OR(G54&gt;=0.2,G54&lt;=-0.2),"超过20%","")</f>
        <v/>
      </c>
      <c r="I54" s="625">
        <f>IF(I49&lt;E49,E49/I49-1,I49/E49-1)</f>
        <v>3.7462537462537471E-2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558</v>
      </c>
      <c r="D55" s="627"/>
      <c r="E55" s="625">
        <f>IF(E48&lt;G48,G48/E48-1,E48/G48-1)</f>
        <v>9.0909090909090384E-3</v>
      </c>
      <c r="F55" s="626" t="str">
        <f>IF(OR(E55&gt;=0.3,E55&lt;=-0.3),"超过30%","")</f>
        <v/>
      </c>
      <c r="G55" s="625">
        <f>IF(G48&lt;I48,I48/G48-1,G48/I48-1)</f>
        <v>4.1143519412787377E-2</v>
      </c>
      <c r="H55" s="626" t="str">
        <f>IF(OR(G55&gt;=0.3,G55&lt;=-0.3),"超过30%","")</f>
        <v/>
      </c>
      <c r="I55" s="625">
        <f>IF(I48&lt;E48,E48/I48-1,I48/E48-1)</f>
        <v>5.0608460498358099E-2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559</v>
      </c>
      <c r="B57" s="629" t="s">
        <v>560</v>
      </c>
      <c r="C57" s="1559" t="s">
        <v>1724</v>
      </c>
      <c r="D57" s="2225" t="s">
        <v>2294</v>
      </c>
      <c r="E57" s="630" t="s">
        <v>561</v>
      </c>
      <c r="F57" s="631" t="s">
        <v>562</v>
      </c>
      <c r="G57" s="3414" t="s">
        <v>2282</v>
      </c>
      <c r="H57" s="3415"/>
      <c r="I57" s="1554" t="s">
        <v>1722</v>
      </c>
      <c r="J57" s="1554" t="str">
        <f>项目基本情况!F41</f>
        <v>江苏省泰州市泰兴市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563</v>
      </c>
      <c r="B58" s="633">
        <f>C50</f>
        <v>4176</v>
      </c>
      <c r="C58" s="634">
        <v>1</v>
      </c>
      <c r="D58" s="2226">
        <v>1</v>
      </c>
      <c r="E58" s="634">
        <f>'数据-汇总表'!E8+'数据-汇总表'!E9</f>
        <v>111084</v>
      </c>
      <c r="F58" s="635">
        <f t="shared" ref="F58:F67" si="15">ROUND(B58*E58/10000,0)</f>
        <v>46389</v>
      </c>
      <c r="G58" s="3416"/>
      <c r="H58" s="3417"/>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564</v>
      </c>
      <c r="B59" s="637">
        <f>ROUND($C$50*C59*D59,0)</f>
        <v>0</v>
      </c>
      <c r="C59" s="377">
        <f t="shared" ref="C59:C67" si="16">IF($C$57="北京市系数",I59,J59)</f>
        <v>0</v>
      </c>
      <c r="D59" s="2227">
        <v>0.25</v>
      </c>
      <c r="E59" s="638">
        <v>0</v>
      </c>
      <c r="F59" s="635">
        <f t="shared" si="15"/>
        <v>0</v>
      </c>
      <c r="G59" s="3418"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565</v>
      </c>
      <c r="B60" s="637">
        <f t="shared" ref="B60:B67" si="17">ROUND($C$50*C60*D60,0)</f>
        <v>0</v>
      </c>
      <c r="C60" s="377">
        <f t="shared" si="16"/>
        <v>0</v>
      </c>
      <c r="D60" s="2227">
        <v>0.25</v>
      </c>
      <c r="E60" s="638">
        <v>0</v>
      </c>
      <c r="F60" s="635">
        <f t="shared" si="15"/>
        <v>0</v>
      </c>
      <c r="G60" s="3418"/>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566</v>
      </c>
      <c r="B61" s="637">
        <f t="shared" si="17"/>
        <v>0</v>
      </c>
      <c r="C61" s="377">
        <f t="shared" si="16"/>
        <v>0</v>
      </c>
      <c r="D61" s="2227">
        <v>0.25</v>
      </c>
      <c r="E61" s="638">
        <v>0</v>
      </c>
      <c r="F61" s="635">
        <f t="shared" si="15"/>
        <v>0</v>
      </c>
      <c r="G61" s="3418"/>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567</v>
      </c>
      <c r="B62" s="637">
        <f t="shared" si="17"/>
        <v>0</v>
      </c>
      <c r="C62" s="377">
        <f t="shared" si="16"/>
        <v>0</v>
      </c>
      <c r="D62" s="2227">
        <v>0.25</v>
      </c>
      <c r="E62" s="638">
        <v>0</v>
      </c>
      <c r="F62" s="635">
        <f t="shared" si="15"/>
        <v>0</v>
      </c>
      <c r="G62" s="3418"/>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2328</v>
      </c>
      <c r="B63" s="637">
        <f t="shared" si="17"/>
        <v>0</v>
      </c>
      <c r="C63" s="377">
        <f t="shared" si="16"/>
        <v>0</v>
      </c>
      <c r="D63" s="2227">
        <v>0.25</v>
      </c>
      <c r="E63" s="640">
        <f>'数据-汇总表'!E11</f>
        <v>0</v>
      </c>
      <c r="F63" s="635">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568</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569</v>
      </c>
      <c r="B65" s="637">
        <f t="shared" si="17"/>
        <v>0</v>
      </c>
      <c r="C65" s="377">
        <f t="shared" si="16"/>
        <v>0</v>
      </c>
      <c r="D65" s="2227">
        <v>0.25</v>
      </c>
      <c r="E65" s="640">
        <f>'数据-汇总表'!E13</f>
        <v>35012</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570</v>
      </c>
      <c r="B66" s="637">
        <f t="shared" si="17"/>
        <v>0</v>
      </c>
      <c r="C66" s="377">
        <f t="shared" si="16"/>
        <v>0</v>
      </c>
      <c r="D66" s="2227">
        <v>0.25</v>
      </c>
      <c r="E66" s="640">
        <f>'数据-汇总表'!E14</f>
        <v>0</v>
      </c>
      <c r="F66" s="635">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571</v>
      </c>
      <c r="B67" s="637">
        <f t="shared" si="17"/>
        <v>0</v>
      </c>
      <c r="C67" s="377">
        <f t="shared" si="16"/>
        <v>0</v>
      </c>
      <c r="D67" s="2227">
        <v>0.25</v>
      </c>
      <c r="E67" s="640">
        <f>'数据-汇总表'!E15</f>
        <v>0</v>
      </c>
      <c r="F67" s="635">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572</v>
      </c>
      <c r="B68" s="642" t="s">
        <v>17</v>
      </c>
      <c r="C68" s="642" t="s">
        <v>18</v>
      </c>
      <c r="D68" s="642" t="s">
        <v>2295</v>
      </c>
      <c r="E68" s="642">
        <f>IF(B48="楼面地价",SUM(E58:E67),'数据-汇总表'!D3)</f>
        <v>146096</v>
      </c>
      <c r="F68" s="643">
        <f>IF(B48="楼面地价",SUM(F58:F67),ROUND(C50*E68/10000,0))</f>
        <v>46389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2018-10-1</v>
      </c>
      <c r="D70" s="2797">
        <f>EDATE(C70,-3)</f>
        <v>43282</v>
      </c>
      <c r="E70" s="2797">
        <f t="shared" ref="E70:N70" si="18">EDATE(D70,-3)</f>
        <v>43191</v>
      </c>
      <c r="F70" s="2797">
        <f t="shared" si="18"/>
        <v>43101</v>
      </c>
      <c r="G70" s="2797">
        <f t="shared" si="18"/>
        <v>43009</v>
      </c>
      <c r="H70" s="2797">
        <f t="shared" si="18"/>
        <v>42917</v>
      </c>
      <c r="I70" s="2797">
        <f t="shared" si="18"/>
        <v>42826</v>
      </c>
      <c r="J70" s="2797">
        <f t="shared" si="18"/>
        <v>42736</v>
      </c>
      <c r="K70" s="2797">
        <f t="shared" si="18"/>
        <v>42644</v>
      </c>
      <c r="L70" s="2797">
        <f t="shared" si="18"/>
        <v>42552</v>
      </c>
      <c r="M70" s="2797">
        <f t="shared" si="18"/>
        <v>42461</v>
      </c>
      <c r="N70" s="2797">
        <f t="shared" si="18"/>
        <v>42370</v>
      </c>
      <c r="O70" s="2143"/>
      <c r="P70" s="2143"/>
      <c r="Q70" s="2143"/>
      <c r="R70" s="2143"/>
      <c r="S70" s="2143"/>
      <c r="T70" s="2143"/>
      <c r="U70" s="2143"/>
      <c r="V70" s="2143"/>
      <c r="W70" s="2143"/>
      <c r="X70" s="2143"/>
      <c r="Y70" s="2143"/>
      <c r="Z70" s="2143"/>
      <c r="AA70" s="2143"/>
      <c r="AB70" s="2143"/>
      <c r="AC70" s="2143"/>
    </row>
    <row r="71" spans="1:29" ht="21.75" thickBot="1">
      <c r="A71" s="1583" t="s">
        <v>573</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2531</v>
      </c>
      <c r="B72" s="2567"/>
      <c r="C72" s="2792" t="str">
        <f>YEAR(C70)&amp;"-"&amp;ROUNDUP(MONTH(C70)/3,0)</f>
        <v>2018-4</v>
      </c>
      <c r="D72" s="2799" t="str">
        <f>YEAR(D70)&amp;"-"&amp;ROUNDUP(MONTH(D70)/3,0)</f>
        <v>2018-3</v>
      </c>
      <c r="E72" s="2799" t="str">
        <f t="shared" ref="E72:N72" si="19">YEAR(E70)&amp;"-"&amp;ROUNDUP(MONTH(E70)/3,0)</f>
        <v>2018-2</v>
      </c>
      <c r="F72" s="2799" t="str">
        <f t="shared" si="19"/>
        <v>2018-1</v>
      </c>
      <c r="G72" s="2799" t="str">
        <f t="shared" si="19"/>
        <v>2017-4</v>
      </c>
      <c r="H72" s="2799" t="str">
        <f t="shared" si="19"/>
        <v>2017-3</v>
      </c>
      <c r="I72" s="2799" t="str">
        <f t="shared" si="19"/>
        <v>2017-2</v>
      </c>
      <c r="J72" s="2799" t="str">
        <f t="shared" si="19"/>
        <v>2017-1</v>
      </c>
      <c r="K72" s="2799" t="str">
        <f t="shared" si="19"/>
        <v>2016-4</v>
      </c>
      <c r="L72" s="2799" t="str">
        <f t="shared" si="19"/>
        <v>2016-3</v>
      </c>
      <c r="M72" s="2799" t="str">
        <f t="shared" si="19"/>
        <v>2016-2</v>
      </c>
      <c r="N72" s="2799"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922</v>
      </c>
      <c r="B73" s="478" t="str">
        <f>"北京市平均增长率"&amp;TEXT(SUMIF(基准地价!N21:N25,A73,基准地价!P21:P25),"0.00%")</f>
        <v>北京市平均增长率2.41%</v>
      </c>
      <c r="C73" s="893">
        <v>100</v>
      </c>
      <c r="D73" s="729">
        <v>99</v>
      </c>
      <c r="E73" s="729">
        <v>98</v>
      </c>
      <c r="F73" s="729">
        <v>97</v>
      </c>
      <c r="G73" s="729">
        <v>96</v>
      </c>
      <c r="H73" s="729">
        <v>95</v>
      </c>
      <c r="I73" s="729">
        <v>94</v>
      </c>
      <c r="J73" s="729">
        <v>93</v>
      </c>
      <c r="K73" s="729">
        <v>92</v>
      </c>
      <c r="L73" s="729">
        <v>91</v>
      </c>
      <c r="M73" s="2790">
        <v>90</v>
      </c>
      <c r="N73" s="2791">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2645</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530</v>
      </c>
      <c r="B75" s="647"/>
      <c r="C75" s="659" t="s">
        <v>575</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576</v>
      </c>
      <c r="B77" s="664" t="s">
        <v>533</v>
      </c>
      <c r="C77" s="3189" t="s">
        <v>3184</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536</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537</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0.5</v>
      </c>
      <c r="E82" s="540">
        <v>1</v>
      </c>
      <c r="F82" s="540">
        <v>1.5</v>
      </c>
      <c r="G82" s="540">
        <v>2</v>
      </c>
      <c r="H82" s="540">
        <v>2.5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98" t="s">
        <v>3294</v>
      </c>
      <c r="D84" s="1374" t="s">
        <v>3293</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120</v>
      </c>
      <c r="D85" s="670">
        <v>100</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538</v>
      </c>
      <c r="B90" s="664" t="s">
        <v>577</v>
      </c>
      <c r="C90" s="702" t="s">
        <v>578</v>
      </c>
      <c r="D90" s="702" t="s">
        <v>579</v>
      </c>
      <c r="E90" s="702" t="s">
        <v>580</v>
      </c>
      <c r="F90" s="702" t="s">
        <v>581</v>
      </c>
      <c r="G90" s="702" t="s">
        <v>582</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583</v>
      </c>
      <c r="C92" s="707" t="s">
        <v>578</v>
      </c>
      <c r="D92" s="707" t="s">
        <v>579</v>
      </c>
      <c r="E92" s="707" t="s">
        <v>580</v>
      </c>
      <c r="F92" s="707" t="s">
        <v>581</v>
      </c>
      <c r="G92" s="707" t="s">
        <v>582</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584</v>
      </c>
      <c r="C94" s="707" t="s">
        <v>578</v>
      </c>
      <c r="D94" s="707" t="s">
        <v>579</v>
      </c>
      <c r="E94" s="707" t="s">
        <v>580</v>
      </c>
      <c r="F94" s="707" t="s">
        <v>581</v>
      </c>
      <c r="G94" s="707" t="s">
        <v>582</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585</v>
      </c>
      <c r="C96" s="707" t="s">
        <v>578</v>
      </c>
      <c r="D96" s="707" t="s">
        <v>579</v>
      </c>
      <c r="E96" s="707" t="s">
        <v>580</v>
      </c>
      <c r="F96" s="707" t="s">
        <v>581</v>
      </c>
      <c r="G96" s="707" t="s">
        <v>582</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2547</v>
      </c>
      <c r="C102" s="702" t="s">
        <v>578</v>
      </c>
      <c r="D102" s="702" t="s">
        <v>579</v>
      </c>
      <c r="E102" s="702" t="s">
        <v>580</v>
      </c>
      <c r="F102" s="702" t="s">
        <v>581</v>
      </c>
      <c r="G102" s="702" t="s">
        <v>582</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2549</v>
      </c>
      <c r="C104" s="2596" t="s">
        <v>2550</v>
      </c>
      <c r="D104" s="2596" t="s">
        <v>2551</v>
      </c>
      <c r="E104" s="2596" t="s">
        <v>2552</v>
      </c>
      <c r="F104" s="2596" t="s">
        <v>2553</v>
      </c>
      <c r="G104" s="2596" t="s">
        <v>2554</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547</v>
      </c>
      <c r="C108" s="3198" t="s">
        <v>3210</v>
      </c>
      <c r="D108" s="3198" t="s">
        <v>3211</v>
      </c>
      <c r="E108" s="3198" t="s">
        <v>3212</v>
      </c>
      <c r="F108" s="3198" t="s">
        <v>3214</v>
      </c>
      <c r="G108" s="3198" t="s">
        <v>3216</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548</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550</v>
      </c>
      <c r="B118" s="664" t="s">
        <v>592</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50000(含)-60000</v>
      </c>
      <c r="I118" s="703" t="str">
        <f t="shared" si="25"/>
        <v>60000(含)-70000</v>
      </c>
      <c r="J118" s="3086" t="str">
        <f t="shared" si="25"/>
        <v>70000(含)-</v>
      </c>
      <c r="K118" s="3086" t="str">
        <f t="shared" si="25"/>
        <v>(含)-</v>
      </c>
      <c r="L118" s="3087" t="str">
        <f t="shared" si="25"/>
        <v>(含)-</v>
      </c>
      <c r="M118" s="308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v>60000</v>
      </c>
      <c r="J119" s="2365">
        <v>70000</v>
      </c>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v>106</v>
      </c>
      <c r="J120" s="725">
        <v>107</v>
      </c>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593</v>
      </c>
      <c r="C121" s="3190" t="s">
        <v>3188</v>
      </c>
      <c r="D121" s="3190" t="s">
        <v>3190</v>
      </c>
      <c r="E121" s="3190" t="s">
        <v>3191</v>
      </c>
      <c r="F121" s="3190" t="s">
        <v>3192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594</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3194</v>
      </c>
      <c r="D125" s="1374" t="s">
        <v>3195</v>
      </c>
      <c r="E125" s="1374" t="s">
        <v>3196</v>
      </c>
      <c r="F125" s="1374" t="s">
        <v>3198</v>
      </c>
      <c r="G125" s="1374"/>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595</v>
      </c>
      <c r="C127" s="687"/>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8" sqref="F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07"/>
      <c r="C1" s="2102"/>
      <c r="D1" s="2102"/>
      <c r="E1" s="2102"/>
      <c r="F1" s="2102"/>
      <c r="G1" s="2102"/>
      <c r="H1" s="2102"/>
      <c r="I1" s="2102"/>
      <c r="J1" s="2102"/>
      <c r="K1" s="421">
        <f>MATCH(B1,'数据-取费表'!A6:A16,0)+5</f>
        <v>12</v>
      </c>
    </row>
    <row r="2" spans="1:31" s="2039" customFormat="1" ht="18" customHeight="1">
      <c r="A2" s="2099" t="s">
        <v>466</v>
      </c>
      <c r="B2" s="2103">
        <f ca="1">C36</f>
        <v>39641</v>
      </c>
      <c r="C2" s="2102"/>
      <c r="D2" s="2102"/>
      <c r="E2" s="2102"/>
      <c r="F2" s="2102"/>
      <c r="G2" s="2102"/>
      <c r="H2" s="2102"/>
      <c r="I2" s="2102"/>
      <c r="J2" s="2102"/>
      <c r="K2" s="2102"/>
    </row>
    <row r="3" spans="1:31" s="2039" customFormat="1" ht="18" customHeight="1">
      <c r="A3" s="2104" t="s">
        <v>1684</v>
      </c>
      <c r="B3" s="2105">
        <f ca="1">ROUND(B2*10000/IF(B1="",'数据-汇总表'!E3,INDIRECT("'数据-取费表'!K"&amp;$K$1)),0)</f>
        <v>2665</v>
      </c>
      <c r="C3" s="2102"/>
      <c r="D3" s="2102"/>
      <c r="E3" s="2102"/>
      <c r="F3" s="2102"/>
      <c r="G3" s="2102"/>
      <c r="H3" s="2102"/>
      <c r="I3" s="2102"/>
      <c r="J3" s="2102"/>
      <c r="K3" s="2102"/>
    </row>
    <row r="4" spans="1:31" s="2039" customFormat="1" ht="18" customHeight="1">
      <c r="A4" s="425" t="s">
        <v>467</v>
      </c>
      <c r="B4" s="426">
        <f ca="1">ROUND(B2*10000/IF(B1="",'数据-汇总表'!D3,INDIRECT("'数据-取费表'!R"&amp;$K$1)),0)</f>
        <v>6966</v>
      </c>
      <c r="C4" s="427"/>
      <c r="D4" s="421"/>
      <c r="E4" s="421"/>
      <c r="F4" s="421"/>
      <c r="G4" s="421"/>
      <c r="H4" s="421"/>
      <c r="I4" s="421"/>
      <c r="J4" s="421"/>
      <c r="K4" s="421"/>
    </row>
    <row r="5" spans="1:31" s="2039" customFormat="1" ht="18" customHeight="1" thickBot="1">
      <c r="A5" s="428"/>
      <c r="B5" s="429">
        <f ca="1">ROUND(B2/(IF(B1="",'数据-汇总表'!D3,INDIRECT("'数据-取费表'!R"&amp;$K$1))/666.67),0)</f>
        <v>464</v>
      </c>
      <c r="C5" s="430" t="s">
        <v>468</v>
      </c>
      <c r="D5" s="421"/>
      <c r="E5" s="421"/>
      <c r="F5" s="421"/>
      <c r="G5" s="421"/>
      <c r="H5" s="421"/>
      <c r="I5" s="421"/>
      <c r="J5" s="421"/>
      <c r="K5" s="421"/>
    </row>
    <row r="6" spans="1:31" s="2109" customFormat="1" ht="16.5" customHeight="1">
      <c r="A6" s="2826" t="s">
        <v>1842</v>
      </c>
      <c r="B6" s="2827"/>
      <c r="C6" s="2828">
        <f ca="1">SUM(C10:K10)</f>
        <v>101412.83715000001</v>
      </c>
      <c r="D6" s="2827"/>
      <c r="E6" s="2827"/>
      <c r="F6" s="2827"/>
      <c r="G6" s="2827"/>
      <c r="H6" s="2827"/>
      <c r="I6" s="2827"/>
      <c r="J6" s="2827"/>
      <c r="K6" s="2829"/>
    </row>
    <row r="7" spans="1:31" s="2111" customFormat="1" ht="15">
      <c r="A7" s="2830" t="s">
        <v>469</v>
      </c>
      <c r="B7" s="2831" t="s">
        <v>470</v>
      </c>
      <c r="C7" s="435" t="s">
        <v>3167</v>
      </c>
      <c r="D7" s="435" t="s">
        <v>3169</v>
      </c>
      <c r="E7" s="435" t="s">
        <v>3171</v>
      </c>
      <c r="F7" s="435" t="s">
        <v>3166</v>
      </c>
      <c r="G7" s="435" t="s">
        <v>3174</v>
      </c>
      <c r="H7" s="435" t="s">
        <v>35</v>
      </c>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471</v>
      </c>
      <c r="C8" s="2832">
        <v>5220</v>
      </c>
      <c r="D8" s="2832">
        <v>5108</v>
      </c>
      <c r="E8" s="2832">
        <f>G8*1.2</f>
        <v>10710</v>
      </c>
      <c r="F8" s="2832">
        <f>G8*1.1</f>
        <v>9817.5</v>
      </c>
      <c r="G8" s="2832">
        <f>'不动产比较法-住宅'!C49</f>
        <v>8925</v>
      </c>
      <c r="H8" s="2832">
        <f ca="1">不动产收益法!B3</f>
        <v>2027</v>
      </c>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472</v>
      </c>
      <c r="C9" s="440">
        <f>SUMIF('数据-汇总表'!$C19:$C33,'剩余法-待开发'!C7,'数据-汇总表'!$E19:$E33)</f>
        <v>18240</v>
      </c>
      <c r="D9" s="440">
        <f>SUMIF('数据-汇总表'!$C19:$C33,'剩余法-待开发'!D7,'数据-汇总表'!$E19:$E33)</f>
        <v>4668</v>
      </c>
      <c r="E9" s="440">
        <f>SUMIF('数据-汇总表'!$C19:$C33,'剩余法-待开发'!E7,'数据-汇总表'!$E19:$E33)</f>
        <v>8424</v>
      </c>
      <c r="F9" s="440">
        <f>SUMIF('数据-汇总表'!$C19:$C33,'剩余法-待开发'!F7,'数据-汇总表'!$E19:$E33)</f>
        <v>24765</v>
      </c>
      <c r="G9" s="440">
        <f>SUMIF('数据-汇总表'!$C19:$C33,'剩余法-待开发'!G7,'数据-汇总表'!$E19:$E33)</f>
        <v>54987</v>
      </c>
      <c r="H9" s="440">
        <f>SUMIF('数据-汇总表'!$C19:$C33,'剩余法-待开发'!H7,'数据-汇总表'!$E19:$E33)</f>
        <v>35012</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473</v>
      </c>
      <c r="C10" s="3024">
        <f>C8*C9/10000</f>
        <v>9521.2800000000007</v>
      </c>
      <c r="D10" s="3024">
        <f>D8*D9/10000</f>
        <v>2384.4144000000001</v>
      </c>
      <c r="E10" s="3024">
        <f>E8*E9/10000</f>
        <v>9022.1039999999994</v>
      </c>
      <c r="F10" s="2835">
        <f>F8*F9/10000</f>
        <v>24313.03875</v>
      </c>
      <c r="G10" s="2835">
        <f>'不动产比较法-住宅'!B2</f>
        <v>49076</v>
      </c>
      <c r="H10" s="2835">
        <f ca="1">不动产收益法!B2</f>
        <v>7096</v>
      </c>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469</v>
      </c>
      <c r="B12" s="2810" t="s">
        <v>470</v>
      </c>
      <c r="C12" s="2839" t="s">
        <v>474</v>
      </c>
      <c r="D12" s="2806" t="s">
        <v>475</v>
      </c>
      <c r="E12" s="2806" t="s">
        <v>476</v>
      </c>
      <c r="F12" s="2806" t="s">
        <v>477</v>
      </c>
      <c r="G12" s="2810"/>
      <c r="H12" s="2811"/>
      <c r="I12" s="2811"/>
      <c r="J12" s="2811"/>
      <c r="K12" s="2812"/>
    </row>
    <row r="13" spans="1:31" s="2114" customFormat="1" ht="13.5" customHeight="1">
      <c r="A13" s="2840" t="s">
        <v>1848</v>
      </c>
      <c r="B13" s="2841" t="s">
        <v>478</v>
      </c>
      <c r="C13" s="449">
        <f ca="1">IF(B1="",'数据-取费表'!P16,INDIRECT("'数据-取费表'!p"&amp;$K$1)+INDIRECT("'数据-取费表'!t"&amp;$K$1))</f>
        <v>30463</v>
      </c>
      <c r="D13" s="2842"/>
      <c r="E13" s="2843"/>
      <c r="F13" s="2844"/>
      <c r="G13" s="2810"/>
      <c r="H13" s="2811"/>
      <c r="I13" s="2811"/>
      <c r="J13" s="2811"/>
      <c r="K13" s="2812"/>
    </row>
    <row r="14" spans="1:31" s="2114" customFormat="1" ht="13.5" customHeight="1">
      <c r="A14" s="2840" t="s">
        <v>1849</v>
      </c>
      <c r="B14" s="2841" t="s">
        <v>479</v>
      </c>
      <c r="C14" s="53">
        <f ca="1">ROUND(C13*F14,0)</f>
        <v>914</v>
      </c>
      <c r="D14" s="2842"/>
      <c r="E14" s="2843"/>
      <c r="F14" s="2845">
        <f>'数据-取费表'!B33</f>
        <v>0.03</v>
      </c>
      <c r="G14" s="2810" t="s">
        <v>480</v>
      </c>
      <c r="H14" s="2811"/>
      <c r="I14" s="2811"/>
      <c r="J14" s="2811"/>
      <c r="K14" s="2812"/>
    </row>
    <row r="15" spans="1:31" s="2114" customFormat="1" ht="13.5" customHeight="1">
      <c r="A15" s="2840" t="s">
        <v>1850</v>
      </c>
      <c r="B15" s="2841" t="s">
        <v>481</v>
      </c>
      <c r="C15" s="53">
        <f ca="1">ROUND(IF(B1="",SUMIF('数据-取费表'!C:C,"住宅",'数据-取费表'!P:P)*F15,IF(INDIRECT("'数据-取费表'!c"&amp;$K$1)="住宅",INDIRECT("'数据-取费表'!P"&amp;$K$1)*F15,0)),0)</f>
        <v>1152</v>
      </c>
      <c r="D15" s="2842"/>
      <c r="E15" s="2843"/>
      <c r="F15" s="2845">
        <f>'数据-取费表'!B34</f>
        <v>0.05</v>
      </c>
      <c r="G15" s="2810" t="s">
        <v>482</v>
      </c>
      <c r="H15" s="2811"/>
      <c r="I15" s="2811"/>
      <c r="J15" s="2811"/>
      <c r="K15" s="2812"/>
    </row>
    <row r="16" spans="1:31" s="2115" customFormat="1" ht="13.5" customHeight="1">
      <c r="A16" s="2840" t="s">
        <v>1851</v>
      </c>
      <c r="B16" s="2841" t="s">
        <v>483</v>
      </c>
      <c r="C16" s="53">
        <f ca="1">ROUND(D16*E16/10000,0)</f>
        <v>2975</v>
      </c>
      <c r="D16" s="2842">
        <f ca="1">IF(B1="",'数据-汇总表'!E3,INDIRECT("'数据-取费表'!K"&amp;$K$1)+INDIRECT("'数据-取费表'!S"&amp;$K$1))</f>
        <v>148752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484</v>
      </c>
      <c r="C17" s="2846">
        <f ca="1">ROUND(C13*F17,0)</f>
        <v>457</v>
      </c>
      <c r="D17" s="474"/>
      <c r="E17" s="2846"/>
      <c r="F17" s="2847">
        <f>'数据-取费表'!B36</f>
        <v>1.4999999999999999E-2</v>
      </c>
      <c r="G17" s="260" t="s">
        <v>485</v>
      </c>
      <c r="H17" s="2813"/>
      <c r="I17" s="2813"/>
      <c r="J17" s="2813"/>
      <c r="K17" s="278"/>
    </row>
    <row r="18" spans="1:14" s="2114" customFormat="1" ht="13.5" customHeight="1">
      <c r="A18" s="2848" t="s">
        <v>1853</v>
      </c>
      <c r="B18" s="2849" t="s">
        <v>486</v>
      </c>
      <c r="C18" s="2850">
        <f ca="1">SUM(C13:C17)</f>
        <v>35961</v>
      </c>
      <c r="D18" s="2851"/>
      <c r="E18" s="467"/>
      <c r="F18" s="467"/>
      <c r="G18" s="2814" t="s">
        <v>2430</v>
      </c>
      <c r="H18" s="2815"/>
      <c r="I18" s="2815"/>
      <c r="J18" s="2815"/>
      <c r="K18" s="2816"/>
    </row>
    <row r="19" spans="1:14" s="2114" customFormat="1" ht="13.5" customHeight="1">
      <c r="A19" s="2848" t="s">
        <v>1854</v>
      </c>
      <c r="B19" s="2849" t="s">
        <v>487</v>
      </c>
      <c r="C19" s="2806">
        <f ca="1">ROUND(D19*E19/10000,0)</f>
        <v>1488</v>
      </c>
      <c r="D19" s="2852">
        <f ca="1">D16</f>
        <v>148752</v>
      </c>
      <c r="E19" s="2806">
        <f>'数据-取费表'!B32</f>
        <v>100</v>
      </c>
      <c r="F19" s="467"/>
      <c r="G19" s="2810" t="s">
        <v>488</v>
      </c>
      <c r="H19" s="2811"/>
      <c r="I19" s="2815"/>
      <c r="J19" s="2815"/>
      <c r="K19" s="2816"/>
    </row>
    <row r="20" spans="1:14" s="2114" customFormat="1" ht="13.5" customHeight="1">
      <c r="A20" s="2848" t="s">
        <v>1855</v>
      </c>
      <c r="B20" s="2849" t="s">
        <v>489</v>
      </c>
      <c r="C20" s="2806">
        <f ca="1">C21+C22-IF(B1="",'数据-取费表'!B29,IF(G20="已全部缴纳",C21+C22,H20))</f>
        <v>745</v>
      </c>
      <c r="D20" s="2852"/>
      <c r="E20" s="2806"/>
      <c r="F20" s="2853"/>
      <c r="G20" s="3082"/>
      <c r="H20" s="2808"/>
      <c r="I20" s="2809" t="s">
        <v>2649</v>
      </c>
      <c r="J20" s="2815"/>
      <c r="K20" s="2816"/>
    </row>
    <row r="21" spans="1:14" s="2114" customFormat="1" ht="13.5" customHeight="1">
      <c r="A21" s="2840" t="s">
        <v>1856</v>
      </c>
      <c r="B21" s="2841" t="s">
        <v>490</v>
      </c>
      <c r="C21" s="53">
        <f ca="1">ROUND(D21*E21/10000,0)</f>
        <v>444</v>
      </c>
      <c r="D21" s="2842">
        <f ca="1">IF(B1="",'数据-汇总表'!E5,IF(INDIRECT("'数据-取费表'!c"&amp;$K$1)="住宅",INDIRECT("'数据-取费表'!k"&amp;$K$1),0))</f>
        <v>111084</v>
      </c>
      <c r="E21" s="53">
        <f>'数据-取费表'!B27</f>
        <v>40</v>
      </c>
      <c r="F21" s="2845"/>
      <c r="G21" s="26"/>
      <c r="H21" s="51"/>
      <c r="I21" s="51"/>
      <c r="J21" s="51"/>
      <c r="K21" s="2817"/>
    </row>
    <row r="22" spans="1:14" s="2114" customFormat="1" ht="13.5" customHeight="1">
      <c r="A22" s="2840" t="s">
        <v>1857</v>
      </c>
      <c r="B22" s="2841" t="s">
        <v>491</v>
      </c>
      <c r="C22" s="53">
        <f ca="1">ROUND(D22*E22/10000,0)</f>
        <v>301</v>
      </c>
      <c r="D22" s="2842">
        <f ca="1">IF(B1="",'数据-汇总表'!E6,IF(INDIRECT("'数据-取费表'!c"&amp;$K$1)="住宅",INDIRECT("'数据-取费表'!s"&amp;$K$1),INDIRECT("'数据-取费表'!k"&amp;$K$1)+INDIRECT("'数据-取费表'!s"&amp;$K$1)))</f>
        <v>37668</v>
      </c>
      <c r="E22" s="53">
        <f>'数据-取费表'!B28</f>
        <v>80</v>
      </c>
      <c r="F22" s="2845"/>
      <c r="G22" s="26"/>
      <c r="H22" s="51"/>
      <c r="I22" s="51"/>
      <c r="J22" s="51"/>
      <c r="K22" s="2817"/>
    </row>
    <row r="23" spans="1:14" s="2114" customFormat="1" ht="13.5" customHeight="1">
      <c r="A23" s="2848" t="s">
        <v>1858</v>
      </c>
      <c r="B23" s="3030" t="s">
        <v>2832</v>
      </c>
      <c r="C23" s="2850">
        <f ca="1">ROUND((C18+C19+C20)*F23,0)</f>
        <v>764</v>
      </c>
      <c r="D23" s="467"/>
      <c r="E23" s="467"/>
      <c r="F23" s="2854">
        <f>'数据-取费表'!B37</f>
        <v>0.02</v>
      </c>
      <c r="G23" s="2810" t="s">
        <v>2431</v>
      </c>
      <c r="H23" s="2811"/>
      <c r="I23" s="2811"/>
      <c r="J23" s="2811"/>
      <c r="K23" s="2812"/>
      <c r="L23" s="2116"/>
      <c r="M23" s="2116"/>
      <c r="N23" s="2116"/>
    </row>
    <row r="24" spans="1:14" s="2114" customFormat="1" ht="13.5" customHeight="1">
      <c r="A24" s="2848" t="s">
        <v>1859</v>
      </c>
      <c r="B24" s="3030" t="s">
        <v>2835</v>
      </c>
      <c r="C24" s="2850">
        <f ca="1">ROUND(C6*F24,0)</f>
        <v>1521</v>
      </c>
      <c r="D24" s="474"/>
      <c r="E24" s="472"/>
      <c r="F24" s="2854">
        <f>'数据-取费表'!B38</f>
        <v>1.4999999999999999E-2</v>
      </c>
      <c r="G24" s="2819" t="s">
        <v>498</v>
      </c>
      <c r="H24" s="2813"/>
      <c r="I24" s="2813"/>
      <c r="J24" s="2813"/>
      <c r="K24" s="278"/>
      <c r="L24" s="2116"/>
      <c r="M24" s="2116"/>
      <c r="N24" s="2116"/>
    </row>
    <row r="25" spans="1:14" s="2117" customFormat="1" ht="13.5" customHeight="1">
      <c r="A25" s="2848" t="s">
        <v>1860</v>
      </c>
      <c r="B25" s="3030" t="s">
        <v>2833</v>
      </c>
      <c r="C25" s="466">
        <f>ROUND(F25/(1+'数据-取费表'!C42),4)</f>
        <v>2.9000000000000001E-2</v>
      </c>
      <c r="D25" s="461" t="s">
        <v>2827</v>
      </c>
      <c r="E25" s="468"/>
      <c r="F25" s="2854">
        <f>'数据-取费表'!B48+'数据-取费表'!B49</f>
        <v>3.0499999999999999E-2</v>
      </c>
      <c r="G25" s="2818" t="s">
        <v>2290</v>
      </c>
      <c r="H25" s="2811"/>
      <c r="I25" s="2811"/>
      <c r="J25" s="2811"/>
      <c r="K25" s="2812"/>
    </row>
    <row r="26" spans="1:14" s="2116" customFormat="1" ht="13.5" customHeight="1">
      <c r="A26" s="2848" t="s">
        <v>1861</v>
      </c>
      <c r="B26" s="3031" t="s">
        <v>2834</v>
      </c>
      <c r="C26" s="2855">
        <f ca="1">C28</f>
        <v>1923</v>
      </c>
      <c r="D26" s="466">
        <f ca="1">C27</f>
        <v>0.10009999999999999</v>
      </c>
      <c r="E26" s="468" t="s">
        <v>494</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1856</v>
      </c>
      <c r="B27" s="2856" t="s">
        <v>495</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1857</v>
      </c>
      <c r="B28" s="2856" t="s">
        <v>2836</v>
      </c>
      <c r="C28" s="2858">
        <f ca="1">ROUND(IF('数据-取费表'!B22&lt;=1,(C18+C19+C20+C23+C24)*F26*'数据-取费表'!B24/2,(C18+C19+C20+C23+C24)*(POWER((1+F26),'数据-取费表'!B24/2)-1)),0)</f>
        <v>1923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1862</v>
      </c>
      <c r="B29" s="2849" t="s">
        <v>496</v>
      </c>
      <c r="C29" s="2850">
        <f ca="1">ROUND(C6*F29/(1+'数据-取费表'!C42),0)</f>
        <v>5312</v>
      </c>
      <c r="D29" s="467"/>
      <c r="E29" s="467"/>
      <c r="F29" s="3032">
        <f>'数据-取费表'!B41</f>
        <v>5.5000000000000007E-2</v>
      </c>
      <c r="G29" s="2819" t="s">
        <v>497</v>
      </c>
      <c r="H29" s="2811"/>
      <c r="I29" s="2811"/>
      <c r="J29" s="2811"/>
      <c r="K29" s="2812"/>
    </row>
    <row r="30" spans="1:14" s="2119" customFormat="1" ht="13.5" customHeight="1">
      <c r="A30" s="1634" t="s">
        <v>1863</v>
      </c>
      <c r="B30" s="2860" t="s">
        <v>499</v>
      </c>
      <c r="C30" s="2855">
        <f ca="1">C31</f>
        <v>47714</v>
      </c>
      <c r="D30" s="476">
        <f ca="1">C32</f>
        <v>0.12909999999999999</v>
      </c>
      <c r="E30" s="468" t="s">
        <v>494</v>
      </c>
      <c r="F30" s="470"/>
      <c r="G30" s="2818" t="s">
        <v>2966</v>
      </c>
      <c r="H30" s="2811"/>
      <c r="I30" s="2811"/>
      <c r="J30" s="2811"/>
      <c r="K30" s="2812"/>
    </row>
    <row r="31" spans="1:14" s="2118" customFormat="1" ht="13.5" customHeight="1">
      <c r="A31" s="802" t="s">
        <v>1856</v>
      </c>
      <c r="B31" s="2856"/>
      <c r="C31" s="449">
        <f ca="1">C18+C19+C20+C23+C24+C26+C29</f>
        <v>47714</v>
      </c>
      <c r="D31" s="471"/>
      <c r="E31" s="472"/>
      <c r="F31" s="473"/>
      <c r="G31" s="260"/>
      <c r="H31" s="2813"/>
      <c r="I31" s="2813"/>
      <c r="J31" s="2813"/>
      <c r="K31" s="278"/>
    </row>
    <row r="32" spans="1:14" s="2118" customFormat="1" ht="13.5" customHeight="1">
      <c r="A32" s="802" t="s">
        <v>1857</v>
      </c>
      <c r="B32" s="2856"/>
      <c r="C32" s="53">
        <f ca="1">ROUND(C25+D26,4)</f>
        <v>0.12909999999999999</v>
      </c>
      <c r="D32" s="471"/>
      <c r="E32" s="472"/>
      <c r="F32" s="473"/>
      <c r="G32" s="260"/>
      <c r="H32" s="2813"/>
      <c r="I32" s="2813"/>
      <c r="J32" s="2813"/>
      <c r="K32" s="278"/>
    </row>
    <row r="33" spans="1:11" s="2120" customFormat="1" ht="13.5" customHeight="1">
      <c r="A33" s="3029" t="s">
        <v>2831</v>
      </c>
      <c r="B33" s="3027" t="s">
        <v>2829</v>
      </c>
      <c r="C33" s="477">
        <f ca="1">C35</f>
        <v>4453</v>
      </c>
      <c r="D33" s="466">
        <f ca="1">C34</f>
        <v>0.1132</v>
      </c>
      <c r="E33" s="468" t="s">
        <v>494</v>
      </c>
      <c r="F33" s="478">
        <f ca="1">IF(B1="",'数据-取费表'!Q16,INDIRECT("'数据-取费表'!q"&amp;$K$1))</f>
        <v>0.11</v>
      </c>
      <c r="G33" s="2814"/>
      <c r="H33" s="2815"/>
      <c r="I33" s="2815"/>
      <c r="J33" s="2815"/>
      <c r="K33" s="2816"/>
    </row>
    <row r="34" spans="1:11" s="2121" customFormat="1" ht="13.5" customHeight="1">
      <c r="A34" s="374" t="s">
        <v>1856</v>
      </c>
      <c r="B34" s="2861" t="s">
        <v>500</v>
      </c>
      <c r="C34" s="471">
        <f ca="1">ROUND((1+C25)*F33,4)</f>
        <v>0.1132</v>
      </c>
      <c r="D34" s="471"/>
      <c r="E34" s="472"/>
      <c r="F34" s="479"/>
      <c r="G34" s="260" t="s">
        <v>2291</v>
      </c>
      <c r="H34" s="2813"/>
      <c r="I34" s="2813"/>
      <c r="J34" s="2813"/>
      <c r="K34" s="278"/>
    </row>
    <row r="35" spans="1:11" s="2121" customFormat="1" ht="13.5" customHeight="1" thickBot="1">
      <c r="A35" s="1635" t="s">
        <v>1857</v>
      </c>
      <c r="B35" s="3028" t="s">
        <v>2837</v>
      </c>
      <c r="C35" s="1627">
        <f ca="1">ROUND((C18+C19+C20+C23+C24)*F33,0)</f>
        <v>4453</v>
      </c>
      <c r="D35" s="1628"/>
      <c r="E35" s="2862"/>
      <c r="F35" s="1629"/>
      <c r="G35" s="2820"/>
      <c r="H35" s="2821"/>
      <c r="I35" s="2821"/>
      <c r="J35" s="2821"/>
      <c r="K35" s="2822"/>
    </row>
    <row r="36" spans="1:11" s="2083" customFormat="1" ht="13.5" customHeight="1" thickBot="1">
      <c r="A36" s="283" t="s">
        <v>1844</v>
      </c>
      <c r="B36" s="2824"/>
      <c r="C36" s="2863">
        <f ca="1">ROUND((C6-C30-C33)/(1+D30+D33),0)</f>
        <v>39641</v>
      </c>
      <c r="D36" s="2824"/>
      <c r="E36" s="2824"/>
      <c r="F36" s="2824"/>
      <c r="G36" s="2823" t="s">
        <v>2838</v>
      </c>
      <c r="H36" s="2824"/>
      <c r="I36" s="2824"/>
      <c r="J36" s="2824"/>
      <c r="K36" s="2825"/>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19" t="str">
        <f>项目基本情况!B1</f>
        <v>江苏省泰州市泰兴市银杏路北侧、济川路东侧1号地块出让国有建设用地使用权抵押价格预评估</v>
      </c>
      <c r="C37" s="3219"/>
      <c r="D37" s="3219"/>
      <c r="E37" s="3219"/>
      <c r="F37" s="3219"/>
      <c r="G37" s="3219"/>
      <c r="H37" s="3219"/>
      <c r="I37" s="3219"/>
    </row>
    <row r="38" spans="1:9">
      <c r="A38" s="1655"/>
      <c r="B38" s="1655"/>
    </row>
    <row r="39" spans="1:9">
      <c r="A39" s="1653" t="s">
        <v>1901</v>
      </c>
      <c r="B39" s="1653" t="s">
        <v>2047</v>
      </c>
    </row>
    <row r="40" spans="1:9">
      <c r="A40" s="1653"/>
      <c r="B40" s="1653" t="str">
        <f>项目基本情况!B5</f>
        <v>泰兴市广源房地产开发有限公司</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王鹏、郑燚</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465</v>
      </c>
      <c r="B1" s="2807"/>
      <c r="C1" s="2102"/>
      <c r="D1" s="2102"/>
      <c r="E1" s="2102"/>
      <c r="F1" s="2102"/>
      <c r="G1" s="2102"/>
      <c r="H1" s="2102"/>
      <c r="I1" s="2102"/>
      <c r="J1" s="2102"/>
      <c r="K1" s="421">
        <f>MATCH(B1,'数据-取费表'!A6:A16,0)+5</f>
        <v>12</v>
      </c>
    </row>
    <row r="2" spans="1:41" s="2039" customFormat="1" ht="18" customHeight="1">
      <c r="A2" s="422" t="s">
        <v>466</v>
      </c>
      <c r="B2" s="423">
        <f ca="1">C32</f>
        <v>0</v>
      </c>
      <c r="C2" s="2102"/>
      <c r="D2" s="2102"/>
      <c r="E2" s="2102"/>
      <c r="F2" s="2102"/>
      <c r="G2" s="2102"/>
      <c r="H2" s="2102"/>
      <c r="I2" s="2102"/>
      <c r="J2" s="2102"/>
      <c r="K2" s="2102"/>
    </row>
    <row r="3" spans="1:41" s="2039" customFormat="1" ht="18" customHeight="1">
      <c r="A3" s="1378"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467</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468</v>
      </c>
      <c r="D5" s="2102"/>
      <c r="E5" s="2102"/>
      <c r="F5" s="2102"/>
      <c r="G5" s="2102"/>
      <c r="H5" s="2102"/>
      <c r="I5" s="2102"/>
      <c r="J5" s="2102"/>
      <c r="K5" s="2102"/>
    </row>
    <row r="6" spans="1:41" s="2109" customFormat="1" ht="16.5" customHeight="1">
      <c r="A6" s="431" t="s">
        <v>2650</v>
      </c>
      <c r="B6" s="432"/>
      <c r="C6" s="1622">
        <f>SUM(C10:K10)</f>
        <v>0</v>
      </c>
      <c r="D6" s="2107"/>
      <c r="E6" s="2107"/>
      <c r="F6" s="2107"/>
      <c r="G6" s="2107"/>
      <c r="H6" s="2107"/>
      <c r="I6" s="2107"/>
      <c r="J6" s="2107"/>
      <c r="K6" s="2108"/>
    </row>
    <row r="7" spans="1:41" s="2111" customFormat="1" ht="15">
      <c r="A7" s="433" t="s">
        <v>469</v>
      </c>
      <c r="B7" s="434" t="s">
        <v>470</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7" t="s">
        <v>471</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473</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3" t="s">
        <v>469</v>
      </c>
      <c r="B12" s="443" t="s">
        <v>470</v>
      </c>
      <c r="C12" s="444" t="s">
        <v>474</v>
      </c>
      <c r="D12" s="445" t="s">
        <v>475</v>
      </c>
      <c r="E12" s="445" t="s">
        <v>476</v>
      </c>
      <c r="F12" s="445" t="s">
        <v>477</v>
      </c>
      <c r="G12" s="443"/>
      <c r="H12" s="446"/>
      <c r="I12" s="446"/>
      <c r="J12" s="446"/>
      <c r="K12" s="447"/>
    </row>
    <row r="13" spans="1:41" s="2114" customFormat="1" ht="13.5" customHeight="1">
      <c r="A13" s="1632" t="s">
        <v>1848</v>
      </c>
      <c r="B13" s="448" t="s">
        <v>478</v>
      </c>
      <c r="C13" s="449">
        <f ca="1">IF(B1="",'数据-取费表'!M16,INDIRECT("'数据-取费表'!M"&amp;$K$1)+INDIRECT("'数据-取费表'!t"&amp;$K$1))</f>
        <v>30463</v>
      </c>
      <c r="D13" s="450"/>
      <c r="E13" s="364"/>
      <c r="F13" s="451"/>
      <c r="G13" s="443"/>
      <c r="H13" s="446"/>
      <c r="I13" s="446"/>
      <c r="J13" s="446"/>
      <c r="K13" s="447"/>
    </row>
    <row r="14" spans="1:41" s="2114" customFormat="1" ht="13.5" customHeight="1">
      <c r="A14" s="1632" t="s">
        <v>1849</v>
      </c>
      <c r="B14" s="448" t="s">
        <v>479</v>
      </c>
      <c r="C14" s="53">
        <f ca="1">ROUND(C13*F14,0)</f>
        <v>914</v>
      </c>
      <c r="D14" s="450"/>
      <c r="E14" s="364"/>
      <c r="F14" s="452">
        <f>'数据-取费表'!B33</f>
        <v>0.03</v>
      </c>
      <c r="G14" s="443" t="s">
        <v>501</v>
      </c>
      <c r="H14" s="446"/>
      <c r="I14" s="446"/>
      <c r="J14" s="446"/>
      <c r="K14" s="447"/>
    </row>
    <row r="15" spans="1:41" s="2114" customFormat="1" ht="13.5" customHeight="1">
      <c r="A15" s="1632" t="s">
        <v>1850</v>
      </c>
      <c r="B15" s="448" t="s">
        <v>481</v>
      </c>
      <c r="C15" s="53">
        <f ca="1">ROUND(IF(B1="",SUMIF('数据-取费表'!C:C,"住宅",'数据-取费表'!M:M)*F15,IF(INDIRECT("'数据-取费表'!c"&amp;$K$1)="住宅",INDIRECT("'数据-取费表'!M"&amp;$K$1)*F15,0)),0)</f>
        <v>1152</v>
      </c>
      <c r="D15" s="450"/>
      <c r="E15" s="364"/>
      <c r="F15" s="452">
        <f>'数据-取费表'!B34</f>
        <v>0.05</v>
      </c>
      <c r="G15" s="443" t="s">
        <v>501</v>
      </c>
      <c r="H15" s="446"/>
      <c r="I15" s="446"/>
      <c r="J15" s="446"/>
      <c r="K15" s="447"/>
    </row>
    <row r="16" spans="1:41" s="2115" customFormat="1" ht="13.5" customHeight="1">
      <c r="A16" s="1632" t="s">
        <v>1851</v>
      </c>
      <c r="B16" s="448" t="s">
        <v>483</v>
      </c>
      <c r="C16" s="53">
        <f ca="1">ROUND(D16*E16/10000,0)</f>
        <v>2975</v>
      </c>
      <c r="D16" s="450">
        <f ca="1">IF(B1="",'数据-汇总表'!E3,INDIRECT("'数据-取费表'!K"&amp;$K$1)+INDIRECT("'数据-取费表'!S"&amp;$K$1))</f>
        <v>148752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8" t="s">
        <v>484</v>
      </c>
      <c r="C17" s="453">
        <f ca="1">ROUND(C13*F17,0)</f>
        <v>457</v>
      </c>
      <c r="D17" s="454"/>
      <c r="E17" s="453"/>
      <c r="F17" s="455">
        <f>'数据-取费表'!B36</f>
        <v>1.4999999999999999E-2</v>
      </c>
      <c r="G17" s="443" t="s">
        <v>501</v>
      </c>
      <c r="H17" s="456"/>
      <c r="I17" s="456"/>
      <c r="J17" s="456"/>
      <c r="K17" s="457"/>
    </row>
    <row r="18" spans="1:14" s="2117" customFormat="1" ht="13.5" customHeight="1">
      <c r="A18" s="1633" t="s">
        <v>1853</v>
      </c>
      <c r="B18" s="458" t="s">
        <v>486</v>
      </c>
      <c r="C18" s="459">
        <f ca="1">SUM(C13:C17)</f>
        <v>35961</v>
      </c>
      <c r="D18" s="460"/>
      <c r="E18" s="461"/>
      <c r="F18" s="461"/>
      <c r="G18" s="1326" t="s">
        <v>2432</v>
      </c>
      <c r="H18" s="446"/>
      <c r="I18" s="446"/>
      <c r="J18" s="446"/>
      <c r="K18" s="447"/>
    </row>
    <row r="19" spans="1:14" s="2117" customFormat="1" ht="13.5" customHeight="1">
      <c r="A19" s="1633" t="s">
        <v>1854</v>
      </c>
      <c r="B19" s="458" t="s">
        <v>492</v>
      </c>
      <c r="C19" s="459">
        <f ca="1">ROUND(C18*F19,0)</f>
        <v>719</v>
      </c>
      <c r="D19" s="461"/>
      <c r="E19" s="461"/>
      <c r="F19" s="465">
        <f>'数据-取费表'!B37</f>
        <v>0.02</v>
      </c>
      <c r="G19" s="443" t="s">
        <v>502</v>
      </c>
      <c r="H19" s="446"/>
      <c r="I19" s="446"/>
      <c r="J19" s="446"/>
      <c r="K19" s="447"/>
      <c r="L19" s="2119"/>
      <c r="M19" s="2119"/>
      <c r="N19" s="2119"/>
    </row>
    <row r="20" spans="1:14" s="2117" customFormat="1" ht="13.5" customHeight="1">
      <c r="A20" s="1633" t="s">
        <v>1855</v>
      </c>
      <c r="B20" s="458" t="s">
        <v>503</v>
      </c>
      <c r="C20" s="3025">
        <f>F20</f>
        <v>1.4999999999999999E-2</v>
      </c>
      <c r="D20" s="468" t="s">
        <v>504</v>
      </c>
      <c r="E20" s="468"/>
      <c r="F20" s="485">
        <f>'数据-取费表'!B38</f>
        <v>1.4999999999999999E-2</v>
      </c>
      <c r="G20" s="1326" t="s">
        <v>505</v>
      </c>
      <c r="H20" s="446"/>
      <c r="I20" s="446"/>
      <c r="J20" s="446"/>
      <c r="K20" s="447"/>
      <c r="L20" s="2119"/>
      <c r="M20" s="2119"/>
      <c r="N20" s="2119"/>
    </row>
    <row r="21" spans="1:14" s="2119" customFormat="1" ht="13.5" customHeight="1">
      <c r="A21" s="1633" t="s">
        <v>1858</v>
      </c>
      <c r="B21" s="460" t="s">
        <v>493</v>
      </c>
      <c r="C21" s="469">
        <f ca="1">C22</f>
        <v>1742</v>
      </c>
      <c r="D21" s="466">
        <f ca="1">C23</f>
        <v>6.9999999999999999E-4</v>
      </c>
      <c r="E21" s="468" t="s">
        <v>506</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2" t="s">
        <v>1848</v>
      </c>
      <c r="B22" s="1327" t="s">
        <v>2435</v>
      </c>
      <c r="C22" s="486">
        <f ca="1">ROUND(IF('数据-取费表'!B22&lt;=1,(C18+C19)*F21*'数据-取费表'!B20/2,(C18+C19)*(POWER((1+F21),'数据-取费表'!B20/2)-1)),0)</f>
        <v>1742</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1849</v>
      </c>
      <c r="B23" s="1327" t="s">
        <v>507</v>
      </c>
      <c r="C23" s="487">
        <f ca="1">ROUND(IF('数据-取费表'!B22&lt;=1,F20*F21*'数据-取费表'!B20/2,F20*(POWER((1+F21),'数据-取费表'!B20/2)-1)),4)</f>
        <v>6.9999999999999999E-4</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1859</v>
      </c>
      <c r="B24" s="3027" t="s">
        <v>2830</v>
      </c>
      <c r="C24" s="477">
        <f ca="1">C25</f>
        <v>4035</v>
      </c>
      <c r="D24" s="488">
        <f ca="1">C26</f>
        <v>1.6999999999999999E-3</v>
      </c>
      <c r="E24" s="468" t="s">
        <v>506</v>
      </c>
      <c r="F24" s="478">
        <f ca="1">IF(B1="",'数据-取费表'!Q16,INDIRECT("'数据-取费表'!q"&amp;$K$1))</f>
        <v>0.11</v>
      </c>
      <c r="G24" s="443"/>
      <c r="H24" s="446"/>
      <c r="I24" s="446"/>
      <c r="J24" s="446"/>
      <c r="K24" s="447"/>
    </row>
    <row r="25" spans="1:14" s="2118" customFormat="1" ht="13.5" customHeight="1">
      <c r="A25" s="1632" t="s">
        <v>1848</v>
      </c>
      <c r="B25" s="1327" t="s">
        <v>2436</v>
      </c>
      <c r="C25" s="489">
        <f ca="1">ROUND((C18+C19)*F24,0)</f>
        <v>4035</v>
      </c>
      <c r="D25" s="471"/>
      <c r="E25" s="472"/>
      <c r="F25" s="479"/>
      <c r="G25" s="1325" t="s">
        <v>2433</v>
      </c>
      <c r="H25" s="456"/>
      <c r="I25" s="456"/>
      <c r="J25" s="456"/>
      <c r="K25" s="457"/>
    </row>
    <row r="26" spans="1:14" s="2118" customFormat="1" ht="13.5" customHeight="1">
      <c r="A26" s="1632" t="s">
        <v>1849</v>
      </c>
      <c r="B26" s="1327" t="s">
        <v>508</v>
      </c>
      <c r="C26" s="490">
        <f ca="1">ROUND(F20*F24,4)</f>
        <v>1.6999999999999999E-3</v>
      </c>
      <c r="D26" s="471"/>
      <c r="E26" s="480"/>
      <c r="F26" s="479"/>
      <c r="G26" s="1325" t="s">
        <v>509</v>
      </c>
      <c r="H26" s="456"/>
      <c r="I26" s="456"/>
      <c r="J26" s="456"/>
      <c r="K26" s="457"/>
    </row>
    <row r="27" spans="1:14" s="2118" customFormat="1" ht="13.5" customHeight="1">
      <c r="A27" s="1636" t="s">
        <v>1867</v>
      </c>
      <c r="B27" s="458" t="s">
        <v>510</v>
      </c>
      <c r="C27" s="3026">
        <f>ROUND(F27/(1+'数据-取费表'!C42),4)</f>
        <v>5.2400000000000002E-2</v>
      </c>
      <c r="D27" s="461" t="s">
        <v>2828</v>
      </c>
      <c r="E27" s="461"/>
      <c r="F27" s="465">
        <f>'数据-取费表'!B41</f>
        <v>5.5000000000000007E-2</v>
      </c>
      <c r="G27" s="1958" t="s">
        <v>2292</v>
      </c>
      <c r="H27" s="446"/>
      <c r="I27" s="446"/>
      <c r="J27" s="446"/>
      <c r="K27" s="447"/>
    </row>
    <row r="28" spans="1:14" s="2119" customFormat="1" ht="13.5" customHeight="1">
      <c r="A28" s="1636" t="s">
        <v>1868</v>
      </c>
      <c r="B28" s="475" t="s">
        <v>511</v>
      </c>
      <c r="C28" s="469">
        <f ca="1">ROUND((C18+C19+C21+C24)/(1-C20-D21-D24-C27),0)</f>
        <v>45643</v>
      </c>
      <c r="D28" s="476"/>
      <c r="E28" s="468"/>
      <c r="F28" s="470"/>
      <c r="G28" s="1326" t="s">
        <v>2434</v>
      </c>
      <c r="H28" s="446"/>
      <c r="I28" s="446"/>
      <c r="J28" s="446"/>
      <c r="K28" s="447"/>
    </row>
    <row r="29" spans="1:14" s="2119" customFormat="1" ht="13.5" customHeight="1">
      <c r="A29" s="1636" t="s">
        <v>1869</v>
      </c>
      <c r="B29" s="475" t="s">
        <v>512</v>
      </c>
      <c r="C29" s="491">
        <f ca="1">IF(B1="",'数据-取费表'!N16,INDIRECT("'数据-取费表'!N"&amp;$K$1))</f>
        <v>0</v>
      </c>
      <c r="D29" s="492"/>
      <c r="E29" s="493"/>
      <c r="F29" s="494"/>
      <c r="G29" s="443"/>
      <c r="H29" s="446"/>
      <c r="I29" s="446"/>
      <c r="J29" s="446"/>
      <c r="K29" s="447"/>
    </row>
    <row r="30" spans="1:14" s="2119" customFormat="1" ht="13.5" customHeight="1">
      <c r="A30" s="442">
        <v>2</v>
      </c>
      <c r="B30" s="475" t="s">
        <v>513</v>
      </c>
      <c r="C30" s="496">
        <f ca="1">ROUND(C28*C29,0)</f>
        <v>0</v>
      </c>
      <c r="D30" s="492"/>
      <c r="E30" s="497"/>
      <c r="F30" s="498"/>
      <c r="G30" s="1328" t="s">
        <v>514</v>
      </c>
      <c r="H30" s="495"/>
      <c r="I30" s="495"/>
      <c r="J30" s="446"/>
      <c r="K30" s="447"/>
    </row>
    <row r="31" spans="1:14" s="2124" customFormat="1" ht="13.5" customHeight="1">
      <c r="A31" s="2480" t="s">
        <v>1865</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1" t="s">
        <v>2967</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466</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519</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520</v>
      </c>
      <c r="B6" s="512"/>
      <c r="C6" s="3393" t="s">
        <v>521</v>
      </c>
      <c r="D6" s="3394"/>
      <c r="E6" s="3429" t="s">
        <v>522</v>
      </c>
      <c r="F6" s="3430"/>
      <c r="G6" s="3393" t="s">
        <v>523</v>
      </c>
      <c r="H6" s="3394"/>
      <c r="I6" s="3393" t="s">
        <v>524</v>
      </c>
      <c r="J6" s="3394"/>
      <c r="K6" s="513" t="s">
        <v>525</v>
      </c>
      <c r="L6" s="2131"/>
      <c r="M6" s="2132"/>
      <c r="N6" s="2132"/>
      <c r="O6" s="2132"/>
      <c r="P6" s="3395" t="s">
        <v>526</v>
      </c>
      <c r="Q6" s="3396"/>
      <c r="R6" s="3401" t="s">
        <v>522</v>
      </c>
      <c r="S6" s="3402"/>
      <c r="T6" s="3401" t="s">
        <v>523</v>
      </c>
      <c r="U6" s="3402"/>
      <c r="V6" s="3388" t="s">
        <v>524</v>
      </c>
      <c r="W6" s="3388"/>
      <c r="X6" s="1566"/>
      <c r="Y6" s="3401" t="s">
        <v>526</v>
      </c>
      <c r="Z6" s="3402"/>
      <c r="AA6" s="3390" t="s">
        <v>522</v>
      </c>
      <c r="AB6" s="3391" t="s">
        <v>523</v>
      </c>
      <c r="AC6" s="3390" t="s">
        <v>524</v>
      </c>
    </row>
    <row r="7" spans="1:29" ht="15">
      <c r="A7" s="514"/>
      <c r="B7" s="515"/>
      <c r="C7" s="3409" t="s">
        <v>2921</v>
      </c>
      <c r="D7" s="3410"/>
      <c r="E7" s="3431" t="s">
        <v>2922</v>
      </c>
      <c r="F7" s="3432"/>
      <c r="G7" s="3409" t="s">
        <v>2923</v>
      </c>
      <c r="H7" s="3410"/>
      <c r="I7" s="3409" t="s">
        <v>2924</v>
      </c>
      <c r="J7" s="3410"/>
      <c r="K7" s="513"/>
      <c r="L7" s="2131"/>
      <c r="M7" s="2132"/>
      <c r="N7" s="2132"/>
      <c r="O7" s="2132"/>
      <c r="P7" s="3397"/>
      <c r="Q7" s="3398"/>
      <c r="R7" s="3403"/>
      <c r="S7" s="3404"/>
      <c r="T7" s="3403"/>
      <c r="U7" s="3404"/>
      <c r="V7" s="3388"/>
      <c r="W7" s="3388"/>
      <c r="X7" s="1566"/>
      <c r="Y7" s="3403"/>
      <c r="Z7" s="3404"/>
      <c r="AA7" s="3391"/>
      <c r="AB7" s="3391"/>
      <c r="AC7" s="3391"/>
    </row>
    <row r="8" spans="1:29" ht="15.75" thickBot="1">
      <c r="A8" s="516"/>
      <c r="B8" s="517"/>
      <c r="C8" s="3426" t="s">
        <v>2925</v>
      </c>
      <c r="D8" s="3408"/>
      <c r="E8" s="3427" t="s">
        <v>2925</v>
      </c>
      <c r="F8" s="3428"/>
      <c r="G8" s="3426" t="s">
        <v>2925</v>
      </c>
      <c r="H8" s="3408"/>
      <c r="I8" s="3426" t="s">
        <v>2925</v>
      </c>
      <c r="J8" s="3408"/>
      <c r="K8" s="513" t="s">
        <v>527</v>
      </c>
      <c r="L8" s="2131"/>
      <c r="M8" s="2132"/>
      <c r="N8" s="2132"/>
      <c r="O8" s="2132"/>
      <c r="P8" s="3399"/>
      <c r="Q8" s="3400"/>
      <c r="R8" s="3403"/>
      <c r="S8" s="3404"/>
      <c r="T8" s="3405"/>
      <c r="U8" s="3406"/>
      <c r="V8" s="3388"/>
      <c r="W8" s="3388"/>
      <c r="X8" s="1566"/>
      <c r="Y8" s="3405"/>
      <c r="Z8" s="3406"/>
      <c r="AA8" s="3392"/>
      <c r="AB8" s="3392"/>
      <c r="AC8" s="3392"/>
    </row>
    <row r="9" spans="1:29" s="1219" customFormat="1" ht="15.75" thickBot="1">
      <c r="A9" s="2909"/>
      <c r="B9" s="2916" t="s">
        <v>528</v>
      </c>
      <c r="C9" s="518">
        <f>'数据-取费表'!B2</f>
        <v>43391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9" t="s">
        <v>529</v>
      </c>
      <c r="Q9" s="3421"/>
      <c r="R9" s="1567" t="s">
        <v>8</v>
      </c>
      <c r="S9" s="1568">
        <f t="shared" ref="S9:S17" si="0">F9</f>
        <v>0</v>
      </c>
      <c r="T9" s="1567" t="s">
        <v>8</v>
      </c>
      <c r="U9" s="1568">
        <f t="shared" ref="U9:U17" si="1">H9</f>
        <v>0</v>
      </c>
      <c r="V9" s="1567" t="s">
        <v>8</v>
      </c>
      <c r="W9" s="1568">
        <f t="shared" ref="W9:W17" si="2">J9</f>
        <v>0</v>
      </c>
      <c r="X9" s="1569"/>
      <c r="Y9" s="3419" t="s">
        <v>529</v>
      </c>
      <c r="Z9" s="3420"/>
      <c r="AA9" s="1570" t="e">
        <f>D9/F9</f>
        <v>#DIV/0!</v>
      </c>
      <c r="AB9" s="1570" t="e">
        <f>D9/H9</f>
        <v>#DIV/0!</v>
      </c>
      <c r="AC9" s="1570" t="e">
        <f>D9/J9</f>
        <v>#DIV/0!</v>
      </c>
    </row>
    <row r="10" spans="1:29" s="1219" customFormat="1" ht="15.75" thickBot="1">
      <c r="A10" s="2910"/>
      <c r="B10" s="2917"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9" t="s">
        <v>532</v>
      </c>
      <c r="Q10" s="3420"/>
      <c r="R10" s="1567" t="s">
        <v>8</v>
      </c>
      <c r="S10" s="1568">
        <f t="shared" si="0"/>
        <v>0</v>
      </c>
      <c r="T10" s="1567" t="s">
        <v>8</v>
      </c>
      <c r="U10" s="1568">
        <f t="shared" si="1"/>
        <v>0</v>
      </c>
      <c r="V10" s="1567" t="s">
        <v>8</v>
      </c>
      <c r="W10" s="1568">
        <f t="shared" si="2"/>
        <v>0</v>
      </c>
      <c r="X10" s="1569"/>
      <c r="Y10" s="3419" t="s">
        <v>532</v>
      </c>
      <c r="Z10" s="3420"/>
      <c r="AA10" s="1570" t="e">
        <f t="shared" ref="AA10:AA42" si="3">D10/F10</f>
        <v>#DIV/0!</v>
      </c>
      <c r="AB10" s="1570" t="e">
        <f t="shared" ref="AB10:AB42" si="4">D10/H10</f>
        <v>#DIV/0!</v>
      </c>
      <c r="AC10" s="1570" t="e">
        <f t="shared" ref="AC10:AC42" si="5">D10/J10</f>
        <v>#DIV/0!</v>
      </c>
    </row>
    <row r="11" spans="1:29" s="1219" customFormat="1" ht="15">
      <c r="A11" s="2911"/>
      <c r="B11" s="2918" t="s">
        <v>2754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7" t="s">
        <v>534</v>
      </c>
      <c r="Q11" s="1150" t="str">
        <f t="shared" ref="Q11:Q17" si="6">B11</f>
        <v>用途</v>
      </c>
      <c r="R11" s="1567" t="s">
        <v>8</v>
      </c>
      <c r="S11" s="1568">
        <f t="shared" si="0"/>
        <v>100</v>
      </c>
      <c r="T11" s="1567" t="s">
        <v>8</v>
      </c>
      <c r="U11" s="1568">
        <f t="shared" si="1"/>
        <v>100</v>
      </c>
      <c r="V11" s="1567" t="s">
        <v>8</v>
      </c>
      <c r="W11" s="1568">
        <f t="shared" si="2"/>
        <v>100</v>
      </c>
      <c r="X11" s="1569"/>
      <c r="Y11" s="3333" t="s">
        <v>535</v>
      </c>
      <c r="Z11" s="1149" t="str">
        <f t="shared" ref="Z11:Z17" si="7">Q11</f>
        <v>用途</v>
      </c>
      <c r="AA11" s="1570">
        <f t="shared" si="3"/>
        <v>1</v>
      </c>
      <c r="AB11" s="1570">
        <f t="shared" si="4"/>
        <v>1</v>
      </c>
      <c r="AC11" s="1570">
        <f t="shared" si="5"/>
        <v>1</v>
      </c>
    </row>
    <row r="12" spans="1:29" s="1337" customFormat="1" ht="27">
      <c r="A12" s="2912"/>
      <c r="B12" s="2917" t="s">
        <v>2755</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87"/>
      <c r="Q12" s="1150" t="str">
        <f t="shared" si="6"/>
        <v>土地使用年限（年）</v>
      </c>
      <c r="R12" s="1567" t="s">
        <v>8</v>
      </c>
      <c r="S12" s="1568">
        <f t="shared" si="0"/>
        <v>100</v>
      </c>
      <c r="T12" s="1567" t="s">
        <v>8</v>
      </c>
      <c r="U12" s="1568">
        <f t="shared" si="1"/>
        <v>100</v>
      </c>
      <c r="V12" s="1567" t="s">
        <v>8</v>
      </c>
      <c r="W12" s="1568">
        <f t="shared" si="2"/>
        <v>100</v>
      </c>
      <c r="X12" s="1569"/>
      <c r="Y12" s="3333"/>
      <c r="Z12" s="1149" t="str">
        <f t="shared" si="7"/>
        <v>土地使用年限（年）</v>
      </c>
      <c r="AA12" s="1570">
        <f t="shared" si="3"/>
        <v>1</v>
      </c>
      <c r="AB12" s="1570">
        <f t="shared" si="4"/>
        <v>1</v>
      </c>
      <c r="AC12" s="1570">
        <f t="shared" si="5"/>
        <v>1</v>
      </c>
    </row>
    <row r="13" spans="1:29" ht="15">
      <c r="A13" s="2913"/>
      <c r="B13" s="2917"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7"/>
      <c r="Q13" s="1150" t="str">
        <f t="shared" si="6"/>
        <v>容积率</v>
      </c>
      <c r="R13" s="1567" t="s">
        <v>8</v>
      </c>
      <c r="S13" s="1568" t="e">
        <f t="shared" si="0"/>
        <v>#N/A</v>
      </c>
      <c r="T13" s="1567" t="s">
        <v>8</v>
      </c>
      <c r="U13" s="1568" t="e">
        <f t="shared" si="1"/>
        <v>#N/A</v>
      </c>
      <c r="V13" s="1567" t="s">
        <v>8</v>
      </c>
      <c r="W13" s="1568" t="e">
        <f t="shared" si="2"/>
        <v>#N/A</v>
      </c>
      <c r="X13" s="1569"/>
      <c r="Y13" s="3333"/>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7"/>
      <c r="Q15" s="1150">
        <f t="shared" si="6"/>
        <v>111</v>
      </c>
      <c r="R15" s="1567" t="s">
        <v>8</v>
      </c>
      <c r="S15" s="1568">
        <f t="shared" si="0"/>
        <v>100</v>
      </c>
      <c r="T15" s="1567" t="s">
        <v>8</v>
      </c>
      <c r="U15" s="1568">
        <f t="shared" si="1"/>
        <v>100</v>
      </c>
      <c r="V15" s="1567" t="s">
        <v>8</v>
      </c>
      <c r="W15" s="1568">
        <f t="shared" si="2"/>
        <v>100</v>
      </c>
      <c r="X15" s="1569"/>
      <c r="Y15" s="3333"/>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7"/>
      <c r="Q16" s="1150">
        <f t="shared" si="6"/>
        <v>111</v>
      </c>
      <c r="R16" s="1567" t="s">
        <v>8</v>
      </c>
      <c r="S16" s="1568">
        <f t="shared" si="0"/>
        <v>100</v>
      </c>
      <c r="T16" s="1567" t="s">
        <v>8</v>
      </c>
      <c r="U16" s="1568">
        <f t="shared" si="1"/>
        <v>100</v>
      </c>
      <c r="V16" s="1567" t="s">
        <v>8</v>
      </c>
      <c r="W16" s="1568">
        <f t="shared" si="2"/>
        <v>100</v>
      </c>
      <c r="X16" s="1569"/>
      <c r="Y16" s="3333"/>
      <c r="Z16" s="1149">
        <f t="shared" si="7"/>
        <v>111</v>
      </c>
      <c r="AA16" s="1570">
        <f t="shared" si="3"/>
        <v>1</v>
      </c>
      <c r="AB16" s="1570">
        <f t="shared" si="4"/>
        <v>1</v>
      </c>
      <c r="AC16" s="1570">
        <f t="shared" si="5"/>
        <v>1</v>
      </c>
    </row>
    <row r="17" spans="1:29" ht="57">
      <c r="A17" s="2907"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22" t="s">
        <v>539</v>
      </c>
      <c r="Q17" s="1571" t="str">
        <f t="shared" si="6"/>
        <v>产业集聚程度</v>
      </c>
      <c r="R17" s="1572" t="s">
        <v>8</v>
      </c>
      <c r="S17" s="1573">
        <f t="shared" si="0"/>
        <v>100</v>
      </c>
      <c r="T17" s="1572" t="s">
        <v>8</v>
      </c>
      <c r="U17" s="1573">
        <f t="shared" si="1"/>
        <v>100</v>
      </c>
      <c r="V17" s="1572" t="s">
        <v>8</v>
      </c>
      <c r="W17" s="1573">
        <f t="shared" si="2"/>
        <v>100</v>
      </c>
      <c r="X17" s="1566"/>
      <c r="Y17" s="3422"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23"/>
      <c r="Q18" s="1571"/>
      <c r="R18" s="1572"/>
      <c r="S18" s="1573"/>
      <c r="T18" s="1572"/>
      <c r="U18" s="1573"/>
      <c r="V18" s="1572"/>
      <c r="W18" s="1573"/>
      <c r="X18" s="1566"/>
      <c r="Y18" s="3423"/>
      <c r="Z18" s="1574"/>
      <c r="AA18" s="1575">
        <v>1</v>
      </c>
      <c r="AB18" s="1575">
        <v>1</v>
      </c>
      <c r="AC18" s="1575">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423"/>
      <c r="Q20" s="1571"/>
      <c r="R20" s="1572"/>
      <c r="S20" s="1573"/>
      <c r="T20" s="1572"/>
      <c r="U20" s="1573"/>
      <c r="V20" s="1572"/>
      <c r="W20" s="1573"/>
      <c r="X20" s="1566"/>
      <c r="Y20" s="3423"/>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423"/>
      <c r="Q22" s="1571"/>
      <c r="R22" s="1572"/>
      <c r="S22" s="1573"/>
      <c r="T22" s="1572"/>
      <c r="U22" s="1573"/>
      <c r="V22" s="1572"/>
      <c r="W22" s="1573"/>
      <c r="X22" s="1566"/>
      <c r="Y22" s="3423"/>
      <c r="Z22" s="1574"/>
      <c r="AA22" s="1575"/>
      <c r="AB22" s="1575"/>
      <c r="AC22" s="1575"/>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23"/>
      <c r="Q24" s="1571"/>
      <c r="R24" s="1572"/>
      <c r="S24" s="1573"/>
      <c r="T24" s="1572"/>
      <c r="U24" s="1573"/>
      <c r="V24" s="1572"/>
      <c r="W24" s="1573"/>
      <c r="X24" s="1566"/>
      <c r="Y24" s="3423"/>
      <c r="Z24" s="1574"/>
      <c r="AA24" s="1575">
        <v>1</v>
      </c>
      <c r="AB24" s="1575">
        <v>1</v>
      </c>
      <c r="AC24" s="1575">
        <v>1</v>
      </c>
    </row>
    <row r="25" spans="1:29" s="1219" customFormat="1" ht="42.75">
      <c r="A25" s="576"/>
      <c r="B25" s="2591"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3"/>
      <c r="Q25" s="1150" t="str">
        <f t="shared" si="8"/>
        <v>公共配套设施</v>
      </c>
      <c r="R25" s="1567" t="s">
        <v>8</v>
      </c>
      <c r="S25" s="1568">
        <f>F25</f>
        <v>100</v>
      </c>
      <c r="T25" s="1567" t="s">
        <v>8</v>
      </c>
      <c r="U25" s="1568">
        <f>H25</f>
        <v>100</v>
      </c>
      <c r="V25" s="1567" t="s">
        <v>8</v>
      </c>
      <c r="W25" s="1568">
        <f>J25</f>
        <v>100</v>
      </c>
      <c r="X25" s="1569"/>
      <c r="Y25" s="3423"/>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423"/>
      <c r="Q26" s="1150"/>
      <c r="R26" s="1567"/>
      <c r="S26" s="1568"/>
      <c r="T26" s="1567"/>
      <c r="U26" s="1568"/>
      <c r="V26" s="1567"/>
      <c r="W26" s="1568"/>
      <c r="X26" s="1569"/>
      <c r="Y26" s="3423"/>
      <c r="Z26" s="1149"/>
      <c r="AA26" s="1570">
        <v>1</v>
      </c>
      <c r="AB26" s="1570">
        <v>1</v>
      </c>
      <c r="AC26" s="1570">
        <v>1</v>
      </c>
    </row>
    <row r="27" spans="1:29" s="1219" customFormat="1" ht="28.5">
      <c r="A27" s="576"/>
      <c r="B27" s="2591"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3"/>
      <c r="Q27" s="2576" t="str">
        <f t="shared" ref="Q27" si="9">B27</f>
        <v>基础设施水平</v>
      </c>
      <c r="R27" s="1567" t="s">
        <v>8</v>
      </c>
      <c r="S27" s="1568">
        <f>F27</f>
        <v>100</v>
      </c>
      <c r="T27" s="1567" t="s">
        <v>8</v>
      </c>
      <c r="U27" s="1568">
        <f>H27</f>
        <v>100</v>
      </c>
      <c r="V27" s="1567" t="s">
        <v>8</v>
      </c>
      <c r="W27" s="1568">
        <f>J27</f>
        <v>100</v>
      </c>
      <c r="X27" s="1569"/>
      <c r="Y27" s="3423"/>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423"/>
      <c r="Q28" s="2576"/>
      <c r="R28" s="1567"/>
      <c r="S28" s="1568"/>
      <c r="T28" s="1567"/>
      <c r="U28" s="1568"/>
      <c r="V28" s="1567"/>
      <c r="W28" s="1568"/>
      <c r="X28" s="1569"/>
      <c r="Y28" s="3423"/>
      <c r="Z28" s="2573"/>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7">
      <c r="A30" s="531"/>
      <c r="B30" s="921" t="s">
        <v>547</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23"/>
      <c r="Q31" s="1571"/>
      <c r="R31" s="1572"/>
      <c r="S31" s="1573"/>
      <c r="T31" s="1572"/>
      <c r="U31" s="1573"/>
      <c r="V31" s="1572"/>
      <c r="W31" s="1573"/>
      <c r="X31" s="1566"/>
      <c r="Y31" s="3423"/>
      <c r="Z31" s="1574"/>
      <c r="AA31" s="1575">
        <v>1</v>
      </c>
      <c r="AB31" s="1575">
        <v>1</v>
      </c>
      <c r="AC31" s="1575">
        <v>1</v>
      </c>
    </row>
    <row r="32" spans="1:29" ht="15">
      <c r="A32" s="531"/>
      <c r="B32" s="526" t="s">
        <v>548</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4" t="s">
        <v>549</v>
      </c>
      <c r="Q34" s="1571">
        <f t="shared" si="8"/>
        <v>111</v>
      </c>
      <c r="R34" s="1572" t="s">
        <v>8</v>
      </c>
      <c r="S34" s="1573">
        <f t="shared" si="10"/>
        <v>100</v>
      </c>
      <c r="T34" s="1572" t="s">
        <v>8</v>
      </c>
      <c r="U34" s="1573">
        <f t="shared" si="11"/>
        <v>100</v>
      </c>
      <c r="V34" s="1572" t="s">
        <v>8</v>
      </c>
      <c r="W34" s="1573">
        <f t="shared" si="12"/>
        <v>100</v>
      </c>
      <c r="X34" s="1566"/>
      <c r="Y34" s="3425" t="s">
        <v>549</v>
      </c>
      <c r="Z34" s="1574">
        <f t="shared" si="13"/>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90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5"/>
      <c r="Q36" s="1571" t="str">
        <f>B36</f>
        <v>宗地面积</v>
      </c>
      <c r="R36" s="1572" t="s">
        <v>8</v>
      </c>
      <c r="S36" s="1573" t="e">
        <f t="shared" si="10"/>
        <v>#N/A</v>
      </c>
      <c r="T36" s="1572" t="s">
        <v>8</v>
      </c>
      <c r="U36" s="1573" t="e">
        <f t="shared" si="11"/>
        <v>#N/A</v>
      </c>
      <c r="V36" s="1572" t="s">
        <v>8</v>
      </c>
      <c r="W36" s="1573" t="e">
        <f t="shared" si="12"/>
        <v>#N/A</v>
      </c>
      <c r="X36" s="1566"/>
      <c r="Y36" s="3425"/>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5"/>
      <c r="Q38" s="1571" t="str">
        <f t="shared" si="14"/>
        <v>宗地开发程度</v>
      </c>
      <c r="R38" s="1567" t="s">
        <v>8</v>
      </c>
      <c r="S38" s="1568">
        <f t="shared" si="10"/>
        <v>100</v>
      </c>
      <c r="T38" s="1567" t="s">
        <v>8</v>
      </c>
      <c r="U38" s="1568">
        <f t="shared" si="11"/>
        <v>100</v>
      </c>
      <c r="V38" s="1567" t="s">
        <v>8</v>
      </c>
      <c r="W38" s="1568">
        <f t="shared" si="12"/>
        <v>100</v>
      </c>
      <c r="X38" s="1569"/>
      <c r="Y38" s="3425"/>
      <c r="Z38" s="1149"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t="s">
        <v>600</v>
      </c>
      <c r="Q39" s="1571" t="str">
        <f t="shared" si="14"/>
        <v>工程地质条件</v>
      </c>
      <c r="R39" s="1572" t="s">
        <v>8</v>
      </c>
      <c r="S39" s="1573">
        <f t="shared" si="10"/>
        <v>100</v>
      </c>
      <c r="T39" s="1572" t="s">
        <v>8</v>
      </c>
      <c r="U39" s="1573">
        <f t="shared" si="11"/>
        <v>100</v>
      </c>
      <c r="V39" s="1572" t="s">
        <v>8</v>
      </c>
      <c r="W39" s="1573">
        <f t="shared" si="12"/>
        <v>100</v>
      </c>
      <c r="X39" s="1566"/>
      <c r="Y39" s="3425"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5">
      <c r="A43" s="606" t="s">
        <v>555</v>
      </c>
      <c r="B43" s="607" t="s">
        <v>2926</v>
      </c>
      <c r="C43" s="608" t="s">
        <v>1</v>
      </c>
      <c r="D43" s="609"/>
      <c r="E43" s="610"/>
      <c r="F43" s="611"/>
      <c r="G43" s="612"/>
      <c r="H43" s="613"/>
      <c r="I43" s="610"/>
      <c r="J43" s="613"/>
      <c r="K43" s="1339"/>
      <c r="L43" s="2142"/>
      <c r="M43" s="2132"/>
      <c r="N43" s="2132"/>
      <c r="O43" s="2143"/>
      <c r="P43" s="3387" t="str">
        <f>A43</f>
        <v>成交单价</v>
      </c>
      <c r="Q43" s="3387"/>
      <c r="R43" s="3388">
        <f>E43</f>
        <v>0</v>
      </c>
      <c r="S43" s="3388"/>
      <c r="T43" s="3388">
        <f>G43</f>
        <v>0</v>
      </c>
      <c r="U43" s="3388"/>
      <c r="V43" s="3388">
        <f>I43</f>
        <v>0</v>
      </c>
      <c r="W43" s="3388"/>
      <c r="X43" s="1558"/>
      <c r="Y43" s="1580"/>
      <c r="Z43" s="1558"/>
      <c r="AA43" s="1558"/>
      <c r="AB43" s="1558"/>
      <c r="AC43" s="1558"/>
    </row>
    <row r="44" spans="1:29" ht="15.75" thickBot="1">
      <c r="A44" s="614" t="s">
        <v>2691</v>
      </c>
      <c r="B44" s="615"/>
      <c r="C44" s="616" t="e">
        <f>R45</f>
        <v>#DIV/0!</v>
      </c>
      <c r="D44" s="617"/>
      <c r="E44" s="616" t="e">
        <f>R44</f>
        <v>#DIV/0!</v>
      </c>
      <c r="F44" s="618"/>
      <c r="G44" s="619" t="e">
        <f>T44</f>
        <v>#DIV/0!</v>
      </c>
      <c r="H44" s="617"/>
      <c r="I44" s="616" t="e">
        <f>V44</f>
        <v>#DIV/0!</v>
      </c>
      <c r="J44" s="617"/>
      <c r="K44" s="1340"/>
      <c r="L44" s="2142"/>
      <c r="M44" s="2132"/>
      <c r="N44" s="2132"/>
      <c r="O44" s="2143"/>
      <c r="P44" s="3387" t="str">
        <f>A44</f>
        <v>比较价格（元/平方米）</v>
      </c>
      <c r="Q44" s="3387"/>
      <c r="R44" s="3389" t="e">
        <f>ROUND(PRODUCT(R43,AA9:AA42),0)</f>
        <v>#DIV/0!</v>
      </c>
      <c r="S44" s="3389"/>
      <c r="T44" s="3389" t="e">
        <f>ROUND(PRODUCT(T43,AB9:AB42),0)</f>
        <v>#DIV/0!</v>
      </c>
      <c r="U44" s="3389"/>
      <c r="V44" s="3389" t="e">
        <f>ROUND(PRODUCT(V43,AC9:AC42),0)</f>
        <v>#DIV/0!</v>
      </c>
      <c r="W44" s="3389"/>
      <c r="X44" s="1558"/>
      <c r="Y44" s="1558"/>
      <c r="Z44" s="1558"/>
      <c r="AA44" s="1558"/>
      <c r="AB44" s="1558"/>
      <c r="AC44" s="1558"/>
    </row>
    <row r="45" spans="1:29" ht="15.75" thickBot="1">
      <c r="A45" s="620" t="s">
        <v>2927</v>
      </c>
      <c r="B45" s="621"/>
      <c r="C45" s="622" t="e">
        <f>R45</f>
        <v>#DIV/0!</v>
      </c>
      <c r="D45" s="622"/>
      <c r="E45" s="622"/>
      <c r="F45" s="622"/>
      <c r="G45" s="622"/>
      <c r="H45" s="622"/>
      <c r="I45" s="622"/>
      <c r="J45" s="622"/>
      <c r="K45" s="1341"/>
      <c r="L45" s="2142"/>
      <c r="M45" s="2132"/>
      <c r="N45" s="2132"/>
      <c r="O45" s="2143"/>
      <c r="P45" s="3384" t="str">
        <f>A45</f>
        <v>估价对象XX用房的比较价格（楼面单价，元/平方米）</v>
      </c>
      <c r="Q45" s="3385"/>
      <c r="R45" s="3386" t="e">
        <f>ROUND(AVERAGE(R44:V44),0)</f>
        <v>#DIV/0!</v>
      </c>
      <c r="S45" s="3386"/>
      <c r="T45" s="3386"/>
      <c r="U45" s="3386"/>
      <c r="V45" s="3386"/>
      <c r="W45" s="3386"/>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559</v>
      </c>
      <c r="B52" s="629" t="s">
        <v>560</v>
      </c>
      <c r="C52" s="1559" t="s">
        <v>1724</v>
      </c>
      <c r="D52" s="2225" t="s">
        <v>2294</v>
      </c>
      <c r="E52" s="630" t="s">
        <v>561</v>
      </c>
      <c r="F52" s="1949" t="s">
        <v>562</v>
      </c>
      <c r="G52" s="3433" t="s">
        <v>2285</v>
      </c>
      <c r="H52" s="3434"/>
      <c r="I52" s="1950" t="s">
        <v>1947</v>
      </c>
      <c r="J52" s="1554" t="str">
        <f>项目基本情况!F41</f>
        <v>江苏省泰州市泰兴市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563</v>
      </c>
      <c r="B53" s="633" t="e">
        <f>C45</f>
        <v>#DIV/0!</v>
      </c>
      <c r="C53" s="634">
        <v>1</v>
      </c>
      <c r="D53" s="2226">
        <v>1</v>
      </c>
      <c r="E53" s="634">
        <f>'数据-汇总表'!E8+'数据-汇总表'!E9</f>
        <v>111084</v>
      </c>
      <c r="F53" s="1948" t="e">
        <f t="shared" ref="F53:F62" si="15">ROUND(B53*E53/10000,0)</f>
        <v>#DIV/0!</v>
      </c>
      <c r="G53" s="3435"/>
      <c r="H53" s="3436"/>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564</v>
      </c>
      <c r="B54" s="637" t="e">
        <f>ROUND($C$45*C54*D54,0)</f>
        <v>#DIV/0!</v>
      </c>
      <c r="C54" s="377">
        <f t="shared" ref="C54:C62" si="16">IF($C$52="北京市系数",I54,J54)</f>
        <v>0</v>
      </c>
      <c r="D54" s="2227">
        <v>0.25</v>
      </c>
      <c r="E54" s="638"/>
      <c r="F54" s="1948" t="e">
        <f t="shared" si="15"/>
        <v>#DIV/0!</v>
      </c>
      <c r="G54" s="3437"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565</v>
      </c>
      <c r="B55" s="637" t="e">
        <f t="shared" ref="B55:B62" si="17">ROUND($C$45*C55*D55,0)</f>
        <v>#DIV/0!</v>
      </c>
      <c r="C55" s="377">
        <f t="shared" si="16"/>
        <v>0</v>
      </c>
      <c r="D55" s="2227">
        <v>0.25</v>
      </c>
      <c r="E55" s="638"/>
      <c r="F55" s="1948" t="e">
        <f t="shared" si="15"/>
        <v>#DIV/0!</v>
      </c>
      <c r="G55" s="3437"/>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566</v>
      </c>
      <c r="B56" s="637" t="e">
        <f t="shared" si="17"/>
        <v>#DIV/0!</v>
      </c>
      <c r="C56" s="377">
        <f t="shared" si="16"/>
        <v>0</v>
      </c>
      <c r="D56" s="2227">
        <v>0.25</v>
      </c>
      <c r="E56" s="638"/>
      <c r="F56" s="1948" t="e">
        <f t="shared" si="15"/>
        <v>#DIV/0!</v>
      </c>
      <c r="G56" s="3437"/>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567</v>
      </c>
      <c r="B57" s="637" t="e">
        <f t="shared" si="17"/>
        <v>#DIV/0!</v>
      </c>
      <c r="C57" s="377">
        <f t="shared" si="16"/>
        <v>0</v>
      </c>
      <c r="D57" s="2227">
        <v>0.25</v>
      </c>
      <c r="E57" s="638"/>
      <c r="F57" s="1948" t="e">
        <f t="shared" si="15"/>
        <v>#DIV/0!</v>
      </c>
      <c r="G57" s="3437"/>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2328</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568</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569</v>
      </c>
      <c r="B60" s="637" t="e">
        <f t="shared" si="17"/>
        <v>#DIV/0!</v>
      </c>
      <c r="C60" s="377">
        <f t="shared" si="16"/>
        <v>0</v>
      </c>
      <c r="D60" s="2227">
        <v>0.25</v>
      </c>
      <c r="E60" s="640">
        <f>'数据-汇总表'!E13</f>
        <v>35012</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570</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571</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572</v>
      </c>
      <c r="B63" s="642" t="s">
        <v>17</v>
      </c>
      <c r="C63" s="642" t="s">
        <v>18</v>
      </c>
      <c r="D63" s="642" t="s">
        <v>2295</v>
      </c>
      <c r="E63" s="642">
        <f>IF(B43="楼面地价",SUM(E53:E62),'数据-汇总表'!D3)</f>
        <v>56910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2018-10-1</v>
      </c>
      <c r="D65" s="2797">
        <f>EDATE(C65,-3)</f>
        <v>43282</v>
      </c>
      <c r="E65" s="2797">
        <f t="shared" ref="E65:N65" si="18">EDATE(D65,-3)</f>
        <v>43191</v>
      </c>
      <c r="F65" s="2797">
        <f t="shared" si="18"/>
        <v>43101</v>
      </c>
      <c r="G65" s="2797">
        <f t="shared" si="18"/>
        <v>43009</v>
      </c>
      <c r="H65" s="2797">
        <f t="shared" si="18"/>
        <v>42917</v>
      </c>
      <c r="I65" s="2797">
        <f t="shared" si="18"/>
        <v>42826</v>
      </c>
      <c r="J65" s="2797">
        <f t="shared" si="18"/>
        <v>42736</v>
      </c>
      <c r="K65" s="2797">
        <f t="shared" si="18"/>
        <v>42644</v>
      </c>
      <c r="L65" s="2797">
        <f t="shared" si="18"/>
        <v>42552</v>
      </c>
      <c r="M65" s="2797">
        <f t="shared" si="18"/>
        <v>42461</v>
      </c>
      <c r="N65" s="2797">
        <f t="shared" si="18"/>
        <v>42370</v>
      </c>
      <c r="O65" s="2143"/>
      <c r="P65" s="2143"/>
      <c r="Q65" s="2143"/>
      <c r="R65" s="2143"/>
      <c r="S65" s="2143"/>
      <c r="T65" s="2143"/>
      <c r="U65" s="2143"/>
      <c r="V65" s="2143"/>
      <c r="W65" s="2143"/>
      <c r="X65" s="2143"/>
      <c r="Y65" s="2143"/>
      <c r="Z65" s="2143"/>
      <c r="AA65" s="2143"/>
      <c r="AB65" s="2143"/>
      <c r="AC65" s="2143"/>
    </row>
    <row r="66" spans="1:29" ht="21.75" thickBot="1">
      <c r="A66" s="1583" t="s">
        <v>573</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2532</v>
      </c>
      <c r="B67" s="645"/>
      <c r="C67" s="2792" t="str">
        <f>YEAR(C65)&amp;"-"&amp;ROUNDUP(MONTH(C65)/3,0)</f>
        <v>2018-4</v>
      </c>
      <c r="D67" s="2799" t="str">
        <f t="shared" ref="D67:N67" si="19">YEAR(D65)&amp;"-"&amp;ROUNDUP(MONTH(D65)/3,0)</f>
        <v>2018-3</v>
      </c>
      <c r="E67" s="2799" t="str">
        <f t="shared" si="19"/>
        <v>2018-2</v>
      </c>
      <c r="F67" s="2799" t="str">
        <f t="shared" si="19"/>
        <v>2018-1</v>
      </c>
      <c r="G67" s="2799" t="str">
        <f t="shared" si="19"/>
        <v>2017-4</v>
      </c>
      <c r="H67" s="2799" t="str">
        <f t="shared" si="19"/>
        <v>2017-3</v>
      </c>
      <c r="I67" s="2799" t="str">
        <f t="shared" si="19"/>
        <v>2017-2</v>
      </c>
      <c r="J67" s="2799" t="str">
        <f t="shared" si="19"/>
        <v>2017-1</v>
      </c>
      <c r="K67" s="2799" t="str">
        <f t="shared" si="19"/>
        <v>2016-4</v>
      </c>
      <c r="L67" s="2799" t="str">
        <f t="shared" si="19"/>
        <v>2016-3</v>
      </c>
      <c r="M67" s="2799" t="str">
        <f t="shared" si="19"/>
        <v>2016-2</v>
      </c>
      <c r="N67" s="2799"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2647</v>
      </c>
      <c r="B68" s="478" t="str">
        <f>"北京市平均增长率"&amp;TEXT(基准地价!P24,"0.00%")</f>
        <v>北京市平均增长率1.42%</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574</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530</v>
      </c>
      <c r="B70" s="647"/>
      <c r="C70" s="659" t="s">
        <v>575</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576</v>
      </c>
      <c r="B72" s="664" t="s">
        <v>533</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536</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538</v>
      </c>
      <c r="B85" s="664" t="s">
        <v>601</v>
      </c>
      <c r="C85" s="702" t="s">
        <v>578</v>
      </c>
      <c r="D85" s="702" t="s">
        <v>579</v>
      </c>
      <c r="E85" s="702" t="s">
        <v>580</v>
      </c>
      <c r="F85" s="702" t="s">
        <v>581</v>
      </c>
      <c r="G85" s="702" t="s">
        <v>582</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585</v>
      </c>
      <c r="C87" s="707" t="s">
        <v>578</v>
      </c>
      <c r="D87" s="707" t="s">
        <v>579</v>
      </c>
      <c r="E87" s="707" t="s">
        <v>580</v>
      </c>
      <c r="F87" s="707" t="s">
        <v>581</v>
      </c>
      <c r="G87" s="707" t="s">
        <v>582</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2547</v>
      </c>
      <c r="C93" s="702" t="s">
        <v>578</v>
      </c>
      <c r="D93" s="702" t="s">
        <v>579</v>
      </c>
      <c r="E93" s="702" t="s">
        <v>580</v>
      </c>
      <c r="F93" s="702" t="s">
        <v>581</v>
      </c>
      <c r="G93" s="702" t="s">
        <v>582</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2549</v>
      </c>
      <c r="C95" s="2596" t="s">
        <v>2550</v>
      </c>
      <c r="D95" s="2596" t="s">
        <v>2551</v>
      </c>
      <c r="E95" s="2596" t="s">
        <v>2552</v>
      </c>
      <c r="F95" s="2596" t="s">
        <v>2553</v>
      </c>
      <c r="G95" s="2596" t="s">
        <v>2554</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588</v>
      </c>
      <c r="D97" s="673" t="s">
        <v>589</v>
      </c>
      <c r="E97" s="673" t="s">
        <v>590</v>
      </c>
      <c r="F97" s="673" t="s">
        <v>591</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547</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548</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6" t="str">
        <f t="shared" si="25"/>
        <v>(含)-</v>
      </c>
      <c r="L109" s="3087" t="str">
        <f t="shared" si="25"/>
        <v>(含)-</v>
      </c>
      <c r="M109" s="308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593</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595</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50"/>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33" t="s">
        <v>2760</v>
      </c>
      <c r="S1" s="2933" t="s">
        <v>2761</v>
      </c>
      <c r="T1" s="2933" t="s">
        <v>2782</v>
      </c>
      <c r="U1" s="2933" t="s">
        <v>2783</v>
      </c>
      <c r="V1" s="2933" t="s">
        <v>2784</v>
      </c>
      <c r="W1" s="2187"/>
      <c r="X1" s="2187"/>
      <c r="Y1" s="2187"/>
      <c r="Z1" s="2187"/>
      <c r="AA1" s="2187"/>
      <c r="AB1" s="2187"/>
      <c r="AC1" s="2188"/>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1687</v>
      </c>
      <c r="B3" s="1037" t="e">
        <f>ROUND(B2*10000/D1,0)</f>
        <v>#DIV/0!</v>
      </c>
      <c r="C3" s="1406" t="s">
        <v>926</v>
      </c>
      <c r="D3" s="1407" t="s">
        <v>927</v>
      </c>
      <c r="E3" s="1411"/>
      <c r="F3" s="1412" t="s">
        <v>2928</v>
      </c>
      <c r="G3" s="1038">
        <f>IF(F3="宗地容积率",'数据-汇总表'!I4,IF(F3="估价对象容积率",'数据-汇总表'!I6,'数据-汇总表'!I7))</f>
        <v>2</v>
      </c>
      <c r="H3" s="1413" t="s">
        <v>928</v>
      </c>
      <c r="I3" s="1039">
        <v>8</v>
      </c>
      <c r="J3" s="1409" t="s">
        <v>929</v>
      </c>
      <c r="K3" s="1400"/>
      <c r="L3" s="1883" t="s">
        <v>2241</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1823</v>
      </c>
      <c r="B5" s="1414" t="s">
        <v>930</v>
      </c>
      <c r="C5" s="1040" t="e">
        <f>ROUND(IF(E2="商业",IF(F16="增加",C6*C7+C16,C6*C7-C16),IF(E2="住宅",IF(F16="增加",C6*C12+C16,C6*C12-C16),IF(F16="增加",C6+C16,C6-C16))),0)</f>
        <v>#DIV/0!</v>
      </c>
      <c r="D5" s="3114">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447" t="str">
        <f>IF(E2="商业",IF(C8="不临58条商业街","",2),"")</f>
        <v/>
      </c>
      <c r="B7" s="1426" t="s">
        <v>931</v>
      </c>
      <c r="C7" s="1042" t="e">
        <f>IF(C8="不临58条商业街",1,ROUND(1+(1.6*E8+1.2*E9+0.8*E10+0.4*E11)*C9,4))</f>
        <v>#DIV/0!</v>
      </c>
      <c r="D7" s="1427" t="s">
        <v>932</v>
      </c>
      <c r="E7" s="1043"/>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2763</v>
      </c>
      <c r="X7" s="2924">
        <f>G2</f>
        <v>0</v>
      </c>
      <c r="Y7" s="2924" t="s">
        <v>2764</v>
      </c>
      <c r="Z7" s="2925">
        <f>G3</f>
        <v>2</v>
      </c>
      <c r="AA7" s="2190"/>
      <c r="AB7" s="2190"/>
      <c r="AC7" s="2191"/>
      <c r="AD7" s="2926"/>
      <c r="AE7" s="2926"/>
      <c r="AF7" s="2926"/>
      <c r="AG7" s="2926"/>
      <c r="AH7" s="2926"/>
      <c r="AI7" s="2926"/>
      <c r="AJ7" s="2927"/>
    </row>
    <row r="8" spans="1:39" ht="15">
      <c r="A8" s="3448"/>
      <c r="B8" s="1413" t="s">
        <v>933</v>
      </c>
      <c r="C8" s="1528"/>
      <c r="D8" s="1044" t="s">
        <v>934</v>
      </c>
      <c r="E8" s="1045" t="e">
        <f>ROUND(C11/E7,4)</f>
        <v>#DIV/0!</v>
      </c>
      <c r="F8" s="1431" t="s">
        <v>935</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39" t="s">
        <v>2781</v>
      </c>
      <c r="X8" s="3440"/>
      <c r="Y8" s="1847" t="s">
        <v>2765</v>
      </c>
      <c r="Z8" s="1847" t="s">
        <v>2766</v>
      </c>
      <c r="AA8" s="1847" t="s">
        <v>2767</v>
      </c>
      <c r="AB8" s="1847" t="s">
        <v>2768</v>
      </c>
      <c r="AC8" s="1847" t="s">
        <v>2769</v>
      </c>
      <c r="AD8" s="1847" t="s">
        <v>2770</v>
      </c>
      <c r="AE8" s="1847" t="s">
        <v>2771</v>
      </c>
      <c r="AF8" s="1847" t="s">
        <v>2772</v>
      </c>
      <c r="AG8" s="1847" t="s">
        <v>2773</v>
      </c>
      <c r="AH8" s="1847" t="s">
        <v>2774</v>
      </c>
      <c r="AI8" s="1847" t="s">
        <v>2775</v>
      </c>
      <c r="AJ8" s="1847" t="s">
        <v>2776</v>
      </c>
    </row>
    <row r="9" spans="1:39" ht="15">
      <c r="A9" s="3448"/>
      <c r="B9" s="1413" t="s">
        <v>936</v>
      </c>
      <c r="C9" s="1046">
        <f>SUMIF(修正!C59:C119,C8,修正!E59:E119)</f>
        <v>0</v>
      </c>
      <c r="D9" s="1047" t="s">
        <v>937</v>
      </c>
      <c r="E9" s="1047" t="e">
        <f>ROUND(C11/E7,4)</f>
        <v>#DIV/0!</v>
      </c>
      <c r="F9" s="1431" t="s">
        <v>938</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38" t="s">
        <v>2777</v>
      </c>
      <c r="X9" s="2928" t="s">
        <v>2778</v>
      </c>
      <c r="Y9" s="3092"/>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8"/>
      <c r="B10" s="1413" t="s">
        <v>939</v>
      </c>
      <c r="C10" s="1047">
        <f>SUMIF(修正!C59:C119,C8,修正!F59:F119)</f>
        <v>0</v>
      </c>
      <c r="D10" s="1047" t="s">
        <v>940</v>
      </c>
      <c r="E10" s="1047" t="e">
        <f>ROUND(C11/E7,4)</f>
        <v>#DIV/0!</v>
      </c>
      <c r="F10" s="1431" t="s">
        <v>941</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38"/>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8"/>
      <c r="B11" s="1434" t="s">
        <v>942</v>
      </c>
      <c r="C11" s="1048">
        <f>C10/4</f>
        <v>0</v>
      </c>
      <c r="D11" s="1048" t="s">
        <v>943</v>
      </c>
      <c r="E11" s="1048" t="e">
        <f>ROUND(C11/E7,4)</f>
        <v>#DIV/0!</v>
      </c>
      <c r="F11" s="1435" t="s">
        <v>944</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38" t="s">
        <v>2779</v>
      </c>
      <c r="X11" s="1047" t="s">
        <v>2764</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47" t="s">
        <v>1871</v>
      </c>
      <c r="B12" s="1438" t="s">
        <v>945</v>
      </c>
      <c r="C12" s="1042">
        <f>ROUND(C15*D15*E15*F15*G15*H15*I15*J15,4)</f>
        <v>1</v>
      </c>
      <c r="D12" s="1439" t="s">
        <v>946</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38"/>
      <c r="X12" s="2931" t="s">
        <v>2780</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9"/>
      <c r="B13" s="1443" t="s">
        <v>1696</v>
      </c>
      <c r="C13" s="1444" t="s">
        <v>1697</v>
      </c>
      <c r="D13" s="1088" t="s">
        <v>1698</v>
      </c>
      <c r="E13" s="1088" t="s">
        <v>1699</v>
      </c>
      <c r="F13" s="1445" t="s">
        <v>947</v>
      </c>
      <c r="G13" s="1446" t="s">
        <v>1642</v>
      </c>
      <c r="H13" s="1447" t="s">
        <v>1642</v>
      </c>
      <c r="I13" s="1448" t="s">
        <v>1642</v>
      </c>
      <c r="J13" s="1449" t="s">
        <v>1642</v>
      </c>
      <c r="K13" s="1400"/>
      <c r="L13" s="2187"/>
      <c r="M13" s="2187"/>
      <c r="N13" s="2187"/>
      <c r="O13" s="2187"/>
      <c r="P13" s="2187"/>
      <c r="Q13" s="2187"/>
      <c r="R13" s="2934">
        <v>12</v>
      </c>
      <c r="S13" s="2923"/>
      <c r="T13" s="2934" t="e">
        <f t="shared" si="0"/>
        <v>#DIV/0!</v>
      </c>
      <c r="U13" s="2923"/>
      <c r="V13" s="2934" t="e">
        <f t="shared" si="1"/>
        <v>#DIV/0!</v>
      </c>
      <c r="W13" s="3438"/>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49"/>
      <c r="B14" s="1450"/>
      <c r="C14" s="1451"/>
      <c r="D14" s="1452"/>
      <c r="E14" s="1452"/>
      <c r="F14" s="1453"/>
      <c r="G14" s="1454" t="s">
        <v>948</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5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7"/>
      <c r="R15" s="2934">
        <v>14</v>
      </c>
      <c r="S15" s="2923"/>
      <c r="T15" s="2934" t="e">
        <f t="shared" si="0"/>
        <v>#DIV/0!</v>
      </c>
      <c r="U15" s="2923"/>
      <c r="V15" s="2934" t="e">
        <f t="shared" si="1"/>
        <v>#DIV/0!</v>
      </c>
      <c r="W15" s="2187"/>
      <c r="X15" s="2187"/>
      <c r="Y15" s="2187"/>
      <c r="Z15" s="2187"/>
      <c r="AA15" s="2187"/>
      <c r="AB15" s="2187"/>
      <c r="AC15" s="2188"/>
    </row>
    <row r="16" spans="1:39" ht="24">
      <c r="A16" s="3447"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48"/>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70" t="s">
        <v>955</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ROUND(IF(H19="按公示增长率计算",SUMPRODUCT((地价!A3:A24=YEAR(G19)&amp;"-"&amp;ROUNDUP(MONTH(G19)/3,0))*(地价!X2:AB2=E2)*(地价!X3:AB24)),IF(H19="地价指数",M20/M19,(1+I19)^O19)),4)</f>
        <v>#DIV/0!</v>
      </c>
      <c r="D19" s="1473" t="s">
        <v>957</v>
      </c>
      <c r="E19" s="1057">
        <v>41640</v>
      </c>
      <c r="F19" s="1473" t="s">
        <v>958</v>
      </c>
      <c r="G19" s="1058">
        <f>'数据-取费表'!B2</f>
        <v>43391</v>
      </c>
      <c r="H19" s="1474" t="s">
        <v>2929</v>
      </c>
      <c r="I19" s="2782" t="str">
        <f>IF(H19="季度增幅（自定义）",SUMIF(N21:N24,E2,O21:O24),"")</f>
        <v/>
      </c>
      <c r="J19" s="1470"/>
      <c r="K19" s="1480"/>
      <c r="L19" s="3035" t="s">
        <v>2839</v>
      </c>
      <c r="M19" s="3036">
        <f>ROUND(SUMIF(地价!B2:F2,E2,地价!B24:F24),0)</f>
        <v>0</v>
      </c>
      <c r="N19" s="2784" t="s">
        <v>1676</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1836</v>
      </c>
      <c r="B20" s="2777" t="s">
        <v>971</v>
      </c>
      <c r="C20" s="2778" t="e">
        <f>ROUND(POWER(1+G20,J20-I20)*(POWER(1+G20,I20)-1)/(POWER(1+G20,J20)-1),4)</f>
        <v>#DIV/0!</v>
      </c>
      <c r="D20" s="2779" t="s">
        <v>972</v>
      </c>
      <c r="E20" s="3089">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0"/>
      <c r="L20" s="3037" t="s">
        <v>2840</v>
      </c>
      <c r="M20" s="3038">
        <f>ROUND(SUMPRODUCT((地价!A4:A24=YEAR(G19)&amp;"-"&amp;ROUNDUP(MONTH(G19)/3,0))*(地价!B2:F2=E2)*(地价!B4:F24)),0)</f>
        <v>0</v>
      </c>
      <c r="N20" s="2787" t="s">
        <v>2644</v>
      </c>
      <c r="O20" s="2785" t="s">
        <v>2643</v>
      </c>
      <c r="P20" s="2786" t="s">
        <v>2648</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1837</v>
      </c>
      <c r="B21" s="1479" t="s">
        <v>2759</v>
      </c>
      <c r="C21" s="1157">
        <f>IF(B21="容积率修正",IF(G3&lt;=10,D22,J22),C23)</f>
        <v>0</v>
      </c>
      <c r="D21" s="1480"/>
      <c r="E21" s="1480"/>
      <c r="F21" s="1480"/>
      <c r="G21" s="1480"/>
      <c r="H21" s="1480"/>
      <c r="I21" s="1480"/>
      <c r="J21" s="1481"/>
      <c r="K21" s="1480"/>
      <c r="L21" s="1480"/>
      <c r="M21" s="1480"/>
      <c r="N21" s="1477" t="s">
        <v>975</v>
      </c>
      <c r="O21" s="1541"/>
      <c r="P21" s="2767">
        <f>SUMPRODUCT((地价!A3:A24=YEAR(G19)&amp;"-"&amp;ROUNDUP(MONTH(G19)/3,0))*(地价!AD2:AH2=N21)*(地价!AD3:AH24))</f>
        <v>1.5299999999999999E-2</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7">
        <f>SUMPRODUCT((地价!A3:A24=YEAR(G19)&amp;"-"&amp;ROUNDUP(MONTH(G19)/3,0))*(地价!AD2:AH2=N22)*(地价!AD3:AH24))</f>
        <v>1.5299999999999999E-2</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7">
        <f>SUMPRODUCT((地价!A3:A24=YEAR(G19)&amp;"-"&amp;ROUNDUP(MONTH(G19)/3,0))*(地价!AD2:AH2=N23)*(地价!AD3:AH24))</f>
        <v>2.41E-2</v>
      </c>
      <c r="R23" s="2922"/>
      <c r="S23" s="2922"/>
      <c r="T23" s="2922"/>
      <c r="U23" s="2922"/>
      <c r="V23" s="2922"/>
      <c r="W23" s="2193"/>
      <c r="X23" s="2193"/>
      <c r="Y23" s="2193"/>
      <c r="Z23" s="2193"/>
      <c r="AA23" s="2193"/>
      <c r="AB23" s="2193"/>
      <c r="AC23" s="2193"/>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1.4200000000000001E-2</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795" t="s">
        <v>2646</v>
      </c>
      <c r="O25" s="2193"/>
      <c r="P25" s="1540">
        <f>SUMPRODUCT((地价!A3:A24=YEAR(G19)&amp;"-"&amp;ROUNDUP(MONTH(G19)/3,0))*(地价!AD2:AH2=N25)*(地价!AD3:AH24))</f>
        <v>2.1899999999999999E-2</v>
      </c>
      <c r="R25" s="2922"/>
      <c r="S25" s="2922"/>
      <c r="T25" s="2922"/>
      <c r="U25" s="2922"/>
      <c r="V25" s="2922"/>
      <c r="W25" s="2193"/>
      <c r="X25" s="2193"/>
      <c r="Y25" s="2193"/>
      <c r="Z25" s="2193"/>
      <c r="AA25" s="2193"/>
      <c r="AB25" s="2193"/>
      <c r="AC25" s="2193"/>
    </row>
    <row r="26" spans="1:40" ht="14.25">
      <c r="A26" s="1488"/>
      <c r="B26" s="1482" t="s">
        <v>986</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993</v>
      </c>
      <c r="C29" s="1062" t="e">
        <f>ROUND(C5*C18*C19*C20*C21*C24,0)</f>
        <v>#DIV/0!</v>
      </c>
      <c r="D29" s="1503"/>
      <c r="E29" s="1847" t="e">
        <f>ROUND(C29*D29/10000,0)</f>
        <v>#DIV/0!</v>
      </c>
      <c r="F29" s="1504" t="s">
        <v>1701</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994</v>
      </c>
      <c r="C30" s="1050"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53" t="s">
        <v>2955</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54"/>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54"/>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5"/>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1006</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1007</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1008</v>
      </c>
      <c r="B46" s="2406" t="s">
        <v>1009</v>
      </c>
      <c r="C46" s="2428" t="s">
        <v>1010</v>
      </c>
      <c r="D46" s="2429" t="s">
        <v>1011</v>
      </c>
      <c r="E46" s="2430" t="s">
        <v>1013</v>
      </c>
      <c r="F46" s="2431" t="s">
        <v>2251</v>
      </c>
      <c r="G46" s="2429" t="s">
        <v>1014</v>
      </c>
      <c r="H46" s="2412" t="s">
        <v>2418</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1020</v>
      </c>
      <c r="B47" s="2409">
        <f>估价对象房地状况!C16</f>
        <v>0</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72">
      <c r="A48" s="1066" t="s">
        <v>1021</v>
      </c>
      <c r="B48" s="2406" t="str">
        <f>估价对象房地状况!C18</f>
        <v>估价对象周边道路较密集，公共交通通达情况较好，有211路，泰兴1、2路等公共交通，停车较便捷，综合评价交通便捷度较好。</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1022</v>
      </c>
      <c r="B49" s="2406" t="str">
        <f>估价对象房地状况!C19</f>
        <v>周边多为住宅用地，区域土地利用方向较一致。</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1023</v>
      </c>
      <c r="B50" s="3091" t="s">
        <v>2931</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1024</v>
      </c>
      <c r="B51" s="2406" t="str">
        <f>估价对象房地状况!C24</f>
        <v>城市次干道——银杏路</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1025</v>
      </c>
      <c r="B52" s="3090" t="s">
        <v>2930</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108">
      <c r="A53" s="2438" t="s">
        <v>1026</v>
      </c>
      <c r="B53" s="2407" t="str">
        <f>估价对象房地状况!C21</f>
        <v>估价对象所在区域2公里内有：银行（中国工商银行），购物（碧云商业广场、佰泰百货），医院（泰兴市肿瘤医院），学校（泰兴市第二高级中学、泰兴市鼓楼小学）等，公共配套设施齐备情况较好。</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1027</v>
      </c>
      <c r="B54" s="2406" t="str">
        <f>估价对象房地状况!C22</f>
        <v>估价对象所在区域基础设施水平达到“六通”。</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48.75" thickBot="1">
      <c r="A55" s="2439" t="s">
        <v>1028</v>
      </c>
      <c r="B55" s="2410" t="str">
        <f>估价对象房地状况!C20</f>
        <v>区域自然环境：龙河湾公园；人文环境：无博物馆、展览馆等人文景观；综合评价环境状况一般。</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1029</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1008</v>
      </c>
      <c r="B57" s="2406"/>
      <c r="C57" s="2428" t="s">
        <v>1010</v>
      </c>
      <c r="D57" s="2429" t="s">
        <v>1011</v>
      </c>
      <c r="E57" s="2430" t="s">
        <v>1013</v>
      </c>
      <c r="F57" s="2431" t="s">
        <v>2252</v>
      </c>
      <c r="G57" s="2429" t="s">
        <v>1014</v>
      </c>
      <c r="H57" s="2412" t="s">
        <v>2418</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1030</v>
      </c>
      <c r="B58" s="2409">
        <f>估价对象房地状况!C17</f>
        <v>0</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72">
      <c r="A59" s="1066" t="s">
        <v>1021</v>
      </c>
      <c r="B59" s="2406" t="str">
        <f>估价对象房地状况!C18</f>
        <v>估价对象周边道路较密集，公共交通通达情况较好，有211路，泰兴1、2路等公共交通，停车较便捷，综合评价交通便捷度较好。</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1022</v>
      </c>
      <c r="B60" s="2406" t="str">
        <f>估价对象房地状况!C19</f>
        <v>周边多为住宅用地，区域土地利用方向较一致。</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1023</v>
      </c>
      <c r="B61" s="3091" t="s">
        <v>2932</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1024</v>
      </c>
      <c r="B62" s="2406" t="str">
        <f>估价对象房地状况!C24</f>
        <v>城市次干道——银杏路</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1025</v>
      </c>
      <c r="B63" s="3090" t="s">
        <v>2930</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108">
      <c r="A64" s="1066" t="s">
        <v>1026</v>
      </c>
      <c r="B64" s="2407" t="str">
        <f>估价对象房地状况!C21</f>
        <v>估价对象所在区域2公里内有：银行（中国工商银行），购物（碧云商业广场、佰泰百货），医院（泰兴市肿瘤医院），学校（泰兴市第二高级中学、泰兴市鼓楼小学）等，公共配套设施齐备情况较好。</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1027</v>
      </c>
      <c r="B65" s="2407" t="str">
        <f>估价对象房地状况!C22</f>
        <v>估价对象所在区域基础设施水平达到“六通”。</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48.75" thickBot="1">
      <c r="A66" s="2439" t="s">
        <v>1028</v>
      </c>
      <c r="B66" s="2411" t="str">
        <f>估价对象房地状况!C20</f>
        <v>区域自然环境：龙河湾公园；人文环境：无博物馆、展览馆等人文景观；综合评价环境状况一般。</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1031</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1008</v>
      </c>
      <c r="B68" s="2406"/>
      <c r="C68" s="2428" t="s">
        <v>1010</v>
      </c>
      <c r="D68" s="2429" t="s">
        <v>1011</v>
      </c>
      <c r="E68" s="2430" t="s">
        <v>1013</v>
      </c>
      <c r="F68" s="2431" t="s">
        <v>2253</v>
      </c>
      <c r="G68" s="2429" t="s">
        <v>1014</v>
      </c>
      <c r="H68" s="2412" t="s">
        <v>2418</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72">
      <c r="A69" s="1066" t="s">
        <v>1032</v>
      </c>
      <c r="B69" s="2409" t="str">
        <f>估价对象房地状况!C15</f>
        <v>估价对象周边居住用地比例较大、居住小区规模较大和社区发展完善程度较好，有欧景花都、御景园等居住小区，综合评价居住社区成熟度较好。</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72">
      <c r="A70" s="1066" t="s">
        <v>1033</v>
      </c>
      <c r="B70" s="2406" t="str">
        <f>估价对象房地状况!C18</f>
        <v>估价对象周边道路较密集，公共交通通达情况较好，有211路，泰兴1、2路等公共交通，停车较便捷，综合评价交通便捷度较好。</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1022</v>
      </c>
      <c r="B71" s="2406" t="str">
        <f>估价对象房地状况!C19</f>
        <v>周边多为住宅用地，区域土地利用方向较一致。</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1034</v>
      </c>
      <c r="B72" s="2406" t="str">
        <f>估价对象房地状况!C24</f>
        <v>城市次干道——银杏路</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108">
      <c r="A73" s="1066" t="s">
        <v>1026</v>
      </c>
      <c r="B73" s="2407" t="str">
        <f>估价对象房地状况!C21</f>
        <v>估价对象所在区域2公里内有：银行（中国工商银行），购物（碧云商业广场、佰泰百货），医院（泰兴市肿瘤医院），学校（泰兴市第二高级中学、泰兴市鼓楼小学）等，公共配套设施齐备情况较好。</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1027</v>
      </c>
      <c r="B74" s="2407" t="str">
        <f>估价对象房地状况!C22</f>
        <v>估价对象所在区域基础设施水平达到“六通”。</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1025</v>
      </c>
      <c r="B75" s="3090" t="s">
        <v>2930</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48">
      <c r="A76" s="1066" t="s">
        <v>1028</v>
      </c>
      <c r="B76" s="2409" t="str">
        <f>估价对象房地状况!C20</f>
        <v>区域自然环境：龙河湾公园；人文环境：无博物馆、展览馆等人文景观；综合评价环境状况一般。</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1035</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1036</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1008</v>
      </c>
      <c r="B79" s="2406"/>
      <c r="C79" s="2428" t="s">
        <v>1010</v>
      </c>
      <c r="D79" s="2429" t="s">
        <v>1011</v>
      </c>
      <c r="E79" s="2430" t="s">
        <v>1013</v>
      </c>
      <c r="F79" s="2431" t="s">
        <v>2254</v>
      </c>
      <c r="G79" s="2429" t="s">
        <v>1014</v>
      </c>
      <c r="H79" s="2412" t="s">
        <v>2418</v>
      </c>
      <c r="I79" s="2429" t="s">
        <v>1012</v>
      </c>
      <c r="J79" s="2432" t="s">
        <v>1015</v>
      </c>
      <c r="K79" s="2432" t="s">
        <v>1016</v>
      </c>
      <c r="L79" s="2432" t="s">
        <v>1017</v>
      </c>
      <c r="M79" s="2432" t="s">
        <v>1018</v>
      </c>
      <c r="N79" s="2432" t="s">
        <v>1019</v>
      </c>
      <c r="AC79" s="1404"/>
      <c r="AD79" s="1403"/>
      <c r="AJ79" s="1402"/>
      <c r="AN79" s="1403"/>
    </row>
    <row r="80" spans="1:40" ht="36">
      <c r="A80" s="1066" t="s">
        <v>1037</v>
      </c>
      <c r="B80" s="2406" t="str">
        <f>估价对象房地状况!G15</f>
        <v>估价对象位于XX开发区，园区建设成熟度XX，产业集聚程度XX</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6" t="s">
        <v>1033</v>
      </c>
      <c r="B81" s="2406" t="str">
        <f>估价对象房地状况!G16</f>
        <v>估价对象周边道路状况、公共交通通达情况、停车便捷程度，综合评价交通便捷度较好</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6" t="s">
        <v>1022</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6" t="s">
        <v>1034</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6" t="s">
        <v>1026</v>
      </c>
      <c r="B84" s="2407" t="str">
        <f>估价对象房地状况!G19</f>
        <v>估价对象所在区域公共配套设施齐备情况</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6" t="s">
        <v>1027</v>
      </c>
      <c r="B85" s="2407" t="str">
        <f>估价对象房地状况!G20</f>
        <v>估价对象所在区域基础设施水平</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6" t="s">
        <v>1025</v>
      </c>
      <c r="B86" s="3090" t="s">
        <v>2930</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1038</v>
      </c>
      <c r="B87" s="2408" t="str">
        <f>估价对象房地状况!G18</f>
        <v>该园区内是否有污染型企业，绿化情况，卫生条件，整体环境状况判断</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51" t="s">
        <v>1633</v>
      </c>
      <c r="B90" s="3451"/>
      <c r="C90" s="3451"/>
      <c r="D90" s="3451"/>
      <c r="E90" s="3451"/>
      <c r="F90" s="3451"/>
      <c r="G90" s="3451"/>
      <c r="H90" s="3451"/>
      <c r="I90" s="3451"/>
      <c r="J90" s="3451"/>
      <c r="K90" s="2448"/>
      <c r="L90" s="2448"/>
      <c r="M90" s="2448"/>
      <c r="N90" s="2448"/>
    </row>
    <row r="91" spans="1:40">
      <c r="A91" s="3452" t="s">
        <v>1443</v>
      </c>
      <c r="B91" s="3452" t="s">
        <v>1634</v>
      </c>
      <c r="C91" s="1139" t="s">
        <v>1635</v>
      </c>
      <c r="D91" s="1140"/>
      <c r="E91" s="1140"/>
      <c r="F91" s="1140"/>
      <c r="G91" s="1140"/>
      <c r="H91" s="1140"/>
      <c r="I91" s="1140"/>
      <c r="J91" s="1141"/>
      <c r="K91" s="1133"/>
      <c r="L91" s="1133"/>
      <c r="M91" s="1133"/>
      <c r="N91" s="1133"/>
    </row>
    <row r="92" spans="1:40">
      <c r="A92" s="3452"/>
      <c r="B92" s="3452"/>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41"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1" t="s">
        <v>1637</v>
      </c>
      <c r="B101" s="1146" t="s">
        <v>905</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42"/>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42"/>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42"/>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42"/>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42"/>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42"/>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42"/>
      <c r="B108" s="344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3"/>
      <c r="B109" s="3445"/>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46" t="s">
        <v>1639</v>
      </c>
      <c r="B110" s="3446"/>
      <c r="C110" s="3446"/>
      <c r="D110" s="3446"/>
      <c r="E110" s="3446"/>
      <c r="F110" s="3446"/>
      <c r="G110" s="3446"/>
      <c r="H110" s="3446"/>
      <c r="I110" s="3446"/>
      <c r="J110" s="3446"/>
      <c r="K110" s="2446"/>
      <c r="L110" s="2446"/>
      <c r="M110" s="2446"/>
      <c r="N110" s="2446"/>
    </row>
    <row r="112" spans="1:14" ht="12.75" thickBot="1"/>
    <row r="113" spans="1:13" ht="25.5" thickBot="1">
      <c r="A113" s="1015" t="s">
        <v>895</v>
      </c>
      <c r="B113" s="2449">
        <f>G3</f>
        <v>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900</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901</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902</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52" t="s">
        <v>1007</v>
      </c>
      <c r="B18" s="1153" t="s">
        <v>1446</v>
      </c>
      <c r="C18" s="1130" t="s">
        <v>1447</v>
      </c>
      <c r="D18" s="1131"/>
      <c r="E18" s="1153">
        <v>1</v>
      </c>
      <c r="F18" s="1132" t="s">
        <v>1448</v>
      </c>
      <c r="G18" s="1133"/>
      <c r="H18" s="1104"/>
      <c r="I18" s="1104"/>
    </row>
    <row r="19" spans="1:9" s="1598" customFormat="1" ht="19.5" customHeight="1">
      <c r="A19" s="3452"/>
      <c r="B19" s="3452" t="s">
        <v>1449</v>
      </c>
      <c r="C19" s="1130" t="s">
        <v>1450</v>
      </c>
      <c r="D19" s="1131"/>
      <c r="E19" s="1153">
        <v>0.9</v>
      </c>
      <c r="F19" s="1132" t="s">
        <v>1451</v>
      </c>
      <c r="G19" s="1133"/>
      <c r="H19" s="1104"/>
      <c r="I19" s="1104"/>
    </row>
    <row r="20" spans="1:9" s="1598" customFormat="1" ht="19.5" customHeight="1">
      <c r="A20" s="3452"/>
      <c r="B20" s="3452"/>
      <c r="C20" s="1130" t="s">
        <v>1452</v>
      </c>
      <c r="D20" s="1131"/>
      <c r="E20" s="1153">
        <v>1.1000000000000001</v>
      </c>
      <c r="F20" s="1132" t="s">
        <v>1453</v>
      </c>
      <c r="G20" s="1133"/>
      <c r="H20" s="1104"/>
      <c r="I20" s="1104"/>
    </row>
    <row r="21" spans="1:9" s="1598" customFormat="1" ht="19.5" customHeight="1">
      <c r="A21" s="3452"/>
      <c r="B21" s="3452"/>
      <c r="C21" s="1130" t="s">
        <v>1454</v>
      </c>
      <c r="D21" s="1131"/>
      <c r="E21" s="1153">
        <v>0.8</v>
      </c>
      <c r="F21" s="1132" t="s">
        <v>1455</v>
      </c>
      <c r="G21" s="1133"/>
      <c r="H21" s="1104"/>
      <c r="I21" s="1104"/>
    </row>
    <row r="22" spans="1:9" s="1598" customFormat="1" ht="19.5" customHeight="1">
      <c r="A22" s="3452"/>
      <c r="B22" s="3452"/>
      <c r="C22" s="1130" t="s">
        <v>1456</v>
      </c>
      <c r="D22" s="1131"/>
      <c r="E22" s="1153">
        <v>0.5</v>
      </c>
      <c r="F22" s="1132"/>
      <c r="G22" s="1133"/>
      <c r="H22" s="1104"/>
      <c r="I22" s="1104"/>
    </row>
    <row r="23" spans="1:9" s="1598" customFormat="1" ht="19.5" customHeight="1">
      <c r="A23" s="3452" t="s">
        <v>1029</v>
      </c>
      <c r="B23" s="1153" t="s">
        <v>1446</v>
      </c>
      <c r="C23" s="1130" t="s">
        <v>1457</v>
      </c>
      <c r="D23" s="1131"/>
      <c r="E23" s="1153">
        <v>1</v>
      </c>
      <c r="F23" s="1132" t="s">
        <v>1458</v>
      </c>
      <c r="G23" s="1133"/>
      <c r="H23" s="1104"/>
      <c r="I23" s="1104"/>
    </row>
    <row r="24" spans="1:9" s="1598" customFormat="1" ht="19.5" customHeight="1">
      <c r="A24" s="3452"/>
      <c r="B24" s="3452" t="s">
        <v>1449</v>
      </c>
      <c r="C24" s="1130" t="s">
        <v>1459</v>
      </c>
      <c r="D24" s="1131"/>
      <c r="E24" s="1153">
        <v>0.5</v>
      </c>
      <c r="F24" s="1132"/>
      <c r="G24" s="1133"/>
      <c r="H24" s="1104"/>
      <c r="I24" s="1104"/>
    </row>
    <row r="25" spans="1:9" s="1598" customFormat="1" ht="19.5" customHeight="1">
      <c r="A25" s="3452"/>
      <c r="B25" s="3452"/>
      <c r="C25" s="1130" t="s">
        <v>1460</v>
      </c>
      <c r="D25" s="1131"/>
      <c r="E25" s="1153">
        <v>1.1000000000000001</v>
      </c>
      <c r="F25" s="1132"/>
      <c r="G25" s="1133"/>
      <c r="H25" s="1104"/>
      <c r="I25" s="1104"/>
    </row>
    <row r="26" spans="1:9" s="1598" customFormat="1" ht="19.5" customHeight="1">
      <c r="A26" s="3452"/>
      <c r="B26" s="3452"/>
      <c r="C26" s="1130" t="s">
        <v>1461</v>
      </c>
      <c r="D26" s="1131"/>
      <c r="E26" s="1153">
        <v>1.1000000000000001</v>
      </c>
      <c r="F26" s="1132"/>
      <c r="G26" s="1133"/>
      <c r="H26" s="1104"/>
      <c r="I26" s="1104"/>
    </row>
    <row r="27" spans="1:9" s="1598" customFormat="1" ht="19.5" customHeight="1">
      <c r="A27" s="3452"/>
      <c r="B27" s="3452"/>
      <c r="C27" s="1130" t="s">
        <v>1462</v>
      </c>
      <c r="D27" s="1131"/>
      <c r="E27" s="1153">
        <v>0.9</v>
      </c>
      <c r="F27" s="1132" t="s">
        <v>1463</v>
      </c>
      <c r="G27" s="1133"/>
      <c r="H27" s="1104"/>
      <c r="I27" s="1104"/>
    </row>
    <row r="28" spans="1:9" s="1598" customFormat="1" ht="19.5" customHeight="1">
      <c r="A28" s="3452"/>
      <c r="B28" s="3452"/>
      <c r="C28" s="1130" t="s">
        <v>1464</v>
      </c>
      <c r="D28" s="1131"/>
      <c r="E28" s="1153">
        <v>0.9</v>
      </c>
      <c r="F28" s="1132" t="s">
        <v>1465</v>
      </c>
      <c r="G28" s="1133"/>
      <c r="H28" s="1104"/>
      <c r="I28" s="1104"/>
    </row>
    <row r="29" spans="1:9" s="1598" customFormat="1" ht="19.5" customHeight="1">
      <c r="A29" s="3452"/>
      <c r="B29" s="3452"/>
      <c r="C29" s="1130" t="s">
        <v>1466</v>
      </c>
      <c r="D29" s="1131"/>
      <c r="E29" s="1153">
        <v>0.9</v>
      </c>
      <c r="F29" s="1132" t="s">
        <v>1467</v>
      </c>
      <c r="G29" s="1133"/>
      <c r="H29" s="1104"/>
      <c r="I29" s="1104"/>
    </row>
    <row r="30" spans="1:9" s="1598" customFormat="1" ht="19.5" customHeight="1">
      <c r="A30" s="3452"/>
      <c r="B30" s="3452"/>
      <c r="C30" s="1130" t="s">
        <v>1468</v>
      </c>
      <c r="D30" s="1131"/>
      <c r="E30" s="1153">
        <v>0.9</v>
      </c>
      <c r="F30" s="1132" t="s">
        <v>1469</v>
      </c>
      <c r="G30" s="1133"/>
      <c r="H30" s="1104"/>
      <c r="I30" s="1104"/>
    </row>
    <row r="31" spans="1:9" s="1598" customFormat="1" ht="19.5" customHeight="1">
      <c r="A31" s="3452"/>
      <c r="B31" s="3452"/>
      <c r="C31" s="1130" t="s">
        <v>1470</v>
      </c>
      <c r="D31" s="1131"/>
      <c r="E31" s="1153">
        <v>0.8</v>
      </c>
      <c r="F31" s="1132" t="s">
        <v>1471</v>
      </c>
      <c r="G31" s="1133"/>
      <c r="H31" s="1104"/>
      <c r="I31" s="1104"/>
    </row>
    <row r="32" spans="1:9" s="1598" customFormat="1" ht="19.5" customHeight="1">
      <c r="A32" s="3452"/>
      <c r="B32" s="3452"/>
      <c r="C32" s="1130" t="s">
        <v>1472</v>
      </c>
      <c r="D32" s="1131"/>
      <c r="E32" s="1153">
        <v>0.8</v>
      </c>
      <c r="F32" s="1132" t="s">
        <v>1473</v>
      </c>
      <c r="G32" s="1133"/>
      <c r="H32" s="1104"/>
      <c r="I32" s="1104"/>
    </row>
    <row r="33" spans="1:9" s="1598" customFormat="1" ht="19.5" customHeight="1">
      <c r="A33" s="3452" t="s">
        <v>1474</v>
      </c>
      <c r="B33" s="1153" t="s">
        <v>1446</v>
      </c>
      <c r="C33" s="1130" t="s">
        <v>1475</v>
      </c>
      <c r="D33" s="1131"/>
      <c r="E33" s="1153">
        <v>1</v>
      </c>
      <c r="F33" s="1132" t="s">
        <v>1476</v>
      </c>
      <c r="G33" s="1133"/>
      <c r="H33" s="1104"/>
      <c r="I33" s="1104"/>
    </row>
    <row r="34" spans="1:9" s="1598" customFormat="1" ht="19.5" customHeight="1">
      <c r="A34" s="3452"/>
      <c r="B34" s="1153" t="s">
        <v>1449</v>
      </c>
      <c r="C34" s="1130" t="s">
        <v>1477</v>
      </c>
      <c r="D34" s="1131"/>
      <c r="E34" s="1153">
        <v>1.5</v>
      </c>
      <c r="F34" s="1132" t="s">
        <v>1478</v>
      </c>
      <c r="G34" s="1133"/>
      <c r="H34" s="1104"/>
      <c r="I34" s="1104"/>
    </row>
    <row r="35" spans="1:9" s="1598" customFormat="1" ht="19.5" customHeight="1">
      <c r="A35" s="3452" t="s">
        <v>1432</v>
      </c>
      <c r="B35" s="1153" t="s">
        <v>1446</v>
      </c>
      <c r="C35" s="1130" t="s">
        <v>1479</v>
      </c>
      <c r="D35" s="1131"/>
      <c r="E35" s="1153">
        <v>1</v>
      </c>
      <c r="F35" s="1132" t="s">
        <v>1480</v>
      </c>
      <c r="G35" s="1133"/>
      <c r="H35" s="1104"/>
      <c r="I35" s="1104"/>
    </row>
    <row r="36" spans="1:9" s="1598" customFormat="1" ht="19.5" customHeight="1">
      <c r="A36" s="3452"/>
      <c r="B36" s="3452" t="s">
        <v>1449</v>
      </c>
      <c r="C36" s="1130" t="s">
        <v>1481</v>
      </c>
      <c r="D36" s="1131"/>
      <c r="E36" s="1153">
        <v>1</v>
      </c>
      <c r="F36" s="1132" t="s">
        <v>1482</v>
      </c>
      <c r="G36" s="1133"/>
      <c r="H36" s="1104"/>
      <c r="I36" s="1104"/>
    </row>
    <row r="37" spans="1:9" s="1598" customFormat="1" ht="19.5" customHeight="1">
      <c r="A37" s="3452"/>
      <c r="B37" s="3452"/>
      <c r="C37" s="1130" t="s">
        <v>1483</v>
      </c>
      <c r="D37" s="1131"/>
      <c r="E37" s="1153">
        <v>1.5</v>
      </c>
      <c r="F37" s="1132" t="s">
        <v>1484</v>
      </c>
      <c r="G37" s="1133"/>
      <c r="H37" s="1104"/>
      <c r="I37" s="1104"/>
    </row>
    <row r="38" spans="1:9" s="1598" customFormat="1" ht="19.5" customHeight="1">
      <c r="A38" s="3452"/>
      <c r="B38" s="3452"/>
      <c r="C38" s="1130" t="s">
        <v>1485</v>
      </c>
      <c r="D38" s="1131"/>
      <c r="E38" s="1153">
        <v>1</v>
      </c>
      <c r="F38" s="1132" t="s">
        <v>1486</v>
      </c>
      <c r="G38" s="1133"/>
      <c r="H38" s="1104"/>
      <c r="I38" s="1104"/>
    </row>
    <row r="39" spans="1:9" s="1598" customFormat="1" ht="19.5" customHeight="1">
      <c r="A39" s="3452"/>
      <c r="B39" s="345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2" t="s">
        <v>1501</v>
      </c>
      <c r="C61" s="1067" t="s">
        <v>1502</v>
      </c>
      <c r="D61" s="1067" t="s">
        <v>1503</v>
      </c>
      <c r="E61" s="1138">
        <v>0.5</v>
      </c>
      <c r="F61" s="1153">
        <v>80</v>
      </c>
      <c r="H61" s="1104">
        <f>SUMIF(C59:C119,基准地价!C8,E59:E119)</f>
        <v>0</v>
      </c>
    </row>
    <row r="62" spans="1:8" s="1104" customFormat="1" ht="24">
      <c r="A62" s="1153">
        <v>2</v>
      </c>
      <c r="B62" s="3452"/>
      <c r="C62" s="1067" t="s">
        <v>1504</v>
      </c>
      <c r="D62" s="1067" t="s">
        <v>1505</v>
      </c>
      <c r="E62" s="1138">
        <v>0.5</v>
      </c>
      <c r="F62" s="1153">
        <v>80</v>
      </c>
    </row>
    <row r="63" spans="1:8" s="1104" customFormat="1" ht="36">
      <c r="A63" s="1153">
        <v>3</v>
      </c>
      <c r="B63" s="3452"/>
      <c r="C63" s="1067" t="s">
        <v>1506</v>
      </c>
      <c r="D63" s="1067" t="s">
        <v>1507</v>
      </c>
      <c r="E63" s="1138">
        <v>0.5</v>
      </c>
      <c r="F63" s="1153">
        <v>80</v>
      </c>
    </row>
    <row r="64" spans="1:8" s="1104" customFormat="1" ht="36">
      <c r="A64" s="1153">
        <v>4</v>
      </c>
      <c r="B64" s="3452"/>
      <c r="C64" s="1067" t="s">
        <v>1508</v>
      </c>
      <c r="D64" s="1067" t="s">
        <v>1509</v>
      </c>
      <c r="E64" s="1138">
        <v>0.4</v>
      </c>
      <c r="F64" s="1153">
        <v>60</v>
      </c>
    </row>
    <row r="65" spans="1:6" s="1104" customFormat="1" ht="36">
      <c r="A65" s="1153">
        <v>5</v>
      </c>
      <c r="B65" s="3452"/>
      <c r="C65" s="1067" t="s">
        <v>1510</v>
      </c>
      <c r="D65" s="1067" t="s">
        <v>1511</v>
      </c>
      <c r="E65" s="1138">
        <v>0.2</v>
      </c>
      <c r="F65" s="1153">
        <v>30</v>
      </c>
    </row>
    <row r="66" spans="1:6" s="1104" customFormat="1" ht="36">
      <c r="A66" s="1153">
        <v>6</v>
      </c>
      <c r="B66" s="3452"/>
      <c r="C66" s="1067" t="s">
        <v>1512</v>
      </c>
      <c r="D66" s="1067" t="s">
        <v>1513</v>
      </c>
      <c r="E66" s="1138">
        <v>0.3</v>
      </c>
      <c r="F66" s="1153">
        <v>50</v>
      </c>
    </row>
    <row r="67" spans="1:6" s="1104" customFormat="1" ht="36">
      <c r="A67" s="1153">
        <v>7</v>
      </c>
      <c r="B67" s="3452"/>
      <c r="C67" s="1067" t="s">
        <v>1514</v>
      </c>
      <c r="D67" s="1067" t="s">
        <v>1515</v>
      </c>
      <c r="E67" s="1138">
        <v>0.2</v>
      </c>
      <c r="F67" s="1153">
        <v>30</v>
      </c>
    </row>
    <row r="68" spans="1:6" s="1104" customFormat="1" ht="36">
      <c r="A68" s="1153">
        <v>8</v>
      </c>
      <c r="B68" s="3452"/>
      <c r="C68" s="1067" t="s">
        <v>1516</v>
      </c>
      <c r="D68" s="1067" t="s">
        <v>1517</v>
      </c>
      <c r="E68" s="1138">
        <v>0.2</v>
      </c>
      <c r="F68" s="1153">
        <v>30</v>
      </c>
    </row>
    <row r="69" spans="1:6" s="1104" customFormat="1" ht="36">
      <c r="A69" s="1153">
        <v>9</v>
      </c>
      <c r="B69" s="3452"/>
      <c r="C69" s="1067" t="s">
        <v>1518</v>
      </c>
      <c r="D69" s="1067" t="s">
        <v>1519</v>
      </c>
      <c r="E69" s="1138">
        <v>0.2</v>
      </c>
      <c r="F69" s="1153">
        <v>30</v>
      </c>
    </row>
    <row r="70" spans="1:6" s="1104" customFormat="1" ht="48">
      <c r="A70" s="1153">
        <v>10</v>
      </c>
      <c r="B70" s="3452"/>
      <c r="C70" s="1067" t="s">
        <v>1520</v>
      </c>
      <c r="D70" s="1067" t="s">
        <v>1521</v>
      </c>
      <c r="E70" s="1138">
        <v>0.2</v>
      </c>
      <c r="F70" s="1153">
        <v>30</v>
      </c>
    </row>
    <row r="71" spans="1:6" s="1104" customFormat="1" ht="48">
      <c r="A71" s="1153">
        <v>11</v>
      </c>
      <c r="B71" s="3452"/>
      <c r="C71" s="1067" t="s">
        <v>1522</v>
      </c>
      <c r="D71" s="1067" t="s">
        <v>1523</v>
      </c>
      <c r="E71" s="1138">
        <v>0.2</v>
      </c>
      <c r="F71" s="1153">
        <v>30</v>
      </c>
    </row>
    <row r="72" spans="1:6" s="1104" customFormat="1" ht="36">
      <c r="A72" s="1153">
        <v>12</v>
      </c>
      <c r="B72" s="3452"/>
      <c r="C72" s="1067" t="s">
        <v>1524</v>
      </c>
      <c r="D72" s="1067" t="s">
        <v>1525</v>
      </c>
      <c r="E72" s="1138">
        <v>0.5</v>
      </c>
      <c r="F72" s="1153">
        <v>80</v>
      </c>
    </row>
    <row r="73" spans="1:6" s="1104" customFormat="1" ht="24">
      <c r="A73" s="1153">
        <v>13</v>
      </c>
      <c r="B73" s="3452"/>
      <c r="C73" s="1067" t="s">
        <v>1526</v>
      </c>
      <c r="D73" s="1067" t="s">
        <v>1527</v>
      </c>
      <c r="E73" s="1138">
        <v>0.4</v>
      </c>
      <c r="F73" s="1153">
        <v>60</v>
      </c>
    </row>
    <row r="74" spans="1:6" s="1104" customFormat="1" ht="24">
      <c r="A74" s="1153">
        <v>14</v>
      </c>
      <c r="B74" s="3452"/>
      <c r="C74" s="1067" t="s">
        <v>1528</v>
      </c>
      <c r="D74" s="1067" t="s">
        <v>1529</v>
      </c>
      <c r="E74" s="1138">
        <v>0.2</v>
      </c>
      <c r="F74" s="1153">
        <v>30</v>
      </c>
    </row>
    <row r="75" spans="1:6" s="1104" customFormat="1" ht="24">
      <c r="A75" s="1153">
        <v>15</v>
      </c>
      <c r="B75" s="3452"/>
      <c r="C75" s="1067" t="s">
        <v>1530</v>
      </c>
      <c r="D75" s="1067" t="s">
        <v>1531</v>
      </c>
      <c r="E75" s="1138">
        <v>0.2</v>
      </c>
      <c r="F75" s="1153">
        <v>30</v>
      </c>
    </row>
    <row r="76" spans="1:6" s="1104" customFormat="1" ht="24">
      <c r="A76" s="1153">
        <v>16</v>
      </c>
      <c r="B76" s="3452" t="s">
        <v>1532</v>
      </c>
      <c r="C76" s="1067" t="s">
        <v>1533</v>
      </c>
      <c r="D76" s="1067" t="s">
        <v>1534</v>
      </c>
      <c r="E76" s="1138">
        <v>0.5</v>
      </c>
      <c r="F76" s="1153">
        <v>80</v>
      </c>
    </row>
    <row r="77" spans="1:6" s="1104" customFormat="1" ht="24">
      <c r="A77" s="1153">
        <v>17</v>
      </c>
      <c r="B77" s="3452"/>
      <c r="C77" s="1067" t="s">
        <v>1535</v>
      </c>
      <c r="D77" s="1067" t="s">
        <v>1536</v>
      </c>
      <c r="E77" s="1138">
        <v>0.5</v>
      </c>
      <c r="F77" s="1153">
        <v>80</v>
      </c>
    </row>
    <row r="78" spans="1:6" s="1104" customFormat="1" ht="24">
      <c r="A78" s="1153">
        <v>18</v>
      </c>
      <c r="B78" s="3452"/>
      <c r="C78" s="1067" t="s">
        <v>1537</v>
      </c>
      <c r="D78" s="1067" t="s">
        <v>1538</v>
      </c>
      <c r="E78" s="1138">
        <v>0.2</v>
      </c>
      <c r="F78" s="1153">
        <v>30</v>
      </c>
    </row>
    <row r="79" spans="1:6" s="1104" customFormat="1" ht="24">
      <c r="A79" s="1153">
        <v>19</v>
      </c>
      <c r="B79" s="3452"/>
      <c r="C79" s="1067" t="s">
        <v>1539</v>
      </c>
      <c r="D79" s="1067" t="s">
        <v>1540</v>
      </c>
      <c r="E79" s="1138">
        <v>0.5</v>
      </c>
      <c r="F79" s="1153">
        <v>80</v>
      </c>
    </row>
    <row r="80" spans="1:6" s="1104" customFormat="1" ht="36">
      <c r="A80" s="1153">
        <v>20</v>
      </c>
      <c r="B80" s="3452"/>
      <c r="C80" s="1067" t="s">
        <v>1541</v>
      </c>
      <c r="D80" s="1067" t="s">
        <v>1542</v>
      </c>
      <c r="E80" s="1138">
        <v>0.2</v>
      </c>
      <c r="F80" s="1153">
        <v>30</v>
      </c>
    </row>
    <row r="81" spans="1:6" s="1104" customFormat="1" ht="36">
      <c r="A81" s="1153">
        <v>21</v>
      </c>
      <c r="B81" s="3452"/>
      <c r="C81" s="1067" t="s">
        <v>1543</v>
      </c>
      <c r="D81" s="1067" t="s">
        <v>1544</v>
      </c>
      <c r="E81" s="1138">
        <v>0.2</v>
      </c>
      <c r="F81" s="1153">
        <v>30</v>
      </c>
    </row>
    <row r="82" spans="1:6" s="1104" customFormat="1" ht="48">
      <c r="A82" s="1153">
        <v>22</v>
      </c>
      <c r="B82" s="3452"/>
      <c r="C82" s="1067" t="s">
        <v>1545</v>
      </c>
      <c r="D82" s="1067" t="s">
        <v>1546</v>
      </c>
      <c r="E82" s="1138">
        <v>0.2</v>
      </c>
      <c r="F82" s="1153">
        <v>30</v>
      </c>
    </row>
    <row r="83" spans="1:6" s="1104" customFormat="1" ht="48">
      <c r="A83" s="1153">
        <v>23</v>
      </c>
      <c r="B83" s="3452"/>
      <c r="C83" s="1067" t="s">
        <v>1547</v>
      </c>
      <c r="D83" s="1067" t="s">
        <v>1548</v>
      </c>
      <c r="E83" s="1138">
        <v>0.2</v>
      </c>
      <c r="F83" s="1153">
        <v>30</v>
      </c>
    </row>
    <row r="84" spans="1:6" s="1104" customFormat="1" ht="36">
      <c r="A84" s="1153">
        <v>24</v>
      </c>
      <c r="B84" s="3452"/>
      <c r="C84" s="1067" t="s">
        <v>1549</v>
      </c>
      <c r="D84" s="1067" t="s">
        <v>1550</v>
      </c>
      <c r="E84" s="1138">
        <v>0.2</v>
      </c>
      <c r="F84" s="1153">
        <v>30</v>
      </c>
    </row>
    <row r="85" spans="1:6" s="1104" customFormat="1" ht="36">
      <c r="A85" s="1153">
        <v>25</v>
      </c>
      <c r="B85" s="3452"/>
      <c r="C85" s="1067" t="s">
        <v>1551</v>
      </c>
      <c r="D85" s="1067" t="s">
        <v>1552</v>
      </c>
      <c r="E85" s="1138">
        <v>0.5</v>
      </c>
      <c r="F85" s="1153">
        <v>80</v>
      </c>
    </row>
    <row r="86" spans="1:6" s="1104" customFormat="1" ht="36">
      <c r="A86" s="1153">
        <v>26</v>
      </c>
      <c r="B86" s="3452"/>
      <c r="C86" s="1067" t="s">
        <v>1553</v>
      </c>
      <c r="D86" s="1067" t="s">
        <v>1554</v>
      </c>
      <c r="E86" s="1138">
        <v>0.2</v>
      </c>
      <c r="F86" s="1153">
        <v>30</v>
      </c>
    </row>
    <row r="87" spans="1:6" s="1104" customFormat="1" ht="36">
      <c r="A87" s="1153">
        <v>27</v>
      </c>
      <c r="B87" s="3452"/>
      <c r="C87" s="1067" t="s">
        <v>1555</v>
      </c>
      <c r="D87" s="1067" t="s">
        <v>1556</v>
      </c>
      <c r="E87" s="1138">
        <v>0.2</v>
      </c>
      <c r="F87" s="1153">
        <v>30</v>
      </c>
    </row>
    <row r="88" spans="1:6" s="1104" customFormat="1" ht="36">
      <c r="A88" s="1153">
        <v>28</v>
      </c>
      <c r="B88" s="3452"/>
      <c r="C88" s="1067" t="s">
        <v>1557</v>
      </c>
      <c r="D88" s="1067" t="s">
        <v>1558</v>
      </c>
      <c r="E88" s="1138">
        <v>0.2</v>
      </c>
      <c r="F88" s="1153">
        <v>30</v>
      </c>
    </row>
    <row r="89" spans="1:6" s="1104" customFormat="1" ht="24">
      <c r="A89" s="1153">
        <v>29</v>
      </c>
      <c r="B89" s="3452"/>
      <c r="C89" s="1067" t="s">
        <v>1559</v>
      </c>
      <c r="D89" s="1067" t="s">
        <v>1560</v>
      </c>
      <c r="E89" s="1138">
        <v>0.2</v>
      </c>
      <c r="F89" s="1153">
        <v>30</v>
      </c>
    </row>
    <row r="90" spans="1:6" s="1104" customFormat="1" ht="24">
      <c r="A90" s="1153">
        <v>30</v>
      </c>
      <c r="B90" s="3452"/>
      <c r="C90" s="1067" t="s">
        <v>1561</v>
      </c>
      <c r="D90" s="1067" t="s">
        <v>1562</v>
      </c>
      <c r="E90" s="1138">
        <v>0.2</v>
      </c>
      <c r="F90" s="1153">
        <v>30</v>
      </c>
    </row>
    <row r="91" spans="1:6" s="1104" customFormat="1" ht="36">
      <c r="A91" s="1153">
        <v>31</v>
      </c>
      <c r="B91" s="3452"/>
      <c r="C91" s="1067" t="s">
        <v>1563</v>
      </c>
      <c r="D91" s="1067" t="s">
        <v>1564</v>
      </c>
      <c r="E91" s="1138">
        <v>0.2</v>
      </c>
      <c r="F91" s="1153">
        <v>30</v>
      </c>
    </row>
    <row r="92" spans="1:6" s="1104" customFormat="1" ht="24">
      <c r="A92" s="1153">
        <v>32</v>
      </c>
      <c r="B92" s="3452" t="s">
        <v>1565</v>
      </c>
      <c r="C92" s="1153" t="s">
        <v>1566</v>
      </c>
      <c r="D92" s="1067" t="s">
        <v>1567</v>
      </c>
      <c r="E92" s="1138">
        <v>0.2</v>
      </c>
      <c r="F92" s="1153">
        <v>30</v>
      </c>
    </row>
    <row r="93" spans="1:6" s="1104" customFormat="1" ht="36">
      <c r="A93" s="1153">
        <v>33</v>
      </c>
      <c r="B93" s="3452"/>
      <c r="C93" s="1153" t="s">
        <v>1568</v>
      </c>
      <c r="D93" s="1067" t="s">
        <v>1569</v>
      </c>
      <c r="E93" s="1138">
        <v>0.2</v>
      </c>
      <c r="F93" s="1153">
        <v>30</v>
      </c>
    </row>
    <row r="94" spans="1:6" s="1104" customFormat="1" ht="48">
      <c r="A94" s="1153">
        <v>34</v>
      </c>
      <c r="B94" s="3452"/>
      <c r="C94" s="1153" t="s">
        <v>1570</v>
      </c>
      <c r="D94" s="1067" t="s">
        <v>1571</v>
      </c>
      <c r="E94" s="1138">
        <v>0.2</v>
      </c>
      <c r="F94" s="1153">
        <v>30</v>
      </c>
    </row>
    <row r="95" spans="1:6" s="1104" customFormat="1" ht="36">
      <c r="A95" s="1153">
        <v>35</v>
      </c>
      <c r="B95" s="3452"/>
      <c r="C95" s="1153" t="s">
        <v>1572</v>
      </c>
      <c r="D95" s="1067" t="s">
        <v>1573</v>
      </c>
      <c r="E95" s="1138">
        <v>0.2</v>
      </c>
      <c r="F95" s="1153">
        <v>30</v>
      </c>
    </row>
    <row r="96" spans="1:6" s="1104" customFormat="1" ht="48">
      <c r="A96" s="1153">
        <v>36</v>
      </c>
      <c r="B96" s="3452"/>
      <c r="C96" s="1067" t="s">
        <v>1574</v>
      </c>
      <c r="D96" s="1067" t="s">
        <v>1575</v>
      </c>
      <c r="E96" s="1138">
        <v>0.2</v>
      </c>
      <c r="F96" s="1153">
        <v>30</v>
      </c>
    </row>
    <row r="97" spans="1:6" s="1104" customFormat="1" ht="36">
      <c r="A97" s="1153">
        <v>37</v>
      </c>
      <c r="B97" s="3452"/>
      <c r="C97" s="1153" t="s">
        <v>1576</v>
      </c>
      <c r="D97" s="1067" t="s">
        <v>1577</v>
      </c>
      <c r="E97" s="1138">
        <v>0.2</v>
      </c>
      <c r="F97" s="1153">
        <v>30</v>
      </c>
    </row>
    <row r="98" spans="1:6" s="1104" customFormat="1" ht="36">
      <c r="A98" s="1153">
        <v>38</v>
      </c>
      <c r="B98" s="3452"/>
      <c r="C98" s="1153" t="s">
        <v>1578</v>
      </c>
      <c r="D98" s="1067" t="s">
        <v>1579</v>
      </c>
      <c r="E98" s="1138">
        <v>0.2</v>
      </c>
      <c r="F98" s="1153">
        <v>30</v>
      </c>
    </row>
    <row r="99" spans="1:6" s="1104" customFormat="1" ht="36">
      <c r="A99" s="1153">
        <v>39</v>
      </c>
      <c r="B99" s="3452" t="s">
        <v>1580</v>
      </c>
      <c r="C99" s="1153" t="s">
        <v>1581</v>
      </c>
      <c r="D99" s="1067" t="s">
        <v>1582</v>
      </c>
      <c r="E99" s="1138">
        <v>0.3</v>
      </c>
      <c r="F99" s="1153">
        <v>50</v>
      </c>
    </row>
    <row r="100" spans="1:6" s="1104" customFormat="1" ht="24">
      <c r="A100" s="1153">
        <v>40</v>
      </c>
      <c r="B100" s="3452"/>
      <c r="C100" s="1153" t="s">
        <v>1583</v>
      </c>
      <c r="D100" s="1067" t="s">
        <v>1584</v>
      </c>
      <c r="E100" s="1138">
        <v>0.2</v>
      </c>
      <c r="F100" s="1153">
        <v>30</v>
      </c>
    </row>
    <row r="101" spans="1:6" s="1104" customFormat="1" ht="36">
      <c r="A101" s="1153">
        <v>41</v>
      </c>
      <c r="B101" s="345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2" t="s">
        <v>1595</v>
      </c>
      <c r="C105" s="1153" t="s">
        <v>1596</v>
      </c>
      <c r="D105" s="1067" t="s">
        <v>1597</v>
      </c>
      <c r="E105" s="1138">
        <v>0.2</v>
      </c>
      <c r="F105" s="1153">
        <v>30</v>
      </c>
    </row>
    <row r="106" spans="1:6" s="1104" customFormat="1" ht="36">
      <c r="A106" s="1153">
        <v>46</v>
      </c>
      <c r="B106" s="3452"/>
      <c r="C106" s="1153" t="s">
        <v>1598</v>
      </c>
      <c r="D106" s="1067" t="s">
        <v>1599</v>
      </c>
      <c r="E106" s="1138">
        <v>0.2</v>
      </c>
      <c r="F106" s="1153">
        <v>30</v>
      </c>
    </row>
    <row r="107" spans="1:6" s="1104" customFormat="1" ht="36">
      <c r="A107" s="1153">
        <v>47</v>
      </c>
      <c r="B107" s="3452" t="s">
        <v>1600</v>
      </c>
      <c r="C107" s="1153" t="s">
        <v>1601</v>
      </c>
      <c r="D107" s="1067" t="s">
        <v>1602</v>
      </c>
      <c r="E107" s="1138">
        <v>0.3</v>
      </c>
      <c r="F107" s="1153">
        <v>50</v>
      </c>
    </row>
    <row r="108" spans="1:6" s="1104" customFormat="1" ht="36">
      <c r="A108" s="1153">
        <v>48</v>
      </c>
      <c r="B108" s="345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2" t="s">
        <v>1611</v>
      </c>
      <c r="C111" s="1153" t="s">
        <v>1612</v>
      </c>
      <c r="D111" s="1067" t="s">
        <v>1613</v>
      </c>
      <c r="E111" s="1138">
        <v>0.2</v>
      </c>
      <c r="F111" s="1153">
        <v>30</v>
      </c>
    </row>
    <row r="112" spans="1:6" s="1104" customFormat="1" ht="24">
      <c r="A112" s="1153">
        <v>52</v>
      </c>
      <c r="B112" s="3452"/>
      <c r="C112" s="1153" t="s">
        <v>1614</v>
      </c>
      <c r="D112" s="1067" t="s">
        <v>1615</v>
      </c>
      <c r="E112" s="1138">
        <v>0.2</v>
      </c>
      <c r="F112" s="1153">
        <v>30</v>
      </c>
    </row>
    <row r="113" spans="1:14" s="1104" customFormat="1" ht="24">
      <c r="A113" s="1153">
        <v>53</v>
      </c>
      <c r="B113" s="345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2" t="s">
        <v>1624</v>
      </c>
      <c r="C116" s="1153" t="s">
        <v>1625</v>
      </c>
      <c r="D116" s="1067" t="s">
        <v>1626</v>
      </c>
      <c r="E116" s="1138">
        <v>0.2</v>
      </c>
      <c r="F116" s="1153">
        <v>30</v>
      </c>
    </row>
    <row r="117" spans="1:14" ht="36">
      <c r="A117" s="1153">
        <v>57</v>
      </c>
      <c r="B117" s="345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1" t="s">
        <v>1633</v>
      </c>
      <c r="B121" s="3451"/>
      <c r="C121" s="3451"/>
      <c r="D121" s="3451"/>
      <c r="E121" s="3451"/>
      <c r="F121" s="3451"/>
      <c r="G121" s="3451"/>
      <c r="H121" s="3451"/>
      <c r="I121" s="3451"/>
      <c r="J121" s="345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1039</v>
      </c>
      <c r="B1" s="3456"/>
      <c r="C1" s="3456"/>
      <c r="D1" s="3456"/>
      <c r="E1" s="3456"/>
      <c r="F1" s="345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7" t="s">
        <v>1052</v>
      </c>
      <c r="B2" s="3457"/>
      <c r="C2" s="3457"/>
      <c r="D2" s="3457"/>
      <c r="E2" s="3457"/>
      <c r="F2" s="345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0" t="s">
        <v>2080</v>
      </c>
      <c r="B1" s="3460"/>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2943</v>
      </c>
      <c r="B1" s="3099"/>
      <c r="C1" s="3099"/>
      <c r="D1" s="3099"/>
      <c r="E1" s="3099"/>
      <c r="F1" s="3099"/>
    </row>
    <row r="2" spans="1:6" ht="14.25">
      <c r="A2" s="3100" t="s">
        <v>2938</v>
      </c>
      <c r="B2" s="3101" t="e">
        <f ca="1">SUMIF(B7:B14,"&lt;&gt;#ref!",B7:B14)</f>
        <v>#DIV/0!</v>
      </c>
      <c r="C2" s="3100" t="s">
        <v>2939</v>
      </c>
      <c r="D2" s="3099"/>
      <c r="E2" s="3099"/>
      <c r="F2" s="3099"/>
    </row>
    <row r="3" spans="1:6" ht="14.25">
      <c r="A3" s="3100" t="s">
        <v>2972</v>
      </c>
      <c r="B3" s="3101" t="e">
        <f ca="1">ROUND(B2*10000/E3,0)</f>
        <v>#DIV/0!</v>
      </c>
      <c r="C3" s="3100" t="s">
        <v>2079</v>
      </c>
      <c r="D3" s="3100" t="s">
        <v>2940</v>
      </c>
      <c r="E3" s="3101">
        <f ca="1">SUMIF(E7:E14,"&lt;&gt;#ref!",E7:E14)</f>
        <v>0</v>
      </c>
      <c r="F3" s="3099"/>
    </row>
    <row r="4" spans="1:6" ht="14.25">
      <c r="A4" s="3100" t="s">
        <v>2947</v>
      </c>
      <c r="B4" s="3101" t="e">
        <f ca="1">ROUND(B2*10000/E4,0)</f>
        <v>#DIV/0!</v>
      </c>
      <c r="C4" s="3100" t="s">
        <v>2079</v>
      </c>
      <c r="D4" s="3100" t="s">
        <v>2948</v>
      </c>
      <c r="E4" s="3101">
        <f ca="1">SUMIF(F7:F14,"&lt;&gt;#ref!",F7:F14)</f>
        <v>0</v>
      </c>
      <c r="F4" s="3099"/>
    </row>
    <row r="5" spans="1:6" ht="14.25">
      <c r="A5" s="3102"/>
      <c r="B5" s="1879"/>
      <c r="C5" s="1879"/>
      <c r="D5" s="1879"/>
      <c r="E5" s="1879"/>
      <c r="F5" s="3099"/>
    </row>
    <row r="6" spans="1:6" ht="28.5">
      <c r="A6" s="3103" t="s">
        <v>2944</v>
      </c>
      <c r="B6" s="3100" t="s">
        <v>2941</v>
      </c>
      <c r="C6" s="3101"/>
      <c r="D6" s="1879"/>
      <c r="E6" s="3100" t="s">
        <v>2942</v>
      </c>
      <c r="F6" s="3100" t="s">
        <v>2946</v>
      </c>
    </row>
    <row r="7" spans="1:6" ht="14.25">
      <c r="A7" s="259" t="s">
        <v>2945</v>
      </c>
      <c r="B7" s="3104" t="e">
        <f ca="1">SUMIF(INDIRECT("'"&amp;A7&amp;"'"&amp;"!A:A"),"总价",INDIRECT("'"&amp;A7&amp;"'"&amp;"!B:B"))</f>
        <v>#DIV/0!</v>
      </c>
      <c r="C7" s="3100" t="s">
        <v>2939</v>
      </c>
      <c r="D7" s="1879"/>
      <c r="E7" s="3105">
        <f ca="1">SUMIF(INDIRECT("'"&amp;A7&amp;"'"&amp;"!C:C"),"建筑面积",INDIRECT("'"&amp;A7&amp;"'"&amp;"!D:D"))</f>
        <v>0</v>
      </c>
      <c r="F7" s="3105">
        <f ca="1">SUMIF(INDIRECT("'"&amp;A7&amp;"'"&amp;"!E:E"),"土地面积",INDIRECT("'"&amp;A7&amp;"'"&amp;"!F:F"))</f>
        <v>0</v>
      </c>
    </row>
    <row r="8" spans="1:6" ht="14.25">
      <c r="A8" s="259"/>
      <c r="B8" s="3104" t="e">
        <f t="shared" ref="B8:B14" ca="1" si="0">SUMIF(INDIRECT("'"&amp;A8&amp;"'"&amp;"!A:A"),"总价",INDIRECT("'"&amp;A8&amp;"'"&amp;"!B:B"))</f>
        <v>#REF!</v>
      </c>
      <c r="C8" s="3100" t="s">
        <v>2939</v>
      </c>
      <c r="D8" s="1879"/>
      <c r="E8" s="3105" t="e">
        <f t="shared" ref="E8:E14" ca="1" si="1">SUMIF(INDIRECT("'"&amp;A8&amp;"'"&amp;"!C:C"),"建筑面积",INDIRECT("'"&amp;A8&amp;"'"&amp;"!D:D"))</f>
        <v>#REF!</v>
      </c>
      <c r="F8" s="3105" t="e">
        <f t="shared" ref="F8:F14" ca="1" si="2">SUMIF(INDIRECT("'"&amp;A8&amp;"'"&amp;"!E:E"),"土地面积",INDIRECT("'"&amp;A8&amp;"'"&amp;"!F:F"))</f>
        <v>#REF!</v>
      </c>
    </row>
    <row r="9" spans="1:6" ht="14.25">
      <c r="A9" s="259"/>
      <c r="B9" s="3104" t="e">
        <f t="shared" ca="1" si="0"/>
        <v>#REF!</v>
      </c>
      <c r="C9" s="3100" t="s">
        <v>2939</v>
      </c>
      <c r="D9" s="1879"/>
      <c r="E9" s="3105" t="e">
        <f t="shared" ca="1" si="1"/>
        <v>#REF!</v>
      </c>
      <c r="F9" s="3105" t="e">
        <f t="shared" ca="1" si="2"/>
        <v>#REF!</v>
      </c>
    </row>
    <row r="10" spans="1:6" ht="14.25">
      <c r="A10" s="259"/>
      <c r="B10" s="3104" t="e">
        <f t="shared" ca="1" si="0"/>
        <v>#REF!</v>
      </c>
      <c r="C10" s="3100" t="s">
        <v>2939</v>
      </c>
      <c r="D10" s="1879"/>
      <c r="E10" s="3105" t="e">
        <f t="shared" ca="1" si="1"/>
        <v>#REF!</v>
      </c>
      <c r="F10" s="3105" t="e">
        <f t="shared" ca="1" si="2"/>
        <v>#REF!</v>
      </c>
    </row>
    <row r="11" spans="1:6" ht="14.25">
      <c r="A11" s="259"/>
      <c r="B11" s="3104" t="e">
        <f t="shared" ca="1" si="0"/>
        <v>#REF!</v>
      </c>
      <c r="C11" s="3100" t="s">
        <v>2939</v>
      </c>
      <c r="D11" s="1879"/>
      <c r="E11" s="3105" t="e">
        <f t="shared" ca="1" si="1"/>
        <v>#REF!</v>
      </c>
      <c r="F11" s="3105" t="e">
        <f t="shared" ca="1" si="2"/>
        <v>#REF!</v>
      </c>
    </row>
    <row r="12" spans="1:6" ht="14.25">
      <c r="A12" s="259"/>
      <c r="B12" s="3104" t="e">
        <f t="shared" ca="1" si="0"/>
        <v>#REF!</v>
      </c>
      <c r="C12" s="3100" t="s">
        <v>2939</v>
      </c>
      <c r="D12" s="1879"/>
      <c r="E12" s="3105" t="e">
        <f t="shared" ca="1" si="1"/>
        <v>#REF!</v>
      </c>
      <c r="F12" s="3105" t="e">
        <f t="shared" ca="1" si="2"/>
        <v>#REF!</v>
      </c>
    </row>
    <row r="13" spans="1:6" ht="14.25">
      <c r="A13" s="259"/>
      <c r="B13" s="3104" t="e">
        <f t="shared" ca="1" si="0"/>
        <v>#REF!</v>
      </c>
      <c r="C13" s="3100" t="s">
        <v>2939</v>
      </c>
      <c r="D13" s="1879"/>
      <c r="E13" s="3105" t="e">
        <f t="shared" ca="1" si="1"/>
        <v>#REF!</v>
      </c>
      <c r="F13" s="3105" t="e">
        <f t="shared" ca="1" si="2"/>
        <v>#REF!</v>
      </c>
    </row>
    <row r="14" spans="1:6" ht="14.25">
      <c r="A14" s="3098"/>
      <c r="B14" s="3104" t="e">
        <f t="shared" ca="1" si="0"/>
        <v>#REF!</v>
      </c>
      <c r="C14" s="3100" t="s">
        <v>2939</v>
      </c>
      <c r="D14" s="1879"/>
      <c r="E14" s="3105" t="e">
        <f t="shared" ca="1" si="1"/>
        <v>#REF!</v>
      </c>
      <c r="F14" s="3105"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627</v>
      </c>
      <c r="B1" s="737"/>
      <c r="C1" s="772"/>
      <c r="D1" s="2048"/>
      <c r="E1" s="2385" t="s">
        <v>2374</v>
      </c>
      <c r="F1" s="2386">
        <f ca="1">J54</f>
        <v>-2</v>
      </c>
      <c r="G1" s="773">
        <f>MATCH(C1,'数据-取费表'!A6:A16,0)+5</f>
        <v>12</v>
      </c>
      <c r="H1" s="1349"/>
      <c r="I1" s="2049"/>
      <c r="J1" s="2049"/>
      <c r="K1" s="2050"/>
      <c r="L1" s="2049"/>
      <c r="M1" s="2049"/>
      <c r="N1" s="2051"/>
      <c r="O1" s="2051"/>
      <c r="P1" s="2051"/>
      <c r="Q1" s="2051"/>
      <c r="R1" s="2051"/>
      <c r="S1" s="2051"/>
      <c r="T1" s="2051"/>
      <c r="U1" s="2051"/>
      <c r="V1" s="2051"/>
      <c r="W1" s="2051"/>
      <c r="X1" s="2051"/>
      <c r="Y1" s="2051"/>
    </row>
    <row r="2" spans="1:25" ht="18" customHeight="1">
      <c r="A2" s="1643" t="s">
        <v>628</v>
      </c>
      <c r="B2" s="774">
        <f ca="1">IF(ISERROR(C45+J31),0,C45+J31)</f>
        <v>0</v>
      </c>
      <c r="C2" s="1350"/>
      <c r="D2" s="2053"/>
      <c r="E2" s="2054"/>
      <c r="F2" s="2054"/>
      <c r="G2" s="1589"/>
      <c r="H2" s="1362"/>
      <c r="I2" s="2055"/>
      <c r="J2" s="2055"/>
      <c r="K2" s="2056"/>
      <c r="L2" s="2055"/>
      <c r="M2" s="2055"/>
    </row>
    <row r="3" spans="1:25" ht="18" customHeight="1">
      <c r="A3" s="1644" t="s">
        <v>1686</v>
      </c>
      <c r="B3" s="1390">
        <f ca="1">ROUND(B2*10000/'数据-汇总表'!E3,0)</f>
        <v>0</v>
      </c>
      <c r="C3" s="1350"/>
      <c r="D3" s="2053"/>
      <c r="E3" s="2054"/>
      <c r="F3" s="2054"/>
      <c r="G3" s="1589"/>
      <c r="H3" s="775" t="s">
        <v>694</v>
      </c>
      <c r="I3" s="2055"/>
      <c r="J3" s="2055"/>
      <c r="K3" s="2056"/>
      <c r="L3" s="2055"/>
      <c r="M3" s="2055"/>
    </row>
    <row r="4" spans="1:25" ht="18" customHeight="1">
      <c r="A4" s="1645" t="s">
        <v>695</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696</v>
      </c>
      <c r="D5" s="2053"/>
      <c r="E5" s="2054"/>
      <c r="F5" s="2054"/>
      <c r="G5" s="1589"/>
      <c r="H5" s="775"/>
      <c r="I5" s="2055"/>
      <c r="J5" s="2055"/>
      <c r="K5" s="2056"/>
      <c r="L5" s="2055"/>
      <c r="M5" s="2055"/>
    </row>
    <row r="6" spans="1:25" ht="18" customHeight="1">
      <c r="A6" s="1826" t="s">
        <v>697</v>
      </c>
      <c r="B6" s="1818" t="s">
        <v>698</v>
      </c>
      <c r="C6" s="1818" t="s">
        <v>631</v>
      </c>
      <c r="D6" s="1818" t="s">
        <v>632</v>
      </c>
      <c r="E6" s="778" t="s">
        <v>633</v>
      </c>
      <c r="F6" s="779"/>
      <c r="G6" s="1591"/>
      <c r="H6" s="1826" t="s">
        <v>629</v>
      </c>
      <c r="I6" s="1818" t="s">
        <v>630</v>
      </c>
      <c r="J6" s="1818" t="s">
        <v>631</v>
      </c>
      <c r="K6" s="1818" t="s">
        <v>632</v>
      </c>
      <c r="L6" s="778" t="s">
        <v>633</v>
      </c>
      <c r="M6" s="779"/>
    </row>
    <row r="7" spans="1:25" ht="18" customHeight="1">
      <c r="A7" s="780">
        <v>1</v>
      </c>
      <c r="B7" s="781" t="s">
        <v>2457</v>
      </c>
      <c r="C7" s="53">
        <f ca="1">C8+C12+C14</f>
        <v>0</v>
      </c>
      <c r="D7" s="2494" t="s">
        <v>2460</v>
      </c>
      <c r="E7" s="2488"/>
      <c r="F7" s="2489"/>
      <c r="G7" s="1591"/>
      <c r="H7" s="780">
        <v>1</v>
      </c>
      <c r="I7" s="781" t="s">
        <v>2457</v>
      </c>
      <c r="J7" s="53">
        <f ca="1">J8+J12+J14</f>
        <v>0</v>
      </c>
      <c r="K7" s="2494" t="s">
        <v>2460</v>
      </c>
      <c r="L7" s="2488"/>
      <c r="M7" s="2489"/>
    </row>
    <row r="8" spans="1:25" ht="18" customHeight="1">
      <c r="A8" s="1828" t="s">
        <v>1824</v>
      </c>
      <c r="B8" s="3462" t="s">
        <v>2462</v>
      </c>
      <c r="C8" s="1823">
        <f ca="1">ROUND(F8*F10*F9*(1-F11)/10000,0)</f>
        <v>0</v>
      </c>
      <c r="D8" s="1820" t="s">
        <v>2533</v>
      </c>
      <c r="E8" s="61" t="s">
        <v>636</v>
      </c>
      <c r="F8" s="784">
        <f ca="1">INDIRECT("'数据-取费表'!u"&amp;$G$1)</f>
        <v>0</v>
      </c>
      <c r="G8" s="1591"/>
      <c r="H8" s="2502" t="s">
        <v>1824</v>
      </c>
      <c r="I8" s="3462" t="s">
        <v>2462</v>
      </c>
      <c r="J8" s="782">
        <f ca="1">ROUND(M8*M10*M9*(1-M11)/10000,0)</f>
        <v>0</v>
      </c>
      <c r="K8" s="340" t="s">
        <v>2533</v>
      </c>
      <c r="L8" s="783" t="s">
        <v>1738</v>
      </c>
      <c r="M8" s="784">
        <f ca="1">INDIRECT("'数据-取费表'!z"&amp;$G$1)</f>
        <v>0</v>
      </c>
    </row>
    <row r="9" spans="1:25" ht="18" customHeight="1">
      <c r="A9" s="2498"/>
      <c r="B9" s="3463"/>
      <c r="C9" s="1824"/>
      <c r="D9" s="1821"/>
      <c r="E9" s="61" t="s">
        <v>637</v>
      </c>
      <c r="F9" s="784">
        <f ca="1">IF(INDIRECT("'数据-取费表'!ah"&amp;$G$1)="",INDIRECT("'数据-取费表'!k"&amp;$G$1),INDIRECT("'数据-取费表'!ah"&amp;$G$1))</f>
        <v>0</v>
      </c>
      <c r="G9" s="1591"/>
      <c r="H9" s="2487"/>
      <c r="I9" s="3463"/>
      <c r="J9" s="787"/>
      <c r="K9" s="788"/>
      <c r="L9" s="783" t="s">
        <v>1739</v>
      </c>
      <c r="M9" s="784">
        <f ca="1">F9</f>
        <v>0</v>
      </c>
    </row>
    <row r="10" spans="1:25" ht="18" customHeight="1">
      <c r="A10" s="2491"/>
      <c r="B10" s="3464"/>
      <c r="C10" s="1824"/>
      <c r="D10" s="1821"/>
      <c r="E10" s="61" t="s">
        <v>638</v>
      </c>
      <c r="F10" s="784">
        <f ca="1">INDIRECT("'数据-取费表'!ai"&amp;$G$1)</f>
        <v>0</v>
      </c>
      <c r="G10" s="1591"/>
      <c r="H10" s="2487"/>
      <c r="I10" s="3464"/>
      <c r="J10" s="787"/>
      <c r="K10" s="788"/>
      <c r="L10" s="783" t="s">
        <v>1740</v>
      </c>
      <c r="M10" s="784">
        <f ca="1">INDIRECT("'数据-取费表'!ai"&amp;$G$1)</f>
        <v>0</v>
      </c>
    </row>
    <row r="11" spans="1:25" ht="18" customHeight="1">
      <c r="A11" s="785"/>
      <c r="B11" s="3465"/>
      <c r="C11" s="1824"/>
      <c r="D11" s="1821"/>
      <c r="E11" s="61" t="s">
        <v>639</v>
      </c>
      <c r="F11" s="793">
        <f ca="1">INDIRECT("'数据-取费表'!w"&amp;$G$1)</f>
        <v>0</v>
      </c>
      <c r="G11" s="1591"/>
      <c r="H11" s="2503"/>
      <c r="I11" s="3464"/>
      <c r="J11" s="787"/>
      <c r="K11" s="788"/>
      <c r="L11" s="794" t="s">
        <v>1741</v>
      </c>
      <c r="M11" s="795">
        <f ca="1">INDIRECT("'数据-取费表'!ab"&amp;$G$1)</f>
        <v>0</v>
      </c>
    </row>
    <row r="12" spans="1:25" ht="18" customHeight="1">
      <c r="A12" s="1828" t="s">
        <v>1825</v>
      </c>
      <c r="B12" s="2492" t="s">
        <v>2458</v>
      </c>
      <c r="C12" s="798">
        <f ca="1">ROUND(IF(F12="押一",C8/12*F13,IF(F12="押二",C8/12*2*F13,IF(F12="押三",C8/12*3*F13,C13*F13))),0)</f>
        <v>0</v>
      </c>
      <c r="D12" s="2499" t="s">
        <v>2968</v>
      </c>
      <c r="E12" s="2496" t="s">
        <v>2463</v>
      </c>
      <c r="F12" s="2619"/>
      <c r="G12" s="1591"/>
      <c r="H12" s="2559" t="s">
        <v>1825</v>
      </c>
      <c r="I12" s="2564" t="s">
        <v>2458</v>
      </c>
      <c r="J12" s="782">
        <f ca="1">ROUND(IF(M12="押一",J8/12*M13,IF(M12="押二",J8/12*2*M13,IF(M12="押三",J8/12*3*M13,J13*M13))),0)</f>
        <v>0</v>
      </c>
      <c r="K12" s="2499" t="s">
        <v>2968</v>
      </c>
      <c r="L12" s="2496" t="s">
        <v>2463</v>
      </c>
      <c r="M12" s="2619"/>
    </row>
    <row r="13" spans="1:25" ht="18" customHeight="1">
      <c r="A13" s="789"/>
      <c r="B13" s="2493" t="s">
        <v>2572</v>
      </c>
      <c r="C13" s="2497"/>
      <c r="D13" s="788"/>
      <c r="E13" s="2496" t="s">
        <v>2455</v>
      </c>
      <c r="F13" s="795">
        <f ca="1">'数据-取费表'!B39</f>
        <v>1.4999999999999999E-2</v>
      </c>
      <c r="G13" s="1591"/>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1"/>
      <c r="H14" s="2549" t="s">
        <v>2466</v>
      </c>
      <c r="I14" s="2562" t="s">
        <v>2459</v>
      </c>
      <c r="J14" s="2563"/>
      <c r="K14" s="2538"/>
      <c r="L14" s="2539"/>
      <c r="M14" s="2552"/>
    </row>
    <row r="15" spans="1:25" ht="18" customHeight="1" thickTop="1">
      <c r="A15" s="1827" t="s">
        <v>1874</v>
      </c>
      <c r="B15" s="1825" t="s">
        <v>640</v>
      </c>
      <c r="C15" s="791">
        <f ca="1">ROUND(C31*F15,0)</f>
        <v>0</v>
      </c>
      <c r="D15" s="1832" t="s">
        <v>641</v>
      </c>
      <c r="E15" s="794" t="s">
        <v>642</v>
      </c>
      <c r="F15" s="799">
        <f ca="1">INDIRECT("'数据-取费表'!y"&amp;$G$1)</f>
        <v>0</v>
      </c>
      <c r="G15" s="1591"/>
      <c r="H15" s="1827" t="s">
        <v>1826</v>
      </c>
      <c r="I15" s="1825" t="s">
        <v>643</v>
      </c>
      <c r="J15" s="1817">
        <f ca="1">ROUND(J16*J17,0)</f>
        <v>0</v>
      </c>
      <c r="K15" s="1819" t="s">
        <v>641</v>
      </c>
      <c r="L15" s="800"/>
      <c r="M15" s="801"/>
    </row>
    <row r="16" spans="1:25" ht="18" customHeight="1">
      <c r="A16" s="802" t="s">
        <v>1875</v>
      </c>
      <c r="B16" s="783" t="s">
        <v>644</v>
      </c>
      <c r="C16" s="803">
        <f ca="1">INDIRECT("'数据-取费表'!m"&amp;$G$1)+INDIRECT("'数据-取费表'!t"&amp;$G$1)</f>
        <v>0</v>
      </c>
      <c r="D16" s="1977" t="s">
        <v>645</v>
      </c>
      <c r="E16" s="1978"/>
      <c r="F16" s="804"/>
      <c r="G16" s="1591"/>
      <c r="H16" s="802" t="s">
        <v>2070</v>
      </c>
      <c r="I16" s="2229" t="s">
        <v>2823</v>
      </c>
      <c r="J16" s="53">
        <f ca="1">C31</f>
        <v>0</v>
      </c>
      <c r="K16" s="26"/>
      <c r="L16" s="800"/>
      <c r="M16" s="801"/>
    </row>
    <row r="17" spans="1:25" s="2062" customFormat="1" ht="18" customHeight="1">
      <c r="A17" s="802" t="s">
        <v>1849</v>
      </c>
      <c r="B17" s="783" t="s">
        <v>646</v>
      </c>
      <c r="C17" s="53">
        <f ca="1">ROUND(C16*F17,0)</f>
        <v>0</v>
      </c>
      <c r="D17" s="805" t="s">
        <v>647</v>
      </c>
      <c r="E17" s="805" t="s">
        <v>648</v>
      </c>
      <c r="F17" s="806">
        <f>'数据-取费表'!B33</f>
        <v>0.03</v>
      </c>
      <c r="G17" s="1592"/>
      <c r="H17" s="802" t="s">
        <v>2071</v>
      </c>
      <c r="I17" s="783" t="s">
        <v>642</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0"/>
      <c r="M18" s="56"/>
    </row>
    <row r="19" spans="1:25" s="2062"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2070</v>
      </c>
      <c r="I19" s="783" t="s">
        <v>655</v>
      </c>
      <c r="J19" s="53">
        <f ca="1">ROUND(IF(项目基本情况!B11="自然人",J7*M19,J20+J21+J22),0)</f>
        <v>0</v>
      </c>
      <c r="K19" s="1977" t="s">
        <v>656</v>
      </c>
      <c r="L19" s="1975" t="s">
        <v>657</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5" t="s">
        <v>660</v>
      </c>
      <c r="L20" s="783" t="s">
        <v>648</v>
      </c>
      <c r="M20" s="808">
        <f>'数据-取费表'!B41</f>
        <v>5.5000000000000007E-2</v>
      </c>
      <c r="N20" s="2061"/>
      <c r="O20" s="2061"/>
      <c r="P20" s="2061"/>
      <c r="Q20" s="2061"/>
      <c r="R20" s="2061"/>
      <c r="S20" s="2061"/>
      <c r="T20" s="2061"/>
      <c r="U20" s="2061"/>
      <c r="V20" s="2061"/>
      <c r="W20" s="2061"/>
      <c r="X20" s="2061"/>
      <c r="Y20" s="2061"/>
    </row>
    <row r="21" spans="1:25" ht="18" customHeight="1">
      <c r="A21" s="802" t="s">
        <v>1876</v>
      </c>
      <c r="B21" s="783" t="s">
        <v>661</v>
      </c>
      <c r="C21" s="53">
        <f ca="1">SUM(C16:C20)</f>
        <v>0</v>
      </c>
      <c r="D21" s="260" t="s">
        <v>662</v>
      </c>
      <c r="E21" s="1980"/>
      <c r="F21" s="56"/>
      <c r="G21" s="1591"/>
      <c r="H21" s="1828" t="s">
        <v>1849</v>
      </c>
      <c r="I21" s="783" t="s">
        <v>663</v>
      </c>
      <c r="J21" s="53">
        <f ca="1">IF(K21="按租金收入计税",ROUND(J7*M21,1),ROUND(C31*F35*0.7,1))</f>
        <v>0</v>
      </c>
      <c r="K21" s="810" t="s">
        <v>664</v>
      </c>
      <c r="L21" s="783" t="s">
        <v>648</v>
      </c>
      <c r="M21" s="808">
        <f>IF(K21="按租金收入计税",'数据-取费表'!B51,'数据-取费表'!B50)</f>
        <v>1.2E-2</v>
      </c>
    </row>
    <row r="22" spans="1:25" s="2062" customFormat="1" ht="18" customHeight="1">
      <c r="A22" s="802" t="s">
        <v>1877</v>
      </c>
      <c r="B22" s="783" t="s">
        <v>665</v>
      </c>
      <c r="C22" s="53">
        <f ca="1">ROUND(C21*F22,0)</f>
        <v>0</v>
      </c>
      <c r="D22" s="811" t="s">
        <v>666</v>
      </c>
      <c r="E22" s="783" t="s">
        <v>648</v>
      </c>
      <c r="F22" s="808">
        <f>'数据-取费表'!B37</f>
        <v>0.02</v>
      </c>
      <c r="G22" s="1592"/>
      <c r="H22" s="1830" t="s">
        <v>1850</v>
      </c>
      <c r="I22" s="1820" t="s">
        <v>667</v>
      </c>
      <c r="J22" s="54">
        <f ca="1">ROUND(M22*M23/10000,0)</f>
        <v>0</v>
      </c>
      <c r="K22" s="813" t="s">
        <v>668</v>
      </c>
      <c r="L22" s="783" t="s">
        <v>669</v>
      </c>
      <c r="M22" s="639">
        <f>'数据-取费表'!B52</f>
        <v>8</v>
      </c>
      <c r="N22" s="2061"/>
      <c r="O22" s="2061"/>
      <c r="P22" s="2061"/>
      <c r="Q22" s="2061"/>
      <c r="R22" s="2061"/>
      <c r="S22" s="2061"/>
      <c r="T22" s="2061"/>
      <c r="U22" s="2061"/>
      <c r="V22" s="2061"/>
      <c r="W22" s="2061"/>
      <c r="X22" s="2061"/>
      <c r="Y22" s="2061"/>
    </row>
    <row r="23" spans="1:25" s="2062" customFormat="1" ht="18" customHeight="1">
      <c r="A23" s="802" t="s">
        <v>1878</v>
      </c>
      <c r="B23" s="783" t="s">
        <v>670</v>
      </c>
      <c r="C23" s="53" t="s">
        <v>1</v>
      </c>
      <c r="D23" s="811" t="s">
        <v>671</v>
      </c>
      <c r="E23" s="783" t="s">
        <v>672</v>
      </c>
      <c r="F23" s="808">
        <f>'数据-取费表'!B38</f>
        <v>1.4999999999999999E-2</v>
      </c>
      <c r="G23" s="1592"/>
      <c r="H23" s="1831"/>
      <c r="I23" s="1822"/>
      <c r="J23" s="69"/>
      <c r="K23" s="815"/>
      <c r="L23" s="783" t="s">
        <v>673</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674</v>
      </c>
      <c r="C24" s="53"/>
      <c r="D24" s="2570" t="str">
        <f>IF(F25&lt;=1,"单利计息。","复利计息。")&amp;"建造成本、管理费用、销售费用产生的利息。"</f>
        <v>复利计息。建造成本、管理费用、销售费用产生的利息。</v>
      </c>
      <c r="E24" s="1980"/>
      <c r="F24" s="56"/>
      <c r="G24" s="1591"/>
      <c r="H24" s="1829" t="s">
        <v>2071</v>
      </c>
      <c r="I24" s="783" t="s">
        <v>675</v>
      </c>
      <c r="J24" s="53">
        <f ca="1">ROUND(J16*M24,0)</f>
        <v>0</v>
      </c>
      <c r="K24" s="1975" t="s">
        <v>676</v>
      </c>
      <c r="L24" s="783" t="s">
        <v>648</v>
      </c>
      <c r="M24" s="816">
        <f ca="1">INDIRECT("'数据-取费表'!Ak"&amp;$G$1)</f>
        <v>0</v>
      </c>
    </row>
    <row r="25" spans="1:25" s="2062" customFormat="1" ht="18" customHeight="1">
      <c r="A25" s="802" t="s">
        <v>1875</v>
      </c>
      <c r="B25" s="783" t="s">
        <v>2437</v>
      </c>
      <c r="C25" s="53">
        <f ca="1">ROUND(IF('数据-取费表'!B22&lt;=1,(C21+C22)*F26*F25/2,(C21+C22)*(POWER((1+F26),F25/2)-1)),0)</f>
        <v>0</v>
      </c>
      <c r="D25" s="2569" t="str">
        <f>IF(F25&lt;=1,"(建造成本+管理费用)×利率×(建设周期÷2)","(建造成本+管理费用)×((1+利率)^(建设周期÷2)-1)")</f>
        <v>(建造成本+管理费用)×((1+利率)^(建设周期÷2)-1)</v>
      </c>
      <c r="E25" s="783" t="s">
        <v>677</v>
      </c>
      <c r="F25" s="639">
        <f>'数据-取费表'!B20</f>
        <v>2</v>
      </c>
      <c r="G25" s="1592"/>
      <c r="H25" s="802" t="s">
        <v>1878</v>
      </c>
      <c r="I25" s="783" t="s">
        <v>678</v>
      </c>
      <c r="J25" s="53">
        <f ca="1">ROUND(J15*M25,0)</f>
        <v>0</v>
      </c>
      <c r="K25" s="1975" t="s">
        <v>679</v>
      </c>
      <c r="L25" s="783" t="s">
        <v>648</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680</v>
      </c>
      <c r="C26" s="53">
        <f ca="1">ROUND(IF('数据-取费表'!B22&lt;=1,F23*F26*F25/2,F23*(POWER((1+F26),F25/2)-1)),4)</f>
        <v>6.9999999999999999E-4</v>
      </c>
      <c r="D26" s="2569" t="str">
        <f>IF(F25&lt;=1,"销售费用×利率×(建设周期÷2)","销售费用×((1+利率)^(建设周期÷2)-1)")</f>
        <v>销售费用×((1+利率)^(建设周期÷2)-1)</v>
      </c>
      <c r="E26" s="783" t="s">
        <v>681</v>
      </c>
      <c r="F26" s="818">
        <f ca="1">'数据-取费表'!B40</f>
        <v>4.7500000000000001E-2</v>
      </c>
      <c r="G26" s="1592"/>
      <c r="H26" s="802" t="s">
        <v>1879</v>
      </c>
      <c r="I26" s="783" t="s">
        <v>665</v>
      </c>
      <c r="J26" s="53">
        <f ca="1">ROUND(J7*M26,0)</f>
        <v>0</v>
      </c>
      <c r="K26" s="1975" t="s">
        <v>682</v>
      </c>
      <c r="L26" s="783" t="s">
        <v>648</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683</v>
      </c>
      <c r="C27" s="53"/>
      <c r="D27" s="260" t="s">
        <v>684</v>
      </c>
      <c r="E27" s="1980"/>
      <c r="F27" s="56"/>
      <c r="G27" s="1591"/>
      <c r="H27" s="796" t="s">
        <v>1828</v>
      </c>
      <c r="I27" s="3008" t="s">
        <v>2820</v>
      </c>
      <c r="J27" s="798">
        <f ca="1">J7-J18</f>
        <v>0</v>
      </c>
      <c r="K27" s="1977" t="s">
        <v>699</v>
      </c>
      <c r="L27" s="1979"/>
      <c r="M27" s="819"/>
    </row>
    <row r="28" spans="1:25" ht="18" customHeight="1">
      <c r="A28" s="802" t="s">
        <v>1875</v>
      </c>
      <c r="B28" s="783" t="s">
        <v>2438</v>
      </c>
      <c r="C28" s="53">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2" customFormat="1" ht="18" customHeight="1">
      <c r="A30" s="802" t="s">
        <v>1882</v>
      </c>
      <c r="B30" s="783" t="s">
        <v>686</v>
      </c>
      <c r="C30" s="53">
        <f>ROUND(F30/(1+'数据-取费表'!C42),4)</f>
        <v>5.2400000000000002E-2</v>
      </c>
      <c r="D30" s="811" t="s">
        <v>708</v>
      </c>
      <c r="E30" s="783" t="s">
        <v>648</v>
      </c>
      <c r="F30" s="808">
        <f>'数据-取费表'!B41</f>
        <v>5.5000000000000007E-2</v>
      </c>
      <c r="G30" s="1592"/>
      <c r="H30" s="789"/>
      <c r="I30" s="790"/>
      <c r="J30" s="791"/>
      <c r="K30" s="815"/>
      <c r="L30" s="783" t="s">
        <v>709</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2821</v>
      </c>
      <c r="C31" s="2542">
        <f ca="1">ROUND((C21+C22+C25+C28)/(1-F23-C26-C29-C30),0)</f>
        <v>0</v>
      </c>
      <c r="D31" s="2543"/>
      <c r="E31" s="2544"/>
      <c r="F31" s="2545"/>
      <c r="G31" s="1592"/>
      <c r="H31" s="822" t="s">
        <v>1872</v>
      </c>
      <c r="I31" s="3009" t="s">
        <v>2822</v>
      </c>
      <c r="J31" s="824">
        <f ca="1">ROUND(J28/(1+F45)^F46,0)</f>
        <v>0</v>
      </c>
      <c r="K31" s="825" t="s">
        <v>687</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1">
        <f ca="1">ROUND(C33+C38+C39+C40,0)</f>
        <v>0</v>
      </c>
      <c r="D32" s="1819" t="s">
        <v>651</v>
      </c>
      <c r="E32" s="2485"/>
      <c r="F32" s="2489"/>
      <c r="G32" s="2060"/>
      <c r="H32" s="2063"/>
      <c r="I32" s="2064"/>
      <c r="J32" s="2065"/>
      <c r="K32" s="2066"/>
      <c r="L32" s="2067"/>
      <c r="M32" s="2068"/>
    </row>
    <row r="33" spans="1:18" ht="18" customHeight="1">
      <c r="A33" s="802" t="s">
        <v>1876</v>
      </c>
      <c r="B33" s="783" t="s">
        <v>655</v>
      </c>
      <c r="C33" s="53">
        <f ca="1">ROUND(IF(项目基本情况!B11="自然人",C7*F33,C34+C35+C36),1)</f>
        <v>0</v>
      </c>
      <c r="D33" s="1977" t="s">
        <v>656</v>
      </c>
      <c r="E33" s="1975" t="s">
        <v>689</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659</v>
      </c>
      <c r="C34" s="53">
        <f ca="1">ROUND(C7*F34/1.05,1)</f>
        <v>0</v>
      </c>
      <c r="D34" s="1975" t="s">
        <v>660</v>
      </c>
      <c r="E34" s="783" t="s">
        <v>648</v>
      </c>
      <c r="F34" s="808">
        <f>'数据-取费表'!B41</f>
        <v>5.5000000000000007E-2</v>
      </c>
      <c r="G34" s="2060"/>
      <c r="H34" s="2069"/>
      <c r="I34" s="2070"/>
      <c r="J34" s="2071"/>
      <c r="K34" s="2072"/>
      <c r="L34" s="2073"/>
      <c r="M34" s="2074"/>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0"/>
      <c r="H35" s="2075"/>
      <c r="I35" s="2075"/>
      <c r="J35" s="2075"/>
      <c r="K35" s="2076"/>
      <c r="L35" s="2075"/>
      <c r="M35" s="2075"/>
    </row>
    <row r="36" spans="1:18" ht="18" customHeight="1">
      <c r="A36" s="812" t="s">
        <v>1880</v>
      </c>
      <c r="B36" s="340" t="s">
        <v>667</v>
      </c>
      <c r="C36" s="54">
        <f ca="1">ROUND(F36*F37/10000,1)</f>
        <v>0</v>
      </c>
      <c r="D36" s="813" t="s">
        <v>668</v>
      </c>
      <c r="E36" s="783" t="s">
        <v>669</v>
      </c>
      <c r="F36" s="639">
        <f>'数据-取费表'!B52</f>
        <v>8</v>
      </c>
      <c r="G36" s="2060"/>
      <c r="H36" s="2063"/>
      <c r="I36" s="3461"/>
      <c r="J36" s="2077"/>
      <c r="K36" s="2078"/>
      <c r="L36" s="2077"/>
      <c r="M36" s="2077"/>
    </row>
    <row r="37" spans="1:18" ht="18" customHeight="1">
      <c r="A37" s="814"/>
      <c r="B37" s="792"/>
      <c r="C37" s="69"/>
      <c r="D37" s="815"/>
      <c r="E37" s="783" t="s">
        <v>673</v>
      </c>
      <c r="F37" s="784">
        <f ca="1">INDIRECT("'数据-取费表'!r"&amp;$G$1)</f>
        <v>0</v>
      </c>
      <c r="G37" s="2060"/>
      <c r="H37" s="2063"/>
      <c r="I37" s="3461"/>
      <c r="J37" s="2075"/>
      <c r="K37" s="2076"/>
      <c r="L37" s="2075"/>
      <c r="M37" s="2075"/>
    </row>
    <row r="38" spans="1:18" ht="18" customHeight="1">
      <c r="A38" s="802" t="s">
        <v>1877</v>
      </c>
      <c r="B38" s="783" t="s">
        <v>675</v>
      </c>
      <c r="C38" s="53">
        <f ca="1">ROUND(C31*F38,1)</f>
        <v>0</v>
      </c>
      <c r="D38" s="1975" t="s">
        <v>690</v>
      </c>
      <c r="E38" s="783" t="s">
        <v>648</v>
      </c>
      <c r="F38" s="816">
        <f ca="1">INDIRECT("'数据-取费表'!Ak"&amp;$G$1)</f>
        <v>0</v>
      </c>
      <c r="G38" s="2060"/>
      <c r="H38" s="2075"/>
      <c r="I38" s="2079"/>
      <c r="J38" s="1986"/>
      <c r="K38" s="2080"/>
      <c r="L38" s="2075"/>
      <c r="M38" s="2075"/>
    </row>
    <row r="39" spans="1:18" ht="18" customHeight="1">
      <c r="A39" s="802" t="s">
        <v>1878</v>
      </c>
      <c r="B39" s="783" t="s">
        <v>678</v>
      </c>
      <c r="C39" s="53">
        <f ca="1">ROUND(C15*F39,1)</f>
        <v>0</v>
      </c>
      <c r="D39" s="1975" t="s">
        <v>679</v>
      </c>
      <c r="E39" s="783" t="s">
        <v>648</v>
      </c>
      <c r="F39" s="817">
        <f ca="1">INDIRECT("'数据-取费表'!Al"&amp;$G$1)</f>
        <v>0</v>
      </c>
      <c r="G39" s="2060"/>
      <c r="H39" s="2075"/>
      <c r="I39" s="2079"/>
      <c r="J39" s="1986"/>
      <c r="K39" s="2080"/>
      <c r="L39" s="2075"/>
      <c r="M39" s="2075"/>
    </row>
    <row r="40" spans="1:18" ht="18" customHeight="1" thickBot="1">
      <c r="A40" s="2558" t="s">
        <v>1879</v>
      </c>
      <c r="B40" s="2544" t="s">
        <v>665</v>
      </c>
      <c r="C40" s="2542">
        <f ca="1">ROUND(C7*F40,1)</f>
        <v>0</v>
      </c>
      <c r="D40" s="2543" t="s">
        <v>682</v>
      </c>
      <c r="E40" s="2544" t="s">
        <v>648</v>
      </c>
      <c r="F40" s="2540">
        <f ca="1">INDIRECT("'数据-取费表'!Am"&amp;$G$1)</f>
        <v>0</v>
      </c>
      <c r="G40" s="2060"/>
      <c r="H40" s="2075"/>
      <c r="I40" s="2079"/>
      <c r="J40" s="1986"/>
      <c r="K40" s="2081"/>
      <c r="L40" s="2075"/>
      <c r="M40" s="2075"/>
    </row>
    <row r="41" spans="1:18" ht="18" customHeight="1" thickTop="1">
      <c r="A41" s="1827">
        <v>4</v>
      </c>
      <c r="B41" s="1825" t="s">
        <v>691</v>
      </c>
      <c r="C41" s="1352"/>
      <c r="D41" s="1353"/>
      <c r="E41" s="1353"/>
      <c r="F41" s="1354"/>
      <c r="G41" s="2060"/>
      <c r="H41" s="2060"/>
      <c r="I41" s="2060"/>
      <c r="J41" s="2060"/>
      <c r="K41" s="2081"/>
      <c r="L41" s="2060"/>
      <c r="M41" s="2060"/>
    </row>
    <row r="42" spans="1:18" ht="18" customHeight="1">
      <c r="A42" s="802" t="s">
        <v>1876</v>
      </c>
      <c r="B42" s="834" t="s">
        <v>692</v>
      </c>
      <c r="C42" s="828">
        <f ca="1">C7-C32</f>
        <v>0</v>
      </c>
      <c r="D42" s="1977" t="s">
        <v>693</v>
      </c>
      <c r="E42" s="1979"/>
      <c r="F42" s="819"/>
      <c r="G42" s="2060"/>
      <c r="H42" s="2060"/>
      <c r="I42" s="2060"/>
      <c r="J42" s="2060"/>
      <c r="K42" s="2081"/>
      <c r="L42" s="2060"/>
      <c r="M42" s="2060"/>
    </row>
    <row r="43" spans="1:18" ht="18" customHeight="1">
      <c r="A43" s="802" t="s">
        <v>1877</v>
      </c>
      <c r="B43" s="834" t="s">
        <v>710</v>
      </c>
      <c r="C43" s="835">
        <f ca="1">ROUND(C15*F43,0)</f>
        <v>0</v>
      </c>
      <c r="D43" s="1355" t="s">
        <v>711</v>
      </c>
      <c r="E43" s="3116" t="s">
        <v>2956</v>
      </c>
      <c r="F43" s="3117">
        <f ca="1">INDIRECT("'数据-取费表'!j"&amp;$G$1)</f>
        <v>0</v>
      </c>
      <c r="G43" s="2060"/>
      <c r="H43" s="2060"/>
      <c r="I43" s="2060"/>
      <c r="J43" s="2060"/>
      <c r="K43" s="2081"/>
      <c r="L43" s="2060"/>
      <c r="M43" s="2060"/>
    </row>
    <row r="44" spans="1:18" ht="18" customHeight="1">
      <c r="A44" s="802" t="s">
        <v>1878</v>
      </c>
      <c r="B44" s="834" t="s">
        <v>712</v>
      </c>
      <c r="C44" s="1356">
        <f ca="1">C42-C43</f>
        <v>0</v>
      </c>
      <c r="D44" s="462" t="s">
        <v>713</v>
      </c>
      <c r="E44" s="463"/>
      <c r="F44" s="464"/>
      <c r="G44" s="2060"/>
      <c r="H44" s="2060"/>
      <c r="I44" s="2060"/>
      <c r="J44" s="2060"/>
      <c r="K44" s="2081"/>
      <c r="L44" s="2060"/>
      <c r="M44" s="2060"/>
    </row>
    <row r="45" spans="1:18" ht="18" customHeight="1">
      <c r="A45" s="802" t="s">
        <v>1879</v>
      </c>
      <c r="B45" s="1355" t="s">
        <v>714</v>
      </c>
      <c r="C45" s="3033">
        <f ca="1">ROUND(-PV(F45,F46,C44,0),0)</f>
        <v>0</v>
      </c>
      <c r="D45" s="1357" t="s">
        <v>715</v>
      </c>
      <c r="E45" s="805" t="s">
        <v>716</v>
      </c>
      <c r="F45" s="829">
        <f ca="1">INDIRECT("'数据-取费表'!h"&amp;$G$1)</f>
        <v>0</v>
      </c>
      <c r="G45" s="2060"/>
      <c r="H45" s="2060"/>
      <c r="I45" s="2060"/>
      <c r="J45" s="2060"/>
      <c r="K45" s="2081"/>
      <c r="L45" s="2060"/>
      <c r="M45" s="2060"/>
    </row>
    <row r="46" spans="1:18" ht="18" customHeight="1" thickBot="1">
      <c r="A46" s="830"/>
      <c r="B46" s="1358"/>
      <c r="C46" s="1359"/>
      <c r="D46" s="1360"/>
      <c r="E46" s="3118" t="s">
        <v>2959</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3154" t="str">
        <f ca="1">IF(M48="住宅",0,IF(L49&gt;J52,L61,J61))</f>
        <v>0</v>
      </c>
      <c r="O47" s="2392" t="s">
        <v>2410</v>
      </c>
      <c r="P47" s="1591"/>
      <c r="Q47" s="1603"/>
      <c r="R47" s="1591"/>
    </row>
    <row r="48" spans="1:18" s="2057" customFormat="1" ht="18" customHeight="1" thickBot="1">
      <c r="A48" s="2082"/>
      <c r="C48" s="2085"/>
      <c r="D48" s="2086"/>
      <c r="E48" s="2086"/>
      <c r="F48" s="2087"/>
      <c r="G48" s="2088"/>
      <c r="I48" s="3144" t="s">
        <v>2344</v>
      </c>
      <c r="J48" s="2379"/>
      <c r="K48" s="3151" t="s">
        <v>2349</v>
      </c>
      <c r="L48" s="3155">
        <f ca="1">INDIRECT("'数据-取费表'!d"&amp;$G$1)</f>
        <v>0</v>
      </c>
      <c r="M48" s="3115" t="str">
        <f>IF(ISNUMBER(FIND("住宅",C1)),"住宅","非住宅")</f>
        <v>非住宅</v>
      </c>
      <c r="O48" s="2393" t="s">
        <v>2375</v>
      </c>
      <c r="P48" s="2394" t="s">
        <v>2376</v>
      </c>
      <c r="Q48" s="2395" t="s">
        <v>2377</v>
      </c>
      <c r="R48" s="2394" t="s">
        <v>2378</v>
      </c>
    </row>
    <row r="49" spans="1:18" s="2057" customFormat="1" ht="18" customHeight="1" thickBot="1">
      <c r="A49" s="2082"/>
      <c r="D49" s="2089"/>
      <c r="E49" s="2090"/>
      <c r="F49" s="2087"/>
      <c r="G49" s="2088"/>
      <c r="H49" s="2091"/>
      <c r="I49" s="3120" t="s">
        <v>2345</v>
      </c>
      <c r="J49" s="2380"/>
      <c r="K49" s="3152" t="s">
        <v>2351</v>
      </c>
      <c r="L49" s="1906">
        <f ca="1">INDIRECT("'数据-取费表'!f"&amp;$G$1)</f>
        <v>0</v>
      </c>
      <c r="O49" s="2396" t="s">
        <v>2379</v>
      </c>
      <c r="P49" s="2397" t="s">
        <v>2405</v>
      </c>
      <c r="Q49" s="2398">
        <f ca="1">C41+J31</f>
        <v>0</v>
      </c>
      <c r="R49" s="2397" t="s">
        <v>2380</v>
      </c>
    </row>
    <row r="50" spans="1:18" s="2057" customFormat="1" ht="18" customHeight="1" thickBot="1">
      <c r="A50" s="2082"/>
      <c r="D50" s="2092"/>
      <c r="E50" s="2092"/>
      <c r="F50" s="2086"/>
      <c r="G50" s="2093"/>
      <c r="H50" s="2091"/>
      <c r="I50" s="3120" t="s">
        <v>2346</v>
      </c>
      <c r="J50" s="2381"/>
      <c r="K50" s="3153" t="s">
        <v>2352</v>
      </c>
      <c r="L50" s="2382"/>
      <c r="O50" s="2396" t="s">
        <v>2381</v>
      </c>
      <c r="P50" s="2397" t="s">
        <v>2406</v>
      </c>
      <c r="Q50" s="2398" t="str">
        <f ca="1">J61</f>
        <v>0</v>
      </c>
      <c r="R50" s="2397" t="s">
        <v>2382</v>
      </c>
    </row>
    <row r="51" spans="1:18" s="2057" customFormat="1" ht="18" customHeight="1" thickBot="1">
      <c r="A51" s="2094"/>
      <c r="D51" s="2092"/>
      <c r="E51" s="2092"/>
      <c r="F51" s="2083"/>
      <c r="H51" s="2091"/>
      <c r="I51" s="3120" t="s">
        <v>2347</v>
      </c>
      <c r="J51" s="3148">
        <f>SUMPRODUCT((I64:I66=J48)*(J63:L63=J49)*(J64:L66))</f>
        <v>0</v>
      </c>
      <c r="K51" s="3153" t="s">
        <v>2353</v>
      </c>
      <c r="L51" s="2382"/>
      <c r="O51" s="2399" t="s">
        <v>2383</v>
      </c>
      <c r="P51" s="2397" t="s">
        <v>2407</v>
      </c>
      <c r="Q51" s="2398">
        <f ca="1">C31</f>
        <v>0</v>
      </c>
      <c r="R51" s="2397" t="s">
        <v>2380</v>
      </c>
    </row>
    <row r="52" spans="1:18" s="2057" customFormat="1" ht="18" customHeight="1" thickBot="1">
      <c r="A52" s="2094"/>
      <c r="F52" s="2083"/>
      <c r="I52" s="3145" t="s">
        <v>2348</v>
      </c>
      <c r="J52" s="3149">
        <f>IF(J50="",J51,J50+J51-YEAR('数据-取费表'!B3))</f>
        <v>0</v>
      </c>
      <c r="K52" s="3120" t="s">
        <v>2354</v>
      </c>
      <c r="L52" s="3156">
        <f ca="1">ROUND(-PV(INDIRECT("'数据-取费表'!h"&amp;$G$1),L49,(C40-C14*J36),0),0)</f>
        <v>0</v>
      </c>
      <c r="O52" s="2399" t="s">
        <v>2384</v>
      </c>
      <c r="P52" s="2397" t="s">
        <v>2385</v>
      </c>
      <c r="Q52" s="2400" t="e">
        <f ca="1">J59</f>
        <v>#VALUE!</v>
      </c>
      <c r="R52" s="2401"/>
    </row>
    <row r="53" spans="1:18" s="2057" customFormat="1" ht="18" customHeight="1" thickBot="1">
      <c r="A53" s="2094"/>
      <c r="F53" s="2083"/>
      <c r="I53" s="3146" t="s">
        <v>2421</v>
      </c>
      <c r="J53" s="2383"/>
      <c r="K53" s="3146" t="s">
        <v>2420</v>
      </c>
      <c r="L53" s="2383"/>
      <c r="O53" s="2399" t="s">
        <v>2386</v>
      </c>
      <c r="P53" s="2397" t="s">
        <v>2387</v>
      </c>
      <c r="Q53" s="2400">
        <f>J53</f>
        <v>0</v>
      </c>
      <c r="R53" s="2401"/>
    </row>
    <row r="54" spans="1:18" s="2057" customFormat="1" ht="29.25" thickBot="1">
      <c r="A54" s="2094"/>
      <c r="I54" s="3147" t="s">
        <v>2973</v>
      </c>
      <c r="J54" s="3150">
        <f ca="1">IF(M48="住宅",MAX(J52,L49-'数据-取费表'!B20),MIN(J52,L49-'数据-取费表'!B20))</f>
        <v>-2</v>
      </c>
      <c r="K54" s="3466"/>
      <c r="L54" s="3467"/>
      <c r="O54" s="2399" t="s">
        <v>2388</v>
      </c>
      <c r="P54" s="2397" t="s">
        <v>2389</v>
      </c>
      <c r="Q54" s="2398">
        <f ca="1">J54</f>
        <v>-2</v>
      </c>
      <c r="R54" s="2397" t="s">
        <v>2390</v>
      </c>
    </row>
    <row r="55" spans="1:18" s="2057" customFormat="1" ht="18" customHeight="1" thickBot="1">
      <c r="A55" s="2094"/>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6" t="s">
        <v>2391</v>
      </c>
      <c r="P55" s="2397" t="s">
        <v>2408</v>
      </c>
      <c r="Q55" s="2398">
        <f ca="1">Q49+Q50</f>
        <v>0</v>
      </c>
      <c r="R55" s="2401" t="s">
        <v>2392</v>
      </c>
    </row>
    <row r="56" spans="1:18" s="2057" customFormat="1" ht="16.5" thickBot="1">
      <c r="A56" s="2094"/>
      <c r="B56" s="2095"/>
      <c r="C56" s="2095"/>
      <c r="I56" s="3159" t="s">
        <v>2355</v>
      </c>
      <c r="J56" s="3095" t="e">
        <f ca="1">ROUND(IF(J48="钢混",J58/J51,1-(1-2%)*(J51-J58)/J51),3)</f>
        <v>#VALUE!</v>
      </c>
      <c r="K56" s="3160" t="s">
        <v>2356</v>
      </c>
      <c r="L56" s="2384"/>
      <c r="O56" s="2402" t="s">
        <v>2411</v>
      </c>
      <c r="P56" s="1591"/>
      <c r="Q56" s="1603"/>
      <c r="R56" s="1591"/>
    </row>
    <row r="57" spans="1:18" s="2057" customFormat="1" ht="43.5" thickBot="1">
      <c r="A57" s="2094"/>
      <c r="B57" s="2095"/>
      <c r="C57" s="2095"/>
      <c r="I57" s="3161" t="s">
        <v>2357</v>
      </c>
      <c r="J57" s="3171" t="s">
        <v>1678</v>
      </c>
      <c r="K57" s="3120" t="s">
        <v>2362</v>
      </c>
      <c r="L57" s="1906">
        <f ca="1">IF(L49&lt;J52,"——",L49-J52)</f>
        <v>0</v>
      </c>
      <c r="O57" s="2393" t="s">
        <v>2375</v>
      </c>
      <c r="P57" s="2394" t="s">
        <v>2376</v>
      </c>
      <c r="Q57" s="2395" t="s">
        <v>2377</v>
      </c>
      <c r="R57" s="2394" t="s">
        <v>2378</v>
      </c>
    </row>
    <row r="58" spans="1:18" s="2057" customFormat="1" ht="29.25" thickBot="1">
      <c r="A58" s="2094"/>
      <c r="B58" s="2095"/>
      <c r="C58" s="2095"/>
      <c r="I58" s="3162" t="s">
        <v>2358</v>
      </c>
      <c r="J58" s="3163" t="str">
        <f ca="1">IF(OR(M48="住宅",J52&lt;L49,J57="是"),"——",J52-L49)</f>
        <v>——</v>
      </c>
      <c r="K58" s="3120" t="s">
        <v>2363</v>
      </c>
      <c r="L58" s="1906">
        <f ca="1">IF(L49&lt;J52,"——",IF(L56="比较法",L50,IF(L56="基准地价",L51,L52)))</f>
        <v>0</v>
      </c>
      <c r="O58" s="2396" t="s">
        <v>2379</v>
      </c>
      <c r="P58" s="2397" t="s">
        <v>2405</v>
      </c>
      <c r="Q58" s="2398">
        <f ca="1">C41+J31</f>
        <v>0</v>
      </c>
      <c r="R58" s="2397" t="s">
        <v>2380</v>
      </c>
    </row>
    <row r="59" spans="1:18" s="2057" customFormat="1" ht="29.25" thickBot="1">
      <c r="A59" s="2094"/>
      <c r="B59" s="2095"/>
      <c r="C59" s="2095"/>
      <c r="I59" s="3162" t="s">
        <v>2359</v>
      </c>
      <c r="J59" s="3096" t="e">
        <f ca="1">IF(J56&lt;0.4,0.4,J56)</f>
        <v>#VALUE!</v>
      </c>
      <c r="K59" s="3120" t="s">
        <v>2364</v>
      </c>
      <c r="L59" s="1906">
        <f ca="1">IF(ISERROR(POWER(1+L53,L48-L49)*(POWER(1+L53,L49)-1)/(POWER(1+L53,L48)-1)),0,POWER(1+L53,L48-L49)*(POWER(1+L53,L49)-1)/(POWER(1+L53,L48)-1))</f>
        <v>0</v>
      </c>
      <c r="O59" s="2396" t="s">
        <v>2381</v>
      </c>
      <c r="P59" s="2397" t="s">
        <v>2412</v>
      </c>
      <c r="Q59" s="2398" t="e">
        <f ca="1">L61</f>
        <v>#DIV/0!</v>
      </c>
      <c r="R59" s="2401" t="s">
        <v>2414</v>
      </c>
    </row>
    <row r="60" spans="1:18" s="2057" customFormat="1" ht="29.25" thickBot="1">
      <c r="A60" s="2094"/>
      <c r="B60" s="2095"/>
      <c r="C60" s="2095"/>
      <c r="I60" s="3162" t="s">
        <v>2360</v>
      </c>
      <c r="J60" s="3163" t="str">
        <f ca="1">IF(OR(M48="住宅",J52&lt;L49,J57="是"),"——",ROUND(C30*J59,0))</f>
        <v>——</v>
      </c>
      <c r="K60" s="3120" t="s">
        <v>2365</v>
      </c>
      <c r="L60" s="1906">
        <f ca="1">IF(ISERROR(POWER(1+L53,L48-J52)*(POWER(1+L53,J52)-1)/(POWER(1+L53,L48)-1)),0,POWER(1+L53,L48-J52)*(POWER(1+L53,J52)-1)/(POWER(1+L53,L48)-1))</f>
        <v>0</v>
      </c>
      <c r="O60" s="2399" t="s">
        <v>2383</v>
      </c>
      <c r="P60" s="2397" t="s">
        <v>2413</v>
      </c>
      <c r="Q60" s="2398">
        <f>IF(L56="比较法",L50,IF(L56="基准地价",L51,0))</f>
        <v>0</v>
      </c>
      <c r="R60" s="2397" t="s">
        <v>2380</v>
      </c>
    </row>
    <row r="61" spans="1:18" s="2057" customFormat="1" ht="15.75" thickBot="1">
      <c r="A61" s="2094"/>
      <c r="B61" s="2095"/>
      <c r="C61" s="2095"/>
      <c r="I61" s="3164" t="s">
        <v>2361</v>
      </c>
      <c r="J61" s="3165" t="str">
        <f ca="1">IF(OR(M48="住宅",J52&lt;L49,J57="是"),"0",ROUND(J60/(1+J53)^J54,0))</f>
        <v>0</v>
      </c>
      <c r="K61" s="3166" t="s">
        <v>2366</v>
      </c>
      <c r="L61" s="3165" t="e">
        <f ca="1">IF(OR(M48="住宅",L49&lt;J52),0,ROUND(L58*(L59/L60-1),0))</f>
        <v>#DIV/0!</v>
      </c>
      <c r="O61" s="2399" t="s">
        <v>2384</v>
      </c>
      <c r="P61" s="2397" t="s">
        <v>2393</v>
      </c>
      <c r="Q61" s="2400">
        <f>L53</f>
        <v>0</v>
      </c>
      <c r="R61" s="2401"/>
    </row>
    <row r="62" spans="1:18" s="2057" customFormat="1" ht="20.25" thickBot="1">
      <c r="A62" s="2094"/>
      <c r="B62" s="2095"/>
      <c r="C62" s="2095"/>
      <c r="K62" s="2084"/>
      <c r="O62" s="2399" t="s">
        <v>2386</v>
      </c>
      <c r="P62" s="2397" t="s">
        <v>2394</v>
      </c>
      <c r="Q62" s="2398">
        <f ca="1">L59</f>
        <v>0</v>
      </c>
      <c r="R62" s="2401" t="s">
        <v>2395</v>
      </c>
    </row>
    <row r="63" spans="1:18" s="2057" customFormat="1" ht="20.25" thickBot="1">
      <c r="A63" s="2094"/>
      <c r="B63" s="2095"/>
      <c r="C63" s="2095"/>
      <c r="I63" s="3167" t="s">
        <v>2367</v>
      </c>
      <c r="J63" s="3168" t="s">
        <v>2368</v>
      </c>
      <c r="K63" s="3168" t="s">
        <v>2369</v>
      </c>
      <c r="L63" s="3168" t="s">
        <v>2350</v>
      </c>
      <c r="M63" s="3169" t="s">
        <v>2936</v>
      </c>
      <c r="O63" s="2399" t="s">
        <v>2388</v>
      </c>
      <c r="P63" s="2397" t="s">
        <v>2396</v>
      </c>
      <c r="Q63" s="2398">
        <f ca="1">L60</f>
        <v>0</v>
      </c>
      <c r="R63" s="2401" t="s">
        <v>2397</v>
      </c>
    </row>
    <row r="64" spans="1:18" s="2057" customFormat="1" ht="15.75" thickBot="1">
      <c r="A64" s="2094"/>
      <c r="B64" s="2095"/>
      <c r="C64" s="2095"/>
      <c r="I64" s="3167" t="s">
        <v>2370</v>
      </c>
      <c r="J64" s="3168">
        <v>70</v>
      </c>
      <c r="K64" s="3168">
        <v>50</v>
      </c>
      <c r="L64" s="3168">
        <v>80</v>
      </c>
      <c r="M64" s="3170">
        <v>0.02</v>
      </c>
      <c r="O64" s="2396" t="s">
        <v>2391</v>
      </c>
      <c r="P64" s="2397" t="s">
        <v>2408</v>
      </c>
      <c r="Q64" s="2398" t="e">
        <f ca="1">Q58+Q59</f>
        <v>#DIV/0!</v>
      </c>
      <c r="R64" s="2401" t="s">
        <v>2392</v>
      </c>
    </row>
    <row r="65" spans="1:18" s="2057" customFormat="1" ht="16.5" thickBot="1">
      <c r="A65" s="2094"/>
      <c r="B65" s="2095"/>
      <c r="C65" s="2095"/>
      <c r="I65" s="3167" t="s">
        <v>2371</v>
      </c>
      <c r="J65" s="3168">
        <v>50</v>
      </c>
      <c r="K65" s="3168">
        <v>35</v>
      </c>
      <c r="L65" s="3168">
        <v>60</v>
      </c>
      <c r="M65" s="845">
        <v>0</v>
      </c>
      <c r="O65" s="2402" t="s">
        <v>2415</v>
      </c>
      <c r="P65" s="1591"/>
      <c r="Q65" s="1603"/>
      <c r="R65" s="1591"/>
    </row>
    <row r="66" spans="1:18" s="2057" customFormat="1" ht="15.75" thickBot="1">
      <c r="A66" s="2094"/>
      <c r="B66" s="2095"/>
      <c r="C66" s="2095"/>
      <c r="I66" s="3167" t="s">
        <v>2372</v>
      </c>
      <c r="J66" s="3168">
        <v>40</v>
      </c>
      <c r="K66" s="3168">
        <v>30</v>
      </c>
      <c r="L66" s="3168">
        <v>50</v>
      </c>
      <c r="M66" s="3170">
        <v>0.02</v>
      </c>
      <c r="O66" s="2393" t="s">
        <v>2375</v>
      </c>
      <c r="P66" s="2394" t="s">
        <v>2376</v>
      </c>
      <c r="Q66" s="2395" t="s">
        <v>2377</v>
      </c>
      <c r="R66" s="2394" t="s">
        <v>2378</v>
      </c>
    </row>
    <row r="67" spans="1:18" s="2057" customFormat="1" ht="15.75" thickBot="1">
      <c r="A67" s="2094"/>
      <c r="B67" s="2095"/>
      <c r="C67" s="2095"/>
      <c r="K67" s="2084"/>
      <c r="O67" s="2396" t="s">
        <v>2379</v>
      </c>
      <c r="P67" s="2397" t="s">
        <v>2405</v>
      </c>
      <c r="Q67" s="2398">
        <f ca="1">C41+J31</f>
        <v>0</v>
      </c>
      <c r="R67" s="2397" t="s">
        <v>2380</v>
      </c>
    </row>
    <row r="68" spans="1:18" s="2057" customFormat="1" ht="20.25" thickBot="1">
      <c r="A68" s="2094"/>
      <c r="B68" s="2095"/>
      <c r="C68" s="2095"/>
      <c r="K68" s="2084"/>
      <c r="O68" s="2396" t="s">
        <v>2381</v>
      </c>
      <c r="P68" s="2397" t="s">
        <v>2412</v>
      </c>
      <c r="Q68" s="2398" t="e">
        <f ca="1">L61</f>
        <v>#DIV/0!</v>
      </c>
      <c r="R68" s="2401" t="s">
        <v>2414</v>
      </c>
    </row>
    <row r="69" spans="1:18" s="2057" customFormat="1" ht="21.75" thickBot="1">
      <c r="A69" s="2094"/>
      <c r="B69" s="2095"/>
      <c r="C69" s="2095"/>
      <c r="K69" s="2084"/>
      <c r="O69" s="2399" t="s">
        <v>2383</v>
      </c>
      <c r="P69" s="2397" t="s">
        <v>2413</v>
      </c>
      <c r="Q69" s="2403">
        <f ca="1">L52</f>
        <v>0</v>
      </c>
      <c r="R69" s="2404" t="s">
        <v>2416</v>
      </c>
    </row>
    <row r="70" spans="1:18" s="2057" customFormat="1" ht="20.25" thickBot="1">
      <c r="A70" s="2094"/>
      <c r="B70" s="2095"/>
      <c r="C70" s="2095"/>
      <c r="K70" s="2084"/>
      <c r="O70" s="2399" t="s">
        <v>2384</v>
      </c>
      <c r="P70" s="2405" t="s">
        <v>2398</v>
      </c>
      <c r="Q70" s="2398">
        <f ca="1">ROUND(Q71-Q72*Q73,0)</f>
        <v>0</v>
      </c>
      <c r="R70" s="2401"/>
    </row>
    <row r="71" spans="1:18" s="2057" customFormat="1" ht="15.75" thickBot="1">
      <c r="A71" s="2094"/>
      <c r="B71" s="2095"/>
      <c r="C71" s="2095"/>
      <c r="K71" s="2084"/>
      <c r="O71" s="2399" t="s">
        <v>2399</v>
      </c>
      <c r="P71" s="2405" t="s">
        <v>2400</v>
      </c>
      <c r="Q71" s="2398">
        <f ca="1">C42</f>
        <v>0</v>
      </c>
      <c r="R71" s="2397" t="s">
        <v>2380</v>
      </c>
    </row>
    <row r="72" spans="1:18" s="2057" customFormat="1" ht="15.75" thickBot="1">
      <c r="A72" s="2094"/>
      <c r="B72" s="2095"/>
      <c r="C72" s="2095"/>
      <c r="K72" s="2084"/>
      <c r="O72" s="2399" t="s">
        <v>2401</v>
      </c>
      <c r="P72" s="2405" t="s">
        <v>2402</v>
      </c>
      <c r="Q72" s="2398">
        <f ca="1">C15</f>
        <v>0</v>
      </c>
      <c r="R72" s="2397" t="s">
        <v>2380</v>
      </c>
    </row>
    <row r="73" spans="1:18" s="2057" customFormat="1" ht="15.75" thickBot="1">
      <c r="A73" s="2094"/>
      <c r="B73" s="2095"/>
      <c r="C73" s="2095"/>
      <c r="K73" s="2084"/>
      <c r="O73" s="2399" t="s">
        <v>2403</v>
      </c>
      <c r="P73" s="2405" t="s">
        <v>2404</v>
      </c>
      <c r="Q73" s="2400">
        <f ca="1">F43</f>
        <v>0</v>
      </c>
      <c r="R73" s="2401"/>
    </row>
    <row r="74" spans="1:18" s="2057" customFormat="1" ht="15.75" thickBot="1">
      <c r="A74" s="2094"/>
      <c r="B74" s="2095"/>
      <c r="C74" s="2095"/>
      <c r="K74" s="2084"/>
      <c r="O74" s="2399" t="s">
        <v>2386</v>
      </c>
      <c r="P74" s="2397" t="s">
        <v>2393</v>
      </c>
      <c r="Q74" s="2400">
        <f>L53</f>
        <v>0</v>
      </c>
      <c r="R74" s="2401"/>
    </row>
    <row r="75" spans="1:18" s="2057" customFormat="1" ht="20.25" thickBot="1">
      <c r="A75" s="2094"/>
      <c r="B75" s="2095"/>
      <c r="C75" s="2095"/>
      <c r="K75" s="2084"/>
      <c r="O75" s="2399" t="s">
        <v>2388</v>
      </c>
      <c r="P75" s="2397" t="s">
        <v>2394</v>
      </c>
      <c r="Q75" s="2398">
        <f ca="1">L59</f>
        <v>0</v>
      </c>
      <c r="R75" s="2401" t="s">
        <v>2395</v>
      </c>
    </row>
    <row r="76" spans="1:18" s="2057" customFormat="1" ht="20.25" thickBot="1">
      <c r="A76" s="2094"/>
      <c r="B76" s="2095"/>
      <c r="C76" s="2095"/>
      <c r="K76" s="2084"/>
      <c r="O76" s="2399" t="s">
        <v>2417</v>
      </c>
      <c r="P76" s="2397" t="s">
        <v>2396</v>
      </c>
      <c r="Q76" s="2398">
        <f ca="1">L60</f>
        <v>0</v>
      </c>
      <c r="R76" s="2401" t="s">
        <v>2397</v>
      </c>
    </row>
    <row r="77" spans="1:18" s="2057" customFormat="1" ht="15.75" thickBot="1">
      <c r="A77" s="2094"/>
      <c r="B77" s="2095"/>
      <c r="C77" s="2095"/>
      <c r="K77" s="2084"/>
      <c r="O77" s="2396" t="s">
        <v>2391</v>
      </c>
      <c r="P77" s="2397" t="s">
        <v>2408</v>
      </c>
      <c r="Q77" s="2398" t="e">
        <f ca="1">Q67+Q68</f>
        <v>#DIV/0!</v>
      </c>
      <c r="R77" s="2401"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4" t="s">
        <v>2575</v>
      </c>
      <c r="C1" s="3474"/>
      <c r="D1" s="3474"/>
      <c r="E1" s="3474"/>
      <c r="F1" s="3474"/>
      <c r="G1" s="3473" t="s">
        <v>2576</v>
      </c>
      <c r="H1" s="3473"/>
      <c r="I1" s="3473"/>
      <c r="J1" s="3473"/>
      <c r="K1" s="3473"/>
      <c r="L1" s="3473"/>
      <c r="N1" s="3473" t="s">
        <v>2577</v>
      </c>
      <c r="O1" s="3473"/>
      <c r="P1" s="3473"/>
      <c r="Q1" s="3473"/>
      <c r="R1" s="2652"/>
      <c r="S1" s="3473" t="s">
        <v>2578</v>
      </c>
      <c r="T1" s="3473"/>
      <c r="U1" s="3473"/>
      <c r="V1" s="3473"/>
      <c r="X1" s="3472" t="s">
        <v>2638</v>
      </c>
      <c r="Y1" s="3473"/>
      <c r="Z1" s="3473"/>
      <c r="AA1" s="3473"/>
      <c r="AB1" s="3473"/>
      <c r="AD1" s="3472" t="s">
        <v>2642</v>
      </c>
      <c r="AE1" s="3473"/>
      <c r="AF1" s="3473"/>
      <c r="AG1" s="3473"/>
      <c r="AH1" s="3473"/>
    </row>
    <row r="2" spans="1:34" s="2754" customFormat="1" ht="14.25" thickBot="1">
      <c r="B2" s="2762" t="s">
        <v>2579</v>
      </c>
      <c r="C2" s="2762" t="s">
        <v>2640</v>
      </c>
      <c r="D2" s="2755" t="s">
        <v>1644</v>
      </c>
      <c r="E2" s="2755" t="s">
        <v>1951</v>
      </c>
      <c r="F2" s="2762" t="s">
        <v>2641</v>
      </c>
      <c r="G2" s="2758"/>
      <c r="H2" s="2757"/>
      <c r="I2" s="2762" t="s">
        <v>2950</v>
      </c>
      <c r="J2" s="2755" t="s">
        <v>2952</v>
      </c>
      <c r="K2" s="2755" t="s">
        <v>2953</v>
      </c>
      <c r="L2" s="2762" t="s">
        <v>2954</v>
      </c>
      <c r="N2" s="2762" t="s">
        <v>2579</v>
      </c>
      <c r="O2" s="2755" t="s">
        <v>2951</v>
      </c>
      <c r="P2" s="2755" t="s">
        <v>1951</v>
      </c>
      <c r="Q2" s="2762" t="s">
        <v>2641</v>
      </c>
      <c r="R2" s="2756"/>
      <c r="S2" s="2762" t="s">
        <v>2579</v>
      </c>
      <c r="T2" s="2755" t="s">
        <v>2951</v>
      </c>
      <c r="U2" s="2755" t="s">
        <v>1951</v>
      </c>
      <c r="V2" s="2762" t="s">
        <v>2641</v>
      </c>
      <c r="X2" s="2762" t="s">
        <v>2579</v>
      </c>
      <c r="Y2" s="2762" t="s">
        <v>2640</v>
      </c>
      <c r="Z2" s="2755" t="s">
        <v>1644</v>
      </c>
      <c r="AA2" s="2755" t="s">
        <v>1951</v>
      </c>
      <c r="AB2" s="2762" t="s">
        <v>2641</v>
      </c>
      <c r="AD2" s="2762" t="s">
        <v>2579</v>
      </c>
      <c r="AE2" s="2762" t="s">
        <v>2640</v>
      </c>
      <c r="AF2" s="2755" t="s">
        <v>1644</v>
      </c>
      <c r="AG2" s="2755" t="s">
        <v>1951</v>
      </c>
      <c r="AH2" s="2762" t="s">
        <v>2641</v>
      </c>
    </row>
    <row r="3" spans="1:34" s="3128" customFormat="1" ht="14.25">
      <c r="A3" s="3140" t="s">
        <v>2963</v>
      </c>
      <c r="B3" s="3129"/>
      <c r="C3" s="3129"/>
      <c r="D3" s="3130"/>
      <c r="E3" s="3130"/>
      <c r="F3" s="3129"/>
      <c r="G3" s="3131"/>
      <c r="H3" s="3132"/>
      <c r="I3" s="3139">
        <f>ROUND(AVERAGE($I4:$I24),2)</f>
        <v>2.19</v>
      </c>
      <c r="J3" s="3139">
        <f>ROUND(AVERAGE($J4:$J24),2)</f>
        <v>1.53</v>
      </c>
      <c r="K3" s="3139">
        <f>ROUND(AVERAGE($K4:$K24),2)</f>
        <v>2.41</v>
      </c>
      <c r="L3" s="3139">
        <f>ROUND(AVERAGE($L4:$L24),2)</f>
        <v>1.42</v>
      </c>
      <c r="N3" s="3131"/>
      <c r="O3" s="3133"/>
      <c r="P3" s="3133"/>
      <c r="Q3" s="3133"/>
      <c r="R3" s="3133"/>
      <c r="S3" s="3131"/>
      <c r="T3" s="3133"/>
      <c r="U3" s="3133"/>
      <c r="V3" s="3133"/>
      <c r="W3" s="3136"/>
      <c r="X3" s="3134">
        <f>ROUND(SUMPRODUCT(PRODUCT(1+N3:N$23)),4)</f>
        <v>1.4956</v>
      </c>
      <c r="Y3" s="3134">
        <f>ROUND(SUMPRODUCT(PRODUCT(1+O3:O$23)),4)</f>
        <v>1.3237000000000001</v>
      </c>
      <c r="Z3" s="3134">
        <f t="shared" ref="Z3:Z21" si="0">Y3</f>
        <v>1.3237000000000001</v>
      </c>
      <c r="AA3" s="3134">
        <f>ROUND(SUMPRODUCT(PRODUCT(1+P3:P$23)),4)</f>
        <v>1.554</v>
      </c>
      <c r="AB3" s="3134">
        <f>ROUND(SUMPRODUCT(PRODUCT(1+Q3:Q$23)),4)</f>
        <v>1.3087</v>
      </c>
      <c r="AD3" s="3135">
        <f>ROUND(AVERAGE(I3:I$24)/100,4)</f>
        <v>2.1899999999999999E-2</v>
      </c>
      <c r="AE3" s="3135">
        <f>ROUND(AVERAGE(J3:J$24)/100,4)</f>
        <v>1.5299999999999999E-2</v>
      </c>
      <c r="AF3" s="3135">
        <f t="shared" ref="AF3:AF22" si="1">AE3</f>
        <v>1.5299999999999999E-2</v>
      </c>
      <c r="AG3" s="3135">
        <f>ROUND(AVERAGE(K3:K$24)/100,4)</f>
        <v>2.41E-2</v>
      </c>
      <c r="AH3" s="3135">
        <f>ROUND(AVERAGE(L3:L$24)/100,4)</f>
        <v>1.4200000000000001E-2</v>
      </c>
    </row>
    <row r="4" spans="1:34" s="2747" customFormat="1" ht="14.25">
      <c r="B4" s="2748"/>
      <c r="C4" s="2748"/>
      <c r="D4" s="2749"/>
      <c r="E4" s="2749"/>
      <c r="F4" s="2748"/>
      <c r="G4" s="2753"/>
      <c r="H4" s="2750"/>
      <c r="I4" s="3121"/>
      <c r="J4" s="3121"/>
      <c r="K4" s="3121"/>
      <c r="L4" s="3121"/>
      <c r="N4" s="2753"/>
      <c r="O4" s="2751"/>
      <c r="P4" s="2751"/>
      <c r="Q4" s="2751"/>
      <c r="R4" s="2751"/>
      <c r="S4" s="2753"/>
      <c r="T4" s="2751"/>
      <c r="U4" s="2751"/>
      <c r="V4" s="2751"/>
      <c r="W4" s="3137"/>
      <c r="X4" s="2752"/>
      <c r="Y4" s="2752"/>
      <c r="Z4" s="2752"/>
      <c r="AA4" s="2752"/>
      <c r="AB4" s="2752"/>
      <c r="AD4" s="2672"/>
      <c r="AE4" s="2672"/>
      <c r="AF4" s="2672"/>
      <c r="AG4" s="2672"/>
      <c r="AH4" s="2672"/>
    </row>
    <row r="5" spans="1:34" s="3109" customFormat="1">
      <c r="A5" s="3107" t="s">
        <v>2976</v>
      </c>
      <c r="B5" s="2793">
        <f>B6*(1+N5)</f>
        <v>459.95733971036987</v>
      </c>
      <c r="C5" s="2793">
        <f t="shared" ref="C5" si="2">C6*(1+O5)</f>
        <v>341.22221064422405</v>
      </c>
      <c r="D5" s="2793">
        <f t="shared" ref="D5" si="3">C5</f>
        <v>341.22221064422405</v>
      </c>
      <c r="E5" s="2793">
        <f t="shared" ref="E5" si="4">E6*(1+P5)</f>
        <v>657.19161663724799</v>
      </c>
      <c r="F5" s="2793">
        <f t="shared" ref="F5" si="5">F6*(1+Q5)</f>
        <v>300.87803644464805</v>
      </c>
      <c r="G5" s="2753">
        <v>2018</v>
      </c>
      <c r="H5" s="3108">
        <v>4</v>
      </c>
      <c r="I5" s="3122">
        <v>0</v>
      </c>
      <c r="J5" s="3122">
        <v>0</v>
      </c>
      <c r="K5" s="3122">
        <v>0</v>
      </c>
      <c r="L5" s="3122">
        <v>0</v>
      </c>
      <c r="N5" s="2760">
        <f t="shared" ref="N5" si="6">I5/100</f>
        <v>0</v>
      </c>
      <c r="O5" s="2760">
        <f t="shared" ref="O5" si="7">J5/100</f>
        <v>0</v>
      </c>
      <c r="P5" s="2760">
        <f t="shared" ref="P5" si="8">K5/100</f>
        <v>0</v>
      </c>
      <c r="Q5" s="2760">
        <f t="shared" ref="Q5" si="9">L5/100</f>
        <v>0</v>
      </c>
      <c r="R5" s="3110"/>
      <c r="S5" s="3111"/>
      <c r="T5" s="3110"/>
      <c r="U5" s="3110"/>
      <c r="V5" s="3110"/>
      <c r="W5" s="3138" t="s">
        <v>2964</v>
      </c>
      <c r="X5" s="3112">
        <f>ROUND(SUMPRODUCT(PRODUCT(1+N5:N$23)),4)</f>
        <v>1.4956</v>
      </c>
      <c r="Y5" s="3112">
        <f>ROUND(SUMPRODUCT(PRODUCT(1+O5:O$23)),4)</f>
        <v>1.3237000000000001</v>
      </c>
      <c r="Z5" s="3112">
        <f t="shared" ref="Z5" si="10">Y5</f>
        <v>1.3237000000000001</v>
      </c>
      <c r="AA5" s="3112">
        <f>ROUND(SUMPRODUCT(PRODUCT(1+P5:P$23)),4)</f>
        <v>1.554</v>
      </c>
      <c r="AB5" s="3112">
        <f>ROUND(SUMPRODUCT(PRODUCT(1+Q5:Q$23)),4)</f>
        <v>1.3087</v>
      </c>
      <c r="AD5" s="3113">
        <f>ROUND(AVERAGE(I5:I$24)/100,4)</f>
        <v>2.1899999999999999E-2</v>
      </c>
      <c r="AE5" s="3113">
        <f>ROUND(AVERAGE(J5:J$24)/100,4)</f>
        <v>1.5299999999999999E-2</v>
      </c>
      <c r="AF5" s="3113">
        <f t="shared" ref="AF5" si="11">AE5</f>
        <v>1.5299999999999999E-2</v>
      </c>
      <c r="AG5" s="3113">
        <f>ROUND(AVERAGE(K5:K$24)/100,4)</f>
        <v>2.41E-2</v>
      </c>
      <c r="AH5" s="3113">
        <f>ROUND(AVERAGE(L5:L$24)/100,4)</f>
        <v>1.4200000000000001E-2</v>
      </c>
    </row>
    <row r="6" spans="1:34" s="2759" customFormat="1" ht="13.5" thickBot="1">
      <c r="A6" s="2653" t="s">
        <v>2974</v>
      </c>
      <c r="B6" s="2667">
        <f>B7*(1+N6)</f>
        <v>459.95733971036987</v>
      </c>
      <c r="C6" s="2667">
        <f t="shared" ref="C6" si="12">C7*(1+O6)</f>
        <v>341.22221064422405</v>
      </c>
      <c r="D6" s="2667">
        <f t="shared" ref="D6" si="13">C6</f>
        <v>341.22221064422405</v>
      </c>
      <c r="E6" s="2667">
        <f t="shared" ref="E6" si="14">E7*(1+P6)</f>
        <v>657.19161663724799</v>
      </c>
      <c r="F6" s="2667">
        <f t="shared" ref="F6" si="15">F7*(1+Q6)</f>
        <v>300.87803644464805</v>
      </c>
      <c r="G6" s="3127"/>
      <c r="H6" s="2657">
        <v>3</v>
      </c>
      <c r="I6" s="2657">
        <v>1.51</v>
      </c>
      <c r="J6" s="2657">
        <v>1.41</v>
      </c>
      <c r="K6" s="2657">
        <v>1.52</v>
      </c>
      <c r="L6" s="2668">
        <v>1.74</v>
      </c>
      <c r="M6" s="2661"/>
      <c r="N6" s="2662">
        <f t="shared" ref="N6" si="16">I6/100</f>
        <v>1.5100000000000001E-2</v>
      </c>
      <c r="O6" s="2663">
        <f t="shared" ref="O6" si="17">J6/100</f>
        <v>1.41E-2</v>
      </c>
      <c r="P6" s="2663">
        <f t="shared" ref="P6" si="18">K6/100</f>
        <v>1.52E-2</v>
      </c>
      <c r="Q6" s="2663">
        <f t="shared" ref="Q6" si="19">L6/100</f>
        <v>1.7399999999999999E-2</v>
      </c>
      <c r="R6" s="2664"/>
      <c r="S6" s="2670"/>
      <c r="T6" s="2671"/>
      <c r="U6" s="2671"/>
      <c r="V6" s="2671"/>
      <c r="W6" s="2661"/>
      <c r="X6" s="2752">
        <f>ROUND(SUMPRODUCT(PRODUCT(1+N6:N$23)),4)</f>
        <v>1.4956</v>
      </c>
      <c r="Y6" s="2752">
        <f>ROUND(SUMPRODUCT(PRODUCT(1+O6:O$23)),4)</f>
        <v>1.3237000000000001</v>
      </c>
      <c r="Z6" s="2752">
        <f t="shared" ref="Z6" si="20">Y6</f>
        <v>1.3237000000000001</v>
      </c>
      <c r="AA6" s="2752">
        <f>ROUND(SUMPRODUCT(PRODUCT(1+P6:P$23)),4)</f>
        <v>1.554</v>
      </c>
      <c r="AB6" s="2752">
        <f>ROUND(SUMPRODUCT(PRODUCT(1+Q6:Q$23)),4)</f>
        <v>1.3087</v>
      </c>
      <c r="AC6" s="2661"/>
      <c r="AD6" s="2672">
        <f>ROUND(AVERAGE(I6:I$24)/100,4)</f>
        <v>2.3099999999999999E-2</v>
      </c>
      <c r="AE6" s="2672">
        <f>ROUND(AVERAGE(J6:J$24)/100,4)</f>
        <v>1.61E-2</v>
      </c>
      <c r="AF6" s="2672">
        <f t="shared" ref="AF6" si="21">AE6</f>
        <v>1.61E-2</v>
      </c>
      <c r="AG6" s="2672">
        <f>ROUND(AVERAGE(K6:K$24)/100,4)</f>
        <v>2.53E-2</v>
      </c>
      <c r="AH6" s="2672">
        <f>ROUND(AVERAGE(L6:L$24)/100,4)</f>
        <v>1.4999999999999999E-2</v>
      </c>
    </row>
    <row r="7" spans="1:34" s="2759" customFormat="1" ht="13.5" thickBot="1">
      <c r="A7" s="2653" t="s">
        <v>2975</v>
      </c>
      <c r="B7" s="2667">
        <f>B8*(1+N7)</f>
        <v>453.11529869999993</v>
      </c>
      <c r="C7" s="2667">
        <f t="shared" ref="C7" si="22">C8*(1+O7)</f>
        <v>336.47787264000004</v>
      </c>
      <c r="D7" s="2667">
        <f t="shared" ref="D7" si="23">C7</f>
        <v>336.47787264000004</v>
      </c>
      <c r="E7" s="2667">
        <f t="shared" ref="E7" si="24">E8*(1+P7)</f>
        <v>647.35186823999993</v>
      </c>
      <c r="F7" s="2667">
        <f t="shared" ref="F7" si="25">F8*(1+Q7)</f>
        <v>295.73229452000004</v>
      </c>
      <c r="G7" s="3127"/>
      <c r="H7" s="2657">
        <v>2</v>
      </c>
      <c r="I7" s="2657">
        <v>1.49</v>
      </c>
      <c r="J7" s="2657">
        <v>0.96</v>
      </c>
      <c r="K7" s="2657">
        <v>1.58</v>
      </c>
      <c r="L7" s="2668">
        <v>2.44</v>
      </c>
      <c r="M7" s="2661"/>
      <c r="N7" s="2662">
        <f t="shared" ref="N7" si="26">I7/100</f>
        <v>1.49E-2</v>
      </c>
      <c r="O7" s="2663">
        <f t="shared" ref="O7" si="27">J7/100</f>
        <v>9.5999999999999992E-3</v>
      </c>
      <c r="P7" s="2663">
        <f t="shared" ref="P7" si="28">K7/100</f>
        <v>1.5800000000000002E-2</v>
      </c>
      <c r="Q7" s="2663">
        <f t="shared" ref="Q7" si="29">L7/100</f>
        <v>2.4399999999999998E-2</v>
      </c>
      <c r="R7" s="2664"/>
      <c r="S7" s="2670"/>
      <c r="T7" s="2671"/>
      <c r="U7" s="2671"/>
      <c r="V7" s="2671"/>
      <c r="W7" s="2661"/>
      <c r="X7" s="2752">
        <f>ROUND(SUMPRODUCT(PRODUCT(1+N7:N$23)),4)</f>
        <v>1.4733000000000001</v>
      </c>
      <c r="Y7" s="2752">
        <f>ROUND(SUMPRODUCT(PRODUCT(1+O7:O$23)),4)</f>
        <v>1.3052999999999999</v>
      </c>
      <c r="Z7" s="2752">
        <f t="shared" ref="Z7" si="30">Y7</f>
        <v>1.3052999999999999</v>
      </c>
      <c r="AA7" s="2752">
        <f>ROUND(SUMPRODUCT(PRODUCT(1+P7:P$23)),4)</f>
        <v>1.5306999999999999</v>
      </c>
      <c r="AB7" s="2752">
        <f>ROUND(SUMPRODUCT(PRODUCT(1+Q7:Q$23)),4)</f>
        <v>1.2863</v>
      </c>
      <c r="AC7" s="2661"/>
      <c r="AD7" s="2672">
        <f>ROUND(AVERAGE(I7:I$24)/100,4)</f>
        <v>2.35E-2</v>
      </c>
      <c r="AE7" s="2672">
        <f>ROUND(AVERAGE(J7:J$24)/100,4)</f>
        <v>1.6199999999999999E-2</v>
      </c>
      <c r="AF7" s="2672">
        <f t="shared" ref="AF7" si="31">AE7</f>
        <v>1.6199999999999999E-2</v>
      </c>
      <c r="AG7" s="2672">
        <f>ROUND(AVERAGE(K7:K$24)/100,4)</f>
        <v>2.5899999999999999E-2</v>
      </c>
      <c r="AH7" s="2672">
        <f>ROUND(AVERAGE(L7:L$24)/100,4)</f>
        <v>1.49E-2</v>
      </c>
    </row>
    <row r="8" spans="1:34" s="2759" customFormat="1" ht="13.5" thickBot="1">
      <c r="A8" s="2653" t="s">
        <v>2970</v>
      </c>
      <c r="B8" s="2667">
        <f>B9*(1+N8)</f>
        <v>446.46299999999997</v>
      </c>
      <c r="C8" s="2667">
        <f t="shared" ref="C8" si="32">C9*(1+O8)</f>
        <v>333.27840000000003</v>
      </c>
      <c r="D8" s="2667">
        <f t="shared" ref="D8:D13" si="33">C8</f>
        <v>333.27840000000003</v>
      </c>
      <c r="E8" s="2667">
        <f t="shared" ref="E8" si="34">E9*(1+P8)</f>
        <v>637.28279999999995</v>
      </c>
      <c r="F8" s="2667">
        <f t="shared" ref="F8" si="35">F9*(1+Q8)</f>
        <v>288.68830000000003</v>
      </c>
      <c r="G8" s="3127"/>
      <c r="H8" s="2657">
        <v>1</v>
      </c>
      <c r="I8" s="2657">
        <v>1.7</v>
      </c>
      <c r="J8" s="2657">
        <v>1.92</v>
      </c>
      <c r="K8" s="2657">
        <v>1.64</v>
      </c>
      <c r="L8" s="2668">
        <v>2.0099999999999998</v>
      </c>
      <c r="M8" s="2661"/>
      <c r="N8" s="2662">
        <f t="shared" ref="N8:N13" si="36">I8/100</f>
        <v>1.7000000000000001E-2</v>
      </c>
      <c r="O8" s="2663">
        <f t="shared" ref="O8" si="37">J8/100</f>
        <v>1.9199999999999998E-2</v>
      </c>
      <c r="P8" s="2663">
        <f t="shared" ref="P8" si="38">K8/100</f>
        <v>1.6399999999999998E-2</v>
      </c>
      <c r="Q8" s="2663">
        <f t="shared" ref="Q8" si="39">L8/100</f>
        <v>2.0099999999999996E-2</v>
      </c>
      <c r="R8" s="2664"/>
      <c r="S8" s="2670">
        <f>B8/B9-1</f>
        <v>1.6999999999999904E-2</v>
      </c>
      <c r="T8" s="2671">
        <f>C8/C9-1</f>
        <v>1.9200000000000106E-2</v>
      </c>
      <c r="U8" s="2671">
        <f>E8/E9-1</f>
        <v>1.639999999999997E-2</v>
      </c>
      <c r="V8" s="2671">
        <f>F8/F9-1</f>
        <v>2.0100000000000007E-2</v>
      </c>
      <c r="W8" s="2661"/>
      <c r="X8" s="2752">
        <f>ROUND(SUMPRODUCT(PRODUCT(1+N8:N$23)),4)</f>
        <v>1.4517</v>
      </c>
      <c r="Y8" s="2752">
        <f>ROUND(SUMPRODUCT(PRODUCT(1+O8:O$23)),4)</f>
        <v>1.2928999999999999</v>
      </c>
      <c r="Z8" s="2752">
        <f t="shared" ref="Z8" si="40">Y8</f>
        <v>1.2928999999999999</v>
      </c>
      <c r="AA8" s="2752">
        <f>ROUND(SUMPRODUCT(PRODUCT(1+P8:P$23)),4)</f>
        <v>1.5068999999999999</v>
      </c>
      <c r="AB8" s="2752">
        <f>ROUND(SUMPRODUCT(PRODUCT(1+Q8:Q$23)),4)</f>
        <v>1.2557</v>
      </c>
      <c r="AC8" s="2661"/>
      <c r="AD8" s="2672">
        <f>ROUND(AVERAGE(I8:I$24)/100,4)</f>
        <v>2.4E-2</v>
      </c>
      <c r="AE8" s="2672">
        <f>ROUND(AVERAGE(J8:J$24)/100,4)</f>
        <v>1.66E-2</v>
      </c>
      <c r="AF8" s="2672">
        <f t="shared" ref="AF8" si="41">AE8</f>
        <v>1.66E-2</v>
      </c>
      <c r="AG8" s="2672">
        <f>ROUND(AVERAGE(K8:K$24)/100,4)</f>
        <v>2.6499999999999999E-2</v>
      </c>
      <c r="AH8" s="2672">
        <f>ROUND(AVERAGE(L8:L$24)/100,4)</f>
        <v>1.43E-2</v>
      </c>
    </row>
    <row r="9" spans="1:34">
      <c r="A9" s="2653" t="s">
        <v>2961</v>
      </c>
      <c r="B9" s="3142">
        <v>439</v>
      </c>
      <c r="C9" s="3142">
        <v>327</v>
      </c>
      <c r="D9" s="3142">
        <f t="shared" si="33"/>
        <v>327</v>
      </c>
      <c r="E9" s="3142">
        <v>627</v>
      </c>
      <c r="F9" s="3143">
        <v>283</v>
      </c>
      <c r="G9" s="3125">
        <v>2017</v>
      </c>
      <c r="H9" s="2654">
        <v>4</v>
      </c>
      <c r="I9" s="2654">
        <v>1.71</v>
      </c>
      <c r="J9" s="2654">
        <v>1.78</v>
      </c>
      <c r="K9" s="2654">
        <v>1.71</v>
      </c>
      <c r="L9" s="2655">
        <v>1.43</v>
      </c>
      <c r="N9" s="2675">
        <f t="shared" si="36"/>
        <v>1.7100000000000001E-2</v>
      </c>
      <c r="O9" s="2676">
        <f t="shared" ref="O9" si="42">J9/100</f>
        <v>1.78E-2</v>
      </c>
      <c r="P9" s="2676">
        <f t="shared" ref="P9" si="43">K9/100</f>
        <v>1.7100000000000001E-2</v>
      </c>
      <c r="Q9" s="2676">
        <f t="shared" ref="Q9" si="44">L9/100</f>
        <v>1.43E-2</v>
      </c>
      <c r="R9" s="2664"/>
      <c r="S9" s="2665"/>
      <c r="T9" s="2666"/>
      <c r="U9" s="2666"/>
      <c r="V9" s="2666"/>
      <c r="X9" s="2752">
        <f>ROUND(SUMPRODUCT(PRODUCT(1+N9:N$23)),4)</f>
        <v>1.4274</v>
      </c>
      <c r="Y9" s="2752">
        <f>ROUND(SUMPRODUCT(PRODUCT(1+O9:O$23)),4)</f>
        <v>1.2685</v>
      </c>
      <c r="Z9" s="2752">
        <f t="shared" si="0"/>
        <v>1.2685</v>
      </c>
      <c r="AA9" s="2752">
        <f>ROUND(SUMPRODUCT(PRODUCT(1+P9:P$23)),4)</f>
        <v>1.4825999999999999</v>
      </c>
      <c r="AB9" s="2752">
        <f>ROUND(SUMPRODUCT(PRODUCT(1+Q9:Q$23)),4)</f>
        <v>1.2309000000000001</v>
      </c>
      <c r="AD9" s="2672">
        <f>ROUND(AVERAGE(I9:I$24)/100,4)</f>
        <v>2.4500000000000001E-2</v>
      </c>
      <c r="AE9" s="2672">
        <f>ROUND(AVERAGE(J9:J$24)/100,4)</f>
        <v>1.6500000000000001E-2</v>
      </c>
      <c r="AF9" s="2672">
        <f t="shared" si="1"/>
        <v>1.6500000000000001E-2</v>
      </c>
      <c r="AG9" s="2672">
        <f>ROUND(AVERAGE(K9:K$24)/100,4)</f>
        <v>2.7099999999999999E-2</v>
      </c>
      <c r="AH9" s="2672">
        <f>ROUND(AVERAGE(L9:L$24)/100,4)</f>
        <v>1.3899999999999999E-2</v>
      </c>
    </row>
    <row r="10" spans="1:34" s="2759" customFormat="1" ht="13.5" thickBot="1">
      <c r="A10" s="2653" t="s">
        <v>2965</v>
      </c>
      <c r="B10" s="2667">
        <f t="shared" ref="B10:C12" si="45">B11*(1+N10)</f>
        <v>431.80730811680002</v>
      </c>
      <c r="C10" s="2667">
        <f t="shared" si="45"/>
        <v>320.57880516480003</v>
      </c>
      <c r="D10" s="2667">
        <f t="shared" si="33"/>
        <v>320.57880516480003</v>
      </c>
      <c r="E10" s="2667">
        <f t="shared" ref="E10:F12" si="46">E11*(1+P10)</f>
        <v>615.96110553196797</v>
      </c>
      <c r="F10" s="2667">
        <f t="shared" si="46"/>
        <v>279.46777300108801</v>
      </c>
      <c r="G10" s="3127"/>
      <c r="H10" s="2657">
        <v>3</v>
      </c>
      <c r="I10" s="2657">
        <v>2.98</v>
      </c>
      <c r="J10" s="2657">
        <v>2.11</v>
      </c>
      <c r="K10" s="2657">
        <v>3.24</v>
      </c>
      <c r="L10" s="2668">
        <v>1.72</v>
      </c>
      <c r="M10" s="2661"/>
      <c r="N10" s="2662">
        <f t="shared" si="36"/>
        <v>2.98E-2</v>
      </c>
      <c r="O10" s="2680">
        <f t="shared" ref="O10:O11" si="47">J10/100</f>
        <v>2.1099999999999997E-2</v>
      </c>
      <c r="P10" s="2680">
        <f t="shared" ref="P10:P11" si="48">K10/100</f>
        <v>3.2400000000000005E-2</v>
      </c>
      <c r="Q10" s="2680">
        <f t="shared" ref="Q10:Q11" si="49">L10/100</f>
        <v>1.72E-2</v>
      </c>
      <c r="R10" s="2664"/>
      <c r="S10" s="2670"/>
      <c r="T10" s="2671"/>
      <c r="U10" s="2671"/>
      <c r="V10" s="2671"/>
      <c r="W10" s="2661"/>
      <c r="X10" s="2752">
        <f>ROUND(SUMPRODUCT(PRODUCT(1+N10:N$23)),4)</f>
        <v>1.4034</v>
      </c>
      <c r="Y10" s="2752">
        <f>ROUND(SUMPRODUCT(PRODUCT(1+O10:O$23)),4)</f>
        <v>1.2463</v>
      </c>
      <c r="Z10" s="2752">
        <f t="shared" si="0"/>
        <v>1.2463</v>
      </c>
      <c r="AA10" s="2752">
        <f>ROUND(SUMPRODUCT(PRODUCT(1+P10:P$23)),4)</f>
        <v>1.4577</v>
      </c>
      <c r="AB10" s="2752">
        <f>ROUND(SUMPRODUCT(PRODUCT(1+Q10:Q$23)),4)</f>
        <v>1.2136</v>
      </c>
      <c r="AC10" s="2661"/>
      <c r="AD10" s="2672">
        <f>ROUND(AVERAGE(I10:I$24)/100,4)</f>
        <v>2.4899999999999999E-2</v>
      </c>
      <c r="AE10" s="2672">
        <f>ROUND(AVERAGE(J10:J$24)/100,4)</f>
        <v>1.6400000000000001E-2</v>
      </c>
      <c r="AF10" s="2672">
        <f t="shared" si="1"/>
        <v>1.6400000000000001E-2</v>
      </c>
      <c r="AG10" s="2672">
        <f>ROUND(AVERAGE(K10:K$24)/100,4)</f>
        <v>2.7799999999999998E-2</v>
      </c>
      <c r="AH10" s="2672">
        <f>ROUND(AVERAGE(L10:L$24)/100,4)</f>
        <v>1.3899999999999999E-2</v>
      </c>
    </row>
    <row r="11" spans="1:34" s="2651" customFormat="1">
      <c r="A11" s="2653" t="s">
        <v>2580</v>
      </c>
      <c r="B11" s="2667">
        <f t="shared" si="45"/>
        <v>419.31181600000002</v>
      </c>
      <c r="C11" s="2667">
        <f t="shared" si="45"/>
        <v>313.95436800000004</v>
      </c>
      <c r="D11" s="2667">
        <f t="shared" si="33"/>
        <v>313.95436800000004</v>
      </c>
      <c r="E11" s="2667">
        <f t="shared" si="46"/>
        <v>596.63028431999999</v>
      </c>
      <c r="F11" s="2667">
        <f t="shared" si="46"/>
        <v>274.74220703999998</v>
      </c>
      <c r="G11" s="3126"/>
      <c r="H11" s="2658">
        <v>2</v>
      </c>
      <c r="I11" s="2658">
        <v>3.4</v>
      </c>
      <c r="J11" s="2658">
        <v>2</v>
      </c>
      <c r="K11" s="2658">
        <v>3.82</v>
      </c>
      <c r="L11" s="2669">
        <v>1.68</v>
      </c>
      <c r="N11" s="2662">
        <f t="shared" si="36"/>
        <v>3.4000000000000002E-2</v>
      </c>
      <c r="O11" s="2680">
        <f t="shared" si="47"/>
        <v>0.02</v>
      </c>
      <c r="P11" s="2680">
        <f t="shared" si="48"/>
        <v>3.8199999999999998E-2</v>
      </c>
      <c r="Q11" s="2680">
        <f t="shared" si="49"/>
        <v>1.6799999999999999E-2</v>
      </c>
      <c r="R11" s="2652"/>
      <c r="S11" s="2656"/>
      <c r="T11" s="2652"/>
      <c r="U11" s="2652"/>
      <c r="V11" s="2652"/>
      <c r="X11" s="2752">
        <f>ROUND(SUMPRODUCT(PRODUCT(1+N11:N$23)),4)</f>
        <v>1.3628</v>
      </c>
      <c r="Y11" s="2752">
        <f>ROUND(SUMPRODUCT(PRODUCT(1+O11:O$23)),4)</f>
        <v>1.2205999999999999</v>
      </c>
      <c r="Z11" s="2752">
        <f t="shared" si="0"/>
        <v>1.2205999999999999</v>
      </c>
      <c r="AA11" s="2752">
        <f>ROUND(SUMPRODUCT(PRODUCT(1+P11:P$23)),4)</f>
        <v>1.4118999999999999</v>
      </c>
      <c r="AB11" s="2752">
        <f>ROUND(SUMPRODUCT(PRODUCT(1+Q11:Q$23)),4)</f>
        <v>1.1930000000000001</v>
      </c>
      <c r="AD11" s="2672">
        <f>ROUND(AVERAGE(I11:I$24)/100,4)</f>
        <v>2.46E-2</v>
      </c>
      <c r="AE11" s="2672">
        <f>ROUND(AVERAGE(J11:J$24)/100,4)</f>
        <v>1.6E-2</v>
      </c>
      <c r="AF11" s="2672">
        <f t="shared" si="1"/>
        <v>1.6E-2</v>
      </c>
      <c r="AG11" s="2672">
        <f>ROUND(AVERAGE(K11:K$24)/100,4)</f>
        <v>2.75E-2</v>
      </c>
      <c r="AH11" s="2672">
        <f>ROUND(AVERAGE(L11:L$24)/100,4)</f>
        <v>1.37E-2</v>
      </c>
    </row>
    <row r="12" spans="1:34" s="2759" customFormat="1" ht="13.5" thickBot="1">
      <c r="A12" s="2653" t="s">
        <v>2581</v>
      </c>
      <c r="B12" s="2667">
        <f t="shared" si="45"/>
        <v>405.524</v>
      </c>
      <c r="C12" s="2667">
        <f t="shared" si="45"/>
        <v>307.79840000000002</v>
      </c>
      <c r="D12" s="2667">
        <f t="shared" si="33"/>
        <v>307.79840000000002</v>
      </c>
      <c r="E12" s="2667">
        <f t="shared" si="46"/>
        <v>574.67759999999998</v>
      </c>
      <c r="F12" s="2667">
        <f t="shared" si="46"/>
        <v>270.20280000000002</v>
      </c>
      <c r="G12" s="3127"/>
      <c r="H12" s="2657">
        <v>1</v>
      </c>
      <c r="I12" s="2657">
        <v>3.45</v>
      </c>
      <c r="J12" s="2657">
        <v>1.92</v>
      </c>
      <c r="K12" s="2657">
        <v>3.92</v>
      </c>
      <c r="L12" s="2668">
        <v>1.58</v>
      </c>
      <c r="M12" s="2661"/>
      <c r="N12" s="2670">
        <f t="shared" si="36"/>
        <v>3.4500000000000003E-2</v>
      </c>
      <c r="O12" s="2671">
        <f t="shared" ref="O12" si="50">J12/100</f>
        <v>1.9199999999999998E-2</v>
      </c>
      <c r="P12" s="2671">
        <f t="shared" ref="P12" si="51">K12/100</f>
        <v>3.9199999999999999E-2</v>
      </c>
      <c r="Q12" s="2671">
        <f t="shared" ref="Q12" si="52">L12/100</f>
        <v>1.5800000000000002E-2</v>
      </c>
      <c r="R12" s="2664"/>
      <c r="S12" s="2670">
        <f>B12/B13-1</f>
        <v>3.4499999999999975E-2</v>
      </c>
      <c r="T12" s="2671">
        <f>C12/C13-1</f>
        <v>1.9200000000000106E-2</v>
      </c>
      <c r="U12" s="2671">
        <f>E12/E13-1</f>
        <v>3.9199999999999902E-2</v>
      </c>
      <c r="V12" s="2671">
        <f>F12/F13-1</f>
        <v>1.5800000000000036E-2</v>
      </c>
      <c r="W12" s="2661"/>
      <c r="X12" s="2752">
        <f>ROUND(SUMPRODUCT(PRODUCT(1+N12:N$23)),4)</f>
        <v>1.3180000000000001</v>
      </c>
      <c r="Y12" s="2752">
        <f>ROUND(SUMPRODUCT(PRODUCT(1+O12:O$23)),4)</f>
        <v>1.1966000000000001</v>
      </c>
      <c r="Z12" s="2752">
        <f t="shared" si="0"/>
        <v>1.1966000000000001</v>
      </c>
      <c r="AA12" s="2752">
        <f>ROUND(SUMPRODUCT(PRODUCT(1+P12:P$23)),4)</f>
        <v>1.36</v>
      </c>
      <c r="AB12" s="2752">
        <f>ROUND(SUMPRODUCT(PRODUCT(1+Q12:Q$23)),4)</f>
        <v>1.1733</v>
      </c>
      <c r="AC12" s="2661"/>
      <c r="AD12" s="2672">
        <f>ROUND(AVERAGE(I12:I$24)/100,4)</f>
        <v>2.3900000000000001E-2</v>
      </c>
      <c r="AE12" s="2672">
        <f>ROUND(AVERAGE(J12:J$24)/100,4)</f>
        <v>1.5699999999999999E-2</v>
      </c>
      <c r="AF12" s="2672">
        <f t="shared" si="1"/>
        <v>1.5699999999999999E-2</v>
      </c>
      <c r="AG12" s="2672">
        <f>ROUND(AVERAGE(K12:K$24)/100,4)</f>
        <v>2.6599999999999999E-2</v>
      </c>
      <c r="AH12" s="2672">
        <f>ROUND(AVERAGE(L12:L$24)/100,4)</f>
        <v>1.34E-2</v>
      </c>
    </row>
    <row r="13" spans="1:34">
      <c r="A13" s="2653" t="s">
        <v>970</v>
      </c>
      <c r="B13" s="2659">
        <v>392</v>
      </c>
      <c r="C13" s="2659">
        <v>302</v>
      </c>
      <c r="D13" s="2659">
        <f t="shared" si="33"/>
        <v>302</v>
      </c>
      <c r="E13" s="2659">
        <v>553</v>
      </c>
      <c r="F13" s="2660">
        <v>266</v>
      </c>
      <c r="G13" s="3471">
        <v>2016</v>
      </c>
      <c r="H13" s="2654">
        <v>4</v>
      </c>
      <c r="I13" s="2654">
        <v>4.5599999999999996</v>
      </c>
      <c r="J13" s="2654">
        <v>2.15</v>
      </c>
      <c r="K13" s="2654">
        <v>5.32</v>
      </c>
      <c r="L13" s="2655">
        <v>1.57</v>
      </c>
      <c r="N13" s="2662">
        <f t="shared" si="36"/>
        <v>4.5599999999999995E-2</v>
      </c>
      <c r="O13" s="2663">
        <f t="shared" ref="O13:Q28" si="53">J13/100</f>
        <v>2.1499999999999998E-2</v>
      </c>
      <c r="P13" s="2663">
        <f t="shared" si="53"/>
        <v>5.3200000000000004E-2</v>
      </c>
      <c r="Q13" s="2663">
        <f t="shared" si="53"/>
        <v>1.5700000000000002E-2</v>
      </c>
      <c r="R13" s="2664"/>
      <c r="S13" s="2665"/>
      <c r="T13" s="2666"/>
      <c r="U13" s="2666"/>
      <c r="V13" s="2666"/>
      <c r="X13" s="2752">
        <f>ROUND(SUMPRODUCT(PRODUCT(1+N13:N$23)),4)</f>
        <v>1.274</v>
      </c>
      <c r="Y13" s="2752">
        <f>ROUND(SUMPRODUCT(PRODUCT(1+O13:O$23)),4)</f>
        <v>1.1740999999999999</v>
      </c>
      <c r="Z13" s="2752">
        <f t="shared" si="0"/>
        <v>1.1740999999999999</v>
      </c>
      <c r="AA13" s="2752">
        <f>ROUND(SUMPRODUCT(PRODUCT(1+P13:P$23)),4)</f>
        <v>1.3087</v>
      </c>
      <c r="AB13" s="2752">
        <f>ROUND(SUMPRODUCT(PRODUCT(1+Q13:Q$23)),4)</f>
        <v>1.1551</v>
      </c>
      <c r="AD13" s="2672">
        <f>ROUND(AVERAGE(I13:I$24)/100,4)</f>
        <v>2.3E-2</v>
      </c>
      <c r="AE13" s="2672">
        <f>ROUND(AVERAGE(J13:J$24)/100,4)</f>
        <v>1.55E-2</v>
      </c>
      <c r="AF13" s="2672">
        <f t="shared" si="1"/>
        <v>1.55E-2</v>
      </c>
      <c r="AG13" s="2672">
        <f>ROUND(AVERAGE(K13:K$24)/100,4)</f>
        <v>2.5600000000000001E-2</v>
      </c>
      <c r="AH13" s="2672">
        <f>ROUND(AVERAGE(L13:L$24)/100,4)</f>
        <v>1.32E-2</v>
      </c>
    </row>
    <row r="14" spans="1:34">
      <c r="A14" s="2653" t="s">
        <v>969</v>
      </c>
      <c r="B14" s="2667">
        <f t="shared" ref="B14:C16" si="54">B13/(1+N13)</f>
        <v>374.90436113236416</v>
      </c>
      <c r="C14" s="2667">
        <f t="shared" si="54"/>
        <v>295.64366128242779</v>
      </c>
      <c r="D14" s="2667">
        <f t="shared" ref="D14:D73" si="55">C14</f>
        <v>295.64366128242779</v>
      </c>
      <c r="E14" s="2667">
        <f t="shared" ref="E14:F16" si="56">E13/(1+P13)</f>
        <v>525.06646410938095</v>
      </c>
      <c r="F14" s="2667">
        <f t="shared" si="56"/>
        <v>261.88835286009646</v>
      </c>
      <c r="G14" s="3469"/>
      <c r="H14" s="2657">
        <v>3</v>
      </c>
      <c r="I14" s="2657">
        <v>4.12</v>
      </c>
      <c r="J14" s="2657">
        <v>2</v>
      </c>
      <c r="K14" s="2657">
        <v>4.79</v>
      </c>
      <c r="L14" s="2668">
        <v>1.97</v>
      </c>
      <c r="N14" s="2662">
        <f t="shared" ref="N14:Q48" si="57">I14/100</f>
        <v>4.1200000000000001E-2</v>
      </c>
      <c r="O14" s="2663">
        <f t="shared" si="53"/>
        <v>0.02</v>
      </c>
      <c r="P14" s="2663">
        <f t="shared" si="53"/>
        <v>4.7899999999999998E-2</v>
      </c>
      <c r="Q14" s="2663">
        <f t="shared" si="53"/>
        <v>1.9699999999999999E-2</v>
      </c>
      <c r="R14" s="2664"/>
      <c r="S14" s="2662"/>
      <c r="T14" s="2663"/>
      <c r="U14" s="2663"/>
      <c r="V14" s="2663"/>
      <c r="X14" s="2752">
        <f>ROUND(SUMPRODUCT(PRODUCT(1+N14:N$23)),4)</f>
        <v>1.2184999999999999</v>
      </c>
      <c r="Y14" s="2752">
        <f>ROUND(SUMPRODUCT(PRODUCT(1+O14:O$23)),4)</f>
        <v>1.1494</v>
      </c>
      <c r="Z14" s="2752">
        <f t="shared" si="0"/>
        <v>1.1494</v>
      </c>
      <c r="AA14" s="2752">
        <f>ROUND(SUMPRODUCT(PRODUCT(1+P14:P$23)),4)</f>
        <v>1.2425999999999999</v>
      </c>
      <c r="AB14" s="2752">
        <f>ROUND(SUMPRODUCT(PRODUCT(1+Q14:Q$23)),4)</f>
        <v>1.1372</v>
      </c>
      <c r="AD14" s="2672">
        <f>ROUND(AVERAGE(I14:I$24)/100,4)</f>
        <v>2.0899999999999998E-2</v>
      </c>
      <c r="AE14" s="2672">
        <f>ROUND(AVERAGE(J14:J$24)/100,4)</f>
        <v>1.49E-2</v>
      </c>
      <c r="AF14" s="2672">
        <f t="shared" si="1"/>
        <v>1.49E-2</v>
      </c>
      <c r="AG14" s="2672">
        <f>ROUND(AVERAGE(K14:K$24)/100,4)</f>
        <v>2.3099999999999999E-2</v>
      </c>
      <c r="AH14" s="2672">
        <f>ROUND(AVERAGE(L14:L$24)/100,4)</f>
        <v>1.2999999999999999E-2</v>
      </c>
    </row>
    <row r="15" spans="1:34">
      <c r="A15" s="2653" t="s">
        <v>959</v>
      </c>
      <c r="B15" s="2667">
        <f t="shared" si="54"/>
        <v>360.06949782209392</v>
      </c>
      <c r="C15" s="2667">
        <f t="shared" si="54"/>
        <v>289.84672674747821</v>
      </c>
      <c r="D15" s="2667">
        <f t="shared" si="55"/>
        <v>289.84672674747821</v>
      </c>
      <c r="E15" s="2667">
        <f t="shared" si="56"/>
        <v>501.06543001181495</v>
      </c>
      <c r="F15" s="2667">
        <f t="shared" si="56"/>
        <v>256.82882500744967</v>
      </c>
      <c r="G15" s="3469"/>
      <c r="H15" s="2658">
        <v>2</v>
      </c>
      <c r="I15" s="2658">
        <v>3.85</v>
      </c>
      <c r="J15" s="2658">
        <v>1.95</v>
      </c>
      <c r="K15" s="2658">
        <v>4.4800000000000004</v>
      </c>
      <c r="L15" s="2669">
        <v>1.41</v>
      </c>
      <c r="N15" s="2662">
        <f t="shared" si="57"/>
        <v>3.85E-2</v>
      </c>
      <c r="O15" s="2663">
        <f t="shared" si="53"/>
        <v>1.95E-2</v>
      </c>
      <c r="P15" s="2663">
        <f t="shared" si="53"/>
        <v>4.4800000000000006E-2</v>
      </c>
      <c r="Q15" s="2663">
        <f t="shared" si="53"/>
        <v>1.41E-2</v>
      </c>
      <c r="R15" s="2664"/>
      <c r="S15" s="2662"/>
      <c r="T15" s="2663"/>
      <c r="U15" s="2663"/>
      <c r="V15" s="2663"/>
      <c r="X15" s="2752">
        <f>ROUND(SUMPRODUCT(PRODUCT(1+N15:N$23)),4)</f>
        <v>1.1702999999999999</v>
      </c>
      <c r="Y15" s="2752">
        <f>ROUND(SUMPRODUCT(PRODUCT(1+O15:O$23)),4)</f>
        <v>1.1269</v>
      </c>
      <c r="Z15" s="2752">
        <f t="shared" si="0"/>
        <v>1.1269</v>
      </c>
      <c r="AA15" s="2752">
        <f>ROUND(SUMPRODUCT(PRODUCT(1+P15:P$23)),4)</f>
        <v>1.1858</v>
      </c>
      <c r="AB15" s="2752">
        <f>ROUND(SUMPRODUCT(PRODUCT(1+Q15:Q$23)),4)</f>
        <v>1.1152</v>
      </c>
      <c r="AD15" s="2672">
        <f>ROUND(AVERAGE(I15:I$24)/100,4)</f>
        <v>1.89E-2</v>
      </c>
      <c r="AE15" s="2672">
        <f>ROUND(AVERAGE(J15:J$24)/100,4)</f>
        <v>1.44E-2</v>
      </c>
      <c r="AF15" s="2672">
        <f t="shared" si="1"/>
        <v>1.44E-2</v>
      </c>
      <c r="AG15" s="2672">
        <f>ROUND(AVERAGE(K15:K$24)/100,4)</f>
        <v>2.06E-2</v>
      </c>
      <c r="AH15" s="2672">
        <f>ROUND(AVERAGE(L15:L$24)/100,4)</f>
        <v>1.23E-2</v>
      </c>
    </row>
    <row r="16" spans="1:34" ht="13.5" thickBot="1">
      <c r="A16" s="2653" t="s">
        <v>968</v>
      </c>
      <c r="B16" s="2667">
        <f t="shared" si="54"/>
        <v>346.720748986128</v>
      </c>
      <c r="C16" s="2667">
        <f t="shared" si="54"/>
        <v>284.30282172386285</v>
      </c>
      <c r="D16" s="2667">
        <f t="shared" si="55"/>
        <v>284.30282172386285</v>
      </c>
      <c r="E16" s="2667">
        <f t="shared" si="56"/>
        <v>479.58023546306947</v>
      </c>
      <c r="F16" s="2667">
        <f t="shared" si="56"/>
        <v>253.25788877571213</v>
      </c>
      <c r="G16" s="3470"/>
      <c r="H16" s="2657">
        <v>1</v>
      </c>
      <c r="I16" s="2657">
        <v>4.09</v>
      </c>
      <c r="J16" s="2657">
        <v>2.93</v>
      </c>
      <c r="K16" s="2657">
        <v>4.54</v>
      </c>
      <c r="L16" s="2668">
        <v>1.48</v>
      </c>
      <c r="N16" s="2662">
        <f t="shared" si="57"/>
        <v>4.0899999999999999E-2</v>
      </c>
      <c r="O16" s="2663">
        <f t="shared" si="53"/>
        <v>2.9300000000000003E-2</v>
      </c>
      <c r="P16" s="2663">
        <f t="shared" si="53"/>
        <v>4.5400000000000003E-2</v>
      </c>
      <c r="Q16" s="2663">
        <f t="shared" si="53"/>
        <v>1.4800000000000001E-2</v>
      </c>
      <c r="R16" s="2664"/>
      <c r="S16" s="2670">
        <f>B16/B17-1</f>
        <v>4.1203450408792808E-2</v>
      </c>
      <c r="T16" s="2671">
        <f>C16/C17-1</f>
        <v>2.6363977342465095E-2</v>
      </c>
      <c r="U16" s="2671">
        <f>E16/E17-1</f>
        <v>4.4837114298626357E-2</v>
      </c>
      <c r="V16" s="2671">
        <f>F16/F17-1</f>
        <v>1.7099954922538574E-2</v>
      </c>
      <c r="X16" s="2752">
        <f>ROUND(SUMPRODUCT(PRODUCT(1+N16:N$23)),4)</f>
        <v>1.1269</v>
      </c>
      <c r="Y16" s="2752">
        <f>ROUND(SUMPRODUCT(PRODUCT(1+O16:O$23)),4)</f>
        <v>1.1052999999999999</v>
      </c>
      <c r="Z16" s="2752">
        <f t="shared" si="0"/>
        <v>1.1052999999999999</v>
      </c>
      <c r="AA16" s="2752">
        <f>ROUND(SUMPRODUCT(PRODUCT(1+P16:P$23)),4)</f>
        <v>1.1349</v>
      </c>
      <c r="AB16" s="2752">
        <f>ROUND(SUMPRODUCT(PRODUCT(1+Q16:Q$23)),4)</f>
        <v>1.0996999999999999</v>
      </c>
      <c r="AD16" s="2672">
        <f>ROUND(AVERAGE(I16:I$24)/100,4)</f>
        <v>1.67E-2</v>
      </c>
      <c r="AE16" s="2672">
        <f>ROUND(AVERAGE(J16:J$24)/100,4)</f>
        <v>1.38E-2</v>
      </c>
      <c r="AF16" s="2672">
        <f t="shared" si="1"/>
        <v>1.38E-2</v>
      </c>
      <c r="AG16" s="2672">
        <f>ROUND(AVERAGE(K16:K$24)/100,4)</f>
        <v>1.7899999999999999E-2</v>
      </c>
      <c r="AH16" s="2672">
        <f>ROUND(AVERAGE(L16:L$24)/100,4)</f>
        <v>1.21E-2</v>
      </c>
    </row>
    <row r="17" spans="1:34" ht="13.5" thickBot="1">
      <c r="A17" s="2653" t="s">
        <v>967</v>
      </c>
      <c r="B17" s="2659">
        <v>333</v>
      </c>
      <c r="C17" s="2659">
        <v>277</v>
      </c>
      <c r="D17" s="2659">
        <f t="shared" si="55"/>
        <v>277</v>
      </c>
      <c r="E17" s="2659">
        <v>459</v>
      </c>
      <c r="F17" s="2660">
        <v>249</v>
      </c>
      <c r="G17" s="3468">
        <v>2015</v>
      </c>
      <c r="H17" s="2673">
        <v>4</v>
      </c>
      <c r="I17" s="2673">
        <v>1.63</v>
      </c>
      <c r="J17" s="2673">
        <v>1.1100000000000001</v>
      </c>
      <c r="K17" s="2673">
        <v>1.77</v>
      </c>
      <c r="L17" s="2674">
        <v>1.89</v>
      </c>
      <c r="N17" s="2675">
        <f t="shared" si="57"/>
        <v>1.6299999999999999E-2</v>
      </c>
      <c r="O17" s="2676">
        <f t="shared" si="53"/>
        <v>1.11E-2</v>
      </c>
      <c r="P17" s="2676">
        <f t="shared" si="53"/>
        <v>1.77E-2</v>
      </c>
      <c r="Q17" s="2676">
        <f t="shared" si="53"/>
        <v>1.89E-2</v>
      </c>
      <c r="R17" s="2664"/>
      <c r="X17" s="2752">
        <f>ROUND(SUMPRODUCT(PRODUCT(1+N17:N$23)),4)</f>
        <v>1.0826</v>
      </c>
      <c r="Y17" s="2752">
        <f>ROUND(SUMPRODUCT(PRODUCT(1+O17:O$23)),4)</f>
        <v>1.0738000000000001</v>
      </c>
      <c r="Z17" s="2752">
        <f t="shared" si="0"/>
        <v>1.0738000000000001</v>
      </c>
      <c r="AA17" s="2752">
        <f>ROUND(SUMPRODUCT(PRODUCT(1+P17:P$23)),4)</f>
        <v>1.0855999999999999</v>
      </c>
      <c r="AB17" s="2752">
        <f>ROUND(SUMPRODUCT(PRODUCT(1+Q17:Q$23)),4)</f>
        <v>1.0837000000000001</v>
      </c>
      <c r="AD17" s="2672">
        <f>ROUND(AVERAGE(I17:I$24)/100,4)</f>
        <v>1.37E-2</v>
      </c>
      <c r="AE17" s="2672">
        <f>ROUND(AVERAGE(J17:J$24)/100,4)</f>
        <v>1.1900000000000001E-2</v>
      </c>
      <c r="AF17" s="2672">
        <f t="shared" si="1"/>
        <v>1.1900000000000001E-2</v>
      </c>
      <c r="AG17" s="2672">
        <f>ROUND(AVERAGE(K17:K$24)/100,4)</f>
        <v>1.4500000000000001E-2</v>
      </c>
      <c r="AH17" s="2672">
        <f>ROUND(AVERAGE(L17:L$24)/100,4)</f>
        <v>1.18E-2</v>
      </c>
    </row>
    <row r="18" spans="1:34">
      <c r="A18" s="2653" t="s">
        <v>966</v>
      </c>
      <c r="B18" s="2667">
        <f t="shared" ref="B18:C20" si="58">B17/(1+N17)</f>
        <v>327.65915576109415</v>
      </c>
      <c r="C18" s="2667">
        <f t="shared" si="58"/>
        <v>273.95905449510434</v>
      </c>
      <c r="D18" s="2667">
        <f t="shared" si="55"/>
        <v>273.95905449510434</v>
      </c>
      <c r="E18" s="2667">
        <f t="shared" ref="E18:F20" si="59">E17/(1+P17)</f>
        <v>451.01699911565294</v>
      </c>
      <c r="F18" s="2667">
        <f t="shared" si="59"/>
        <v>244.38119540681129</v>
      </c>
      <c r="G18" s="3469"/>
      <c r="H18" s="2678">
        <v>3</v>
      </c>
      <c r="I18" s="2678">
        <v>1.65</v>
      </c>
      <c r="J18" s="2678">
        <v>0.92</v>
      </c>
      <c r="K18" s="2678">
        <v>1.88</v>
      </c>
      <c r="L18" s="2679">
        <v>1.26</v>
      </c>
      <c r="N18" s="2662">
        <f t="shared" si="57"/>
        <v>1.6500000000000001E-2</v>
      </c>
      <c r="O18" s="2680">
        <f t="shared" si="53"/>
        <v>9.1999999999999998E-3</v>
      </c>
      <c r="P18" s="2680">
        <f t="shared" si="53"/>
        <v>1.8799999999999997E-2</v>
      </c>
      <c r="Q18" s="2680">
        <f t="shared" si="53"/>
        <v>1.26E-2</v>
      </c>
      <c r="R18" s="2664"/>
      <c r="S18" s="2662"/>
      <c r="T18" s="2663"/>
      <c r="U18" s="2663"/>
      <c r="V18" s="2663"/>
      <c r="X18" s="2752">
        <f>ROUND(SUMPRODUCT(PRODUCT(1+N18:N$23)),4)</f>
        <v>1.0651999999999999</v>
      </c>
      <c r="Y18" s="2752">
        <f>ROUND(SUMPRODUCT(PRODUCT(1+O18:O$23)),4)</f>
        <v>1.0621</v>
      </c>
      <c r="Z18" s="2752">
        <f t="shared" si="0"/>
        <v>1.0621</v>
      </c>
      <c r="AA18" s="2752">
        <f>ROUND(SUMPRODUCT(PRODUCT(1+P18:P$23)),4)</f>
        <v>1.0668</v>
      </c>
      <c r="AB18" s="2752">
        <f>ROUND(SUMPRODUCT(PRODUCT(1+Q18:Q$23)),4)</f>
        <v>1.0636000000000001</v>
      </c>
      <c r="AD18" s="2672">
        <f>ROUND(AVERAGE(I18:I$24)/100,4)</f>
        <v>1.3299999999999999E-2</v>
      </c>
      <c r="AE18" s="2672">
        <f>ROUND(AVERAGE(J18:J$24)/100,4)</f>
        <v>1.2E-2</v>
      </c>
      <c r="AF18" s="2672">
        <f t="shared" si="1"/>
        <v>1.2E-2</v>
      </c>
      <c r="AG18" s="2672">
        <f>ROUND(AVERAGE(K18:K$24)/100,4)</f>
        <v>1.4E-2</v>
      </c>
      <c r="AH18" s="2672">
        <f>ROUND(AVERAGE(L18:L$24)/100,4)</f>
        <v>1.0800000000000001E-2</v>
      </c>
    </row>
    <row r="19" spans="1:34">
      <c r="A19" s="2653" t="s">
        <v>965</v>
      </c>
      <c r="B19" s="2667">
        <f t="shared" si="58"/>
        <v>322.34053690220776</v>
      </c>
      <c r="C19" s="2667">
        <f t="shared" si="58"/>
        <v>271.46160770422546</v>
      </c>
      <c r="D19" s="2667">
        <f t="shared" si="55"/>
        <v>271.46160770422546</v>
      </c>
      <c r="E19" s="2667">
        <f t="shared" si="59"/>
        <v>442.69434542172456</v>
      </c>
      <c r="F19" s="2667">
        <f t="shared" si="59"/>
        <v>241.34030753190925</v>
      </c>
      <c r="G19" s="3469"/>
      <c r="H19" s="2658">
        <v>2</v>
      </c>
      <c r="I19" s="2658">
        <v>0.77</v>
      </c>
      <c r="J19" s="2658">
        <v>0.69</v>
      </c>
      <c r="K19" s="2658">
        <v>0.8</v>
      </c>
      <c r="L19" s="2669">
        <v>0.88</v>
      </c>
      <c r="N19" s="2662">
        <f t="shared" si="57"/>
        <v>7.7000000000000002E-3</v>
      </c>
      <c r="O19" s="2680">
        <f t="shared" si="53"/>
        <v>6.8999999999999999E-3</v>
      </c>
      <c r="P19" s="2680">
        <f t="shared" si="53"/>
        <v>8.0000000000000002E-3</v>
      </c>
      <c r="Q19" s="2680">
        <f t="shared" si="53"/>
        <v>8.8000000000000005E-3</v>
      </c>
      <c r="R19" s="2664"/>
      <c r="S19" s="2662"/>
      <c r="T19" s="2663"/>
      <c r="U19" s="2663"/>
      <c r="V19" s="2663"/>
      <c r="X19" s="2752">
        <f>ROUND(SUMPRODUCT(PRODUCT(1+N19:N$23)),4)</f>
        <v>1.048</v>
      </c>
      <c r="Y19" s="2752">
        <f>ROUND(SUMPRODUCT(PRODUCT(1+O19:O$23)),4)</f>
        <v>1.0524</v>
      </c>
      <c r="Z19" s="2752">
        <f t="shared" si="0"/>
        <v>1.0524</v>
      </c>
      <c r="AA19" s="2752">
        <f>ROUND(SUMPRODUCT(PRODUCT(1+P19:P$23)),4)</f>
        <v>1.0470999999999999</v>
      </c>
      <c r="AB19" s="2752">
        <f>ROUND(SUMPRODUCT(PRODUCT(1+Q19:Q$23)),4)</f>
        <v>1.0504</v>
      </c>
      <c r="AD19" s="2672">
        <f>ROUND(AVERAGE(I19:I$24)/100,4)</f>
        <v>1.2800000000000001E-2</v>
      </c>
      <c r="AE19" s="2672">
        <f>ROUND(AVERAGE(J19:J$24)/100,4)</f>
        <v>1.2500000000000001E-2</v>
      </c>
      <c r="AF19" s="2672">
        <f t="shared" si="1"/>
        <v>1.2500000000000001E-2</v>
      </c>
      <c r="AG19" s="2672">
        <f>ROUND(AVERAGE(K19:K$24)/100,4)</f>
        <v>1.32E-2</v>
      </c>
      <c r="AH19" s="2672">
        <f>ROUND(AVERAGE(L19:L$24)/100,4)</f>
        <v>1.0500000000000001E-2</v>
      </c>
    </row>
    <row r="20" spans="1:34">
      <c r="A20" s="2653" t="s">
        <v>964</v>
      </c>
      <c r="B20" s="2667">
        <f t="shared" si="58"/>
        <v>319.87748030386797</v>
      </c>
      <c r="C20" s="2667">
        <f t="shared" si="58"/>
        <v>269.60135833173649</v>
      </c>
      <c r="D20" s="2667">
        <f t="shared" si="55"/>
        <v>269.60135833173649</v>
      </c>
      <c r="E20" s="2667">
        <f t="shared" si="59"/>
        <v>439.18089823583784</v>
      </c>
      <c r="F20" s="2667">
        <f t="shared" si="59"/>
        <v>239.23503918706311</v>
      </c>
      <c r="G20" s="3470"/>
      <c r="H20" s="2657">
        <v>1</v>
      </c>
      <c r="I20" s="2657">
        <v>0.51</v>
      </c>
      <c r="J20" s="2657">
        <v>0.54</v>
      </c>
      <c r="K20" s="2657">
        <v>0.48</v>
      </c>
      <c r="L20" s="2668">
        <v>0.93</v>
      </c>
      <c r="N20" s="2670">
        <f t="shared" si="57"/>
        <v>5.1000000000000004E-3</v>
      </c>
      <c r="O20" s="2671">
        <f t="shared" si="53"/>
        <v>5.4000000000000003E-3</v>
      </c>
      <c r="P20" s="2671">
        <f t="shared" si="53"/>
        <v>4.7999999999999996E-3</v>
      </c>
      <c r="Q20" s="2671">
        <f t="shared" si="53"/>
        <v>9.300000000000001E-3</v>
      </c>
      <c r="R20" s="2664"/>
      <c r="S20" s="2670">
        <f>B20/B21-1</f>
        <v>5.9040261127922822E-3</v>
      </c>
      <c r="T20" s="2671">
        <f>C20/C21-1</f>
        <v>5.9752176557332781E-3</v>
      </c>
      <c r="U20" s="2671">
        <f>E20/E21-1</f>
        <v>4.9906138119859556E-3</v>
      </c>
      <c r="V20" s="2671">
        <f>F20/F21-1</f>
        <v>9.4305450930933787E-3</v>
      </c>
      <c r="X20" s="2752">
        <f>ROUND(SUMPRODUCT(PRODUCT(1+N20:N$23)),4)</f>
        <v>1.0399</v>
      </c>
      <c r="Y20" s="2752">
        <f>ROUND(SUMPRODUCT(PRODUCT(1+O20:O$23)),4)</f>
        <v>1.0451999999999999</v>
      </c>
      <c r="Z20" s="2752">
        <f t="shared" si="0"/>
        <v>1.0451999999999999</v>
      </c>
      <c r="AA20" s="2752">
        <f>ROUND(SUMPRODUCT(PRODUCT(1+P20:P$23)),4)</f>
        <v>1.0387999999999999</v>
      </c>
      <c r="AB20" s="2752">
        <f>ROUND(SUMPRODUCT(PRODUCT(1+Q20:Q$23)),4)</f>
        <v>1.0411999999999999</v>
      </c>
      <c r="AD20" s="2672">
        <f>ROUND(AVERAGE(I20:I$24)/100,4)</f>
        <v>1.38E-2</v>
      </c>
      <c r="AE20" s="2672">
        <f>ROUND(AVERAGE(J20:J$24)/100,4)</f>
        <v>1.3599999999999999E-2</v>
      </c>
      <c r="AF20" s="2672">
        <f t="shared" si="1"/>
        <v>1.3599999999999999E-2</v>
      </c>
      <c r="AG20" s="2672">
        <f>ROUND(AVERAGE(K20:K$24)/100,4)</f>
        <v>1.4200000000000001E-2</v>
      </c>
      <c r="AH20" s="2672">
        <f>ROUND(AVERAGE(L20:L$24)/100,4)</f>
        <v>1.0800000000000001E-2</v>
      </c>
    </row>
    <row r="21" spans="1:34" ht="13.5" thickBot="1">
      <c r="A21" s="2653" t="s">
        <v>963</v>
      </c>
      <c r="B21" s="2681">
        <v>318</v>
      </c>
      <c r="C21" s="2681">
        <v>268</v>
      </c>
      <c r="D21" s="2681">
        <f t="shared" si="55"/>
        <v>268</v>
      </c>
      <c r="E21" s="2681">
        <v>437</v>
      </c>
      <c r="F21" s="2682">
        <v>237</v>
      </c>
      <c r="G21" s="3468">
        <v>2014</v>
      </c>
      <c r="H21" s="2673">
        <v>4</v>
      </c>
      <c r="I21" s="2673">
        <v>0.21</v>
      </c>
      <c r="J21" s="2673">
        <v>0.41</v>
      </c>
      <c r="K21" s="2673">
        <v>0.12</v>
      </c>
      <c r="L21" s="2674">
        <v>0.89</v>
      </c>
      <c r="N21" s="2662">
        <f t="shared" si="57"/>
        <v>2.0999999999999999E-3</v>
      </c>
      <c r="O21" s="2663">
        <f t="shared" si="53"/>
        <v>4.0999999999999995E-3</v>
      </c>
      <c r="P21" s="2663">
        <f t="shared" si="53"/>
        <v>1.1999999999999999E-3</v>
      </c>
      <c r="Q21" s="2663">
        <f t="shared" si="53"/>
        <v>8.8999999999999999E-3</v>
      </c>
      <c r="R21" s="2664"/>
      <c r="S21" s="2665"/>
      <c r="T21" s="2666"/>
      <c r="U21" s="2666"/>
      <c r="V21" s="2666"/>
      <c r="X21" s="2752">
        <f>ROUND(SUMPRODUCT(PRODUCT(1+N21:N$23)),4)</f>
        <v>1.0347</v>
      </c>
      <c r="Y21" s="2752">
        <f>ROUND(SUMPRODUCT(PRODUCT(1+O21:O$23)),4)</f>
        <v>1.0395000000000001</v>
      </c>
      <c r="Z21" s="2752">
        <f t="shared" si="0"/>
        <v>1.0395000000000001</v>
      </c>
      <c r="AA21" s="2752">
        <f>ROUND(SUMPRODUCT(PRODUCT(1+P21:P$23)),4)</f>
        <v>1.0338000000000001</v>
      </c>
      <c r="AB21" s="2752">
        <f>ROUND(SUMPRODUCT(PRODUCT(1+Q21:Q$23)),4)</f>
        <v>1.0316000000000001</v>
      </c>
      <c r="AD21" s="2672">
        <f>ROUND(AVERAGE(I21:I$24)/100,4)</f>
        <v>1.6E-2</v>
      </c>
      <c r="AE21" s="2672">
        <f>ROUND(AVERAGE(J21:J$24)/100,4)</f>
        <v>1.5599999999999999E-2</v>
      </c>
      <c r="AF21" s="2672">
        <f t="shared" si="1"/>
        <v>1.5599999999999999E-2</v>
      </c>
      <c r="AG21" s="2672">
        <f>ROUND(AVERAGE(K21:K$24)/100,4)</f>
        <v>1.66E-2</v>
      </c>
      <c r="AH21" s="2672">
        <f>ROUND(AVERAGE(L21:L$24)/100,4)</f>
        <v>1.12E-2</v>
      </c>
    </row>
    <row r="22" spans="1:34">
      <c r="A22" s="2653" t="s">
        <v>962</v>
      </c>
      <c r="B22" s="2667">
        <f t="shared" ref="B22:C24" si="60">B21/(1+N21)</f>
        <v>317.33359944117353</v>
      </c>
      <c r="C22" s="2667">
        <f t="shared" si="60"/>
        <v>266.90568668459315</v>
      </c>
      <c r="D22" s="2667">
        <f t="shared" si="55"/>
        <v>266.90568668459315</v>
      </c>
      <c r="E22" s="2667">
        <f t="shared" ref="E22:F24" si="61">E21/(1+P21)</f>
        <v>436.47622852576905</v>
      </c>
      <c r="F22" s="2667">
        <f t="shared" si="61"/>
        <v>234.90930716622066</v>
      </c>
      <c r="G22" s="3469"/>
      <c r="H22" s="2683">
        <v>3</v>
      </c>
      <c r="I22" s="2683">
        <v>0.83</v>
      </c>
      <c r="J22" s="2683">
        <v>1.47</v>
      </c>
      <c r="K22" s="2683">
        <v>0.65</v>
      </c>
      <c r="L22" s="2684">
        <v>0.72</v>
      </c>
      <c r="N22" s="2662">
        <f t="shared" si="57"/>
        <v>8.3000000000000001E-3</v>
      </c>
      <c r="O22" s="2663">
        <f t="shared" si="53"/>
        <v>1.47E-2</v>
      </c>
      <c r="P22" s="2663">
        <f t="shared" si="53"/>
        <v>6.5000000000000006E-3</v>
      </c>
      <c r="Q22" s="2663">
        <f t="shared" si="53"/>
        <v>7.1999999999999998E-3</v>
      </c>
      <c r="R22" s="2664"/>
      <c r="S22" s="2662"/>
      <c r="T22" s="2663"/>
      <c r="U22" s="2663"/>
      <c r="V22" s="2663"/>
      <c r="X22" s="2752">
        <f>ROUND(SUMPRODUCT(PRODUCT(1+N22:N$23)),4)</f>
        <v>1.0325</v>
      </c>
      <c r="Y22" s="2752">
        <f>ROUND(SUMPRODUCT(PRODUCT(1+O22:O$23)),4)</f>
        <v>1.0353000000000001</v>
      </c>
      <c r="Z22" s="2752">
        <f t="shared" ref="Z22:Z23" si="62">Y22</f>
        <v>1.0353000000000001</v>
      </c>
      <c r="AA22" s="2752">
        <f>ROUND(SUMPRODUCT(PRODUCT(1+P22:P$23)),4)</f>
        <v>1.0326</v>
      </c>
      <c r="AB22" s="2752">
        <f>ROUND(SUMPRODUCT(PRODUCT(1+Q22:Q$23)),4)</f>
        <v>1.0225</v>
      </c>
      <c r="AD22" s="2672">
        <f>ROUND(AVERAGE(I22:I$24)/100,4)</f>
        <v>2.07E-2</v>
      </c>
      <c r="AE22" s="2672">
        <f>ROUND(AVERAGE(J22:J$24)/100,4)</f>
        <v>1.95E-2</v>
      </c>
      <c r="AF22" s="2672">
        <f t="shared" si="1"/>
        <v>1.95E-2</v>
      </c>
      <c r="AG22" s="2672">
        <f>ROUND(AVERAGE(K22:K$24)/100,4)</f>
        <v>2.1700000000000001E-2</v>
      </c>
      <c r="AH22" s="2672">
        <f>ROUND(AVERAGE(L22:L$24)/100,4)</f>
        <v>1.2E-2</v>
      </c>
    </row>
    <row r="23" spans="1:34" ht="13.5" thickBot="1">
      <c r="A23" s="2653" t="s">
        <v>961</v>
      </c>
      <c r="B23" s="2667">
        <f t="shared" si="60"/>
        <v>314.72141172386546</v>
      </c>
      <c r="C23" s="2667">
        <f t="shared" si="60"/>
        <v>263.03901319069001</v>
      </c>
      <c r="D23" s="2667">
        <f t="shared" si="55"/>
        <v>263.03901319069001</v>
      </c>
      <c r="E23" s="2667">
        <f t="shared" si="61"/>
        <v>433.65745506782821</v>
      </c>
      <c r="F23" s="2667">
        <f t="shared" si="61"/>
        <v>233.23005080045735</v>
      </c>
      <c r="G23" s="3469"/>
      <c r="H23" s="2673">
        <v>2</v>
      </c>
      <c r="I23" s="2673">
        <v>2.4</v>
      </c>
      <c r="J23" s="2673">
        <v>2.0299999999999998</v>
      </c>
      <c r="K23" s="2673">
        <v>2.59</v>
      </c>
      <c r="L23" s="2674">
        <v>1.52</v>
      </c>
      <c r="N23" s="2662">
        <f t="shared" si="57"/>
        <v>2.4E-2</v>
      </c>
      <c r="O23" s="2663">
        <f t="shared" si="53"/>
        <v>2.0299999999999999E-2</v>
      </c>
      <c r="P23" s="2663">
        <f t="shared" si="53"/>
        <v>2.5899999999999999E-2</v>
      </c>
      <c r="Q23" s="2663">
        <f t="shared" si="53"/>
        <v>1.52E-2</v>
      </c>
      <c r="R23" s="2664"/>
      <c r="S23" s="2662"/>
      <c r="T23" s="2663"/>
      <c r="U23" s="2663"/>
      <c r="V23" s="2663"/>
      <c r="X23" s="2752">
        <f>1+N23</f>
        <v>1.024</v>
      </c>
      <c r="Y23" s="2752">
        <f>1+O23</f>
        <v>1.0203</v>
      </c>
      <c r="Z23" s="2752">
        <f t="shared" si="62"/>
        <v>1.0203</v>
      </c>
      <c r="AA23" s="2752">
        <f>1+P23</f>
        <v>1.0259</v>
      </c>
      <c r="AB23" s="2752">
        <f>1+Q23</f>
        <v>1.0152000000000001</v>
      </c>
      <c r="AD23" s="2672">
        <f>ROUND(AVERAGE(I23:I$24)/100,4)</f>
        <v>2.69E-2</v>
      </c>
      <c r="AE23" s="2672">
        <f>ROUND(AVERAGE(J23:J$24)/100,4)</f>
        <v>2.1899999999999999E-2</v>
      </c>
      <c r="AF23" s="2672">
        <f t="shared" ref="AF23" si="63">AE23</f>
        <v>2.1899999999999999E-2</v>
      </c>
      <c r="AG23" s="2672">
        <f>ROUND(AVERAGE(K23:K$24)/100,4)</f>
        <v>2.9399999999999999E-2</v>
      </c>
      <c r="AH23" s="2672">
        <f>ROUND(AVERAGE(L23:L$24)/100,4)</f>
        <v>1.44E-2</v>
      </c>
    </row>
    <row r="24" spans="1:34" s="2689" customFormat="1" ht="13.5" thickBot="1">
      <c r="A24" s="2685" t="s">
        <v>960</v>
      </c>
      <c r="B24" s="2686">
        <f t="shared" si="60"/>
        <v>307.34512863658733</v>
      </c>
      <c r="C24" s="2686">
        <f t="shared" si="60"/>
        <v>257.80556031626975</v>
      </c>
      <c r="D24" s="2686">
        <f t="shared" si="55"/>
        <v>257.80556031626975</v>
      </c>
      <c r="E24" s="2686">
        <f t="shared" si="61"/>
        <v>422.70928459677179</v>
      </c>
      <c r="F24" s="2686">
        <f t="shared" si="61"/>
        <v>229.73803270336617</v>
      </c>
      <c r="G24" s="3470"/>
      <c r="H24" s="2687">
        <v>1</v>
      </c>
      <c r="I24" s="2687">
        <v>2.97</v>
      </c>
      <c r="J24" s="2687">
        <v>2.34</v>
      </c>
      <c r="K24" s="2687">
        <v>3.28</v>
      </c>
      <c r="L24" s="2688">
        <v>1.36</v>
      </c>
      <c r="N24" s="2690">
        <f t="shared" si="57"/>
        <v>2.9700000000000001E-2</v>
      </c>
      <c r="O24" s="2691">
        <f t="shared" si="53"/>
        <v>2.3399999999999997E-2</v>
      </c>
      <c r="P24" s="2691">
        <f t="shared" si="53"/>
        <v>3.2799999999999996E-2</v>
      </c>
      <c r="Q24" s="2691">
        <f t="shared" si="53"/>
        <v>1.3600000000000001E-2</v>
      </c>
      <c r="R24" s="2692"/>
      <c r="S24" s="2693">
        <f>B24/B25-1</f>
        <v>2.7910129219355539E-2</v>
      </c>
      <c r="T24" s="2694">
        <f>C24/C25-1</f>
        <v>2.3037937762975247E-2</v>
      </c>
      <c r="U24" s="2694">
        <f>E24/E25-1</f>
        <v>3.3519033243940788E-2</v>
      </c>
      <c r="V24" s="2694">
        <f>F24/F25-1</f>
        <v>1.2061818076502862E-2</v>
      </c>
      <c r="W24" s="2761" t="s">
        <v>2639</v>
      </c>
      <c r="X24" s="2763">
        <v>1</v>
      </c>
      <c r="Y24" s="2763">
        <v>1</v>
      </c>
      <c r="Z24" s="2763">
        <v>1</v>
      </c>
      <c r="AA24" s="2763">
        <v>1</v>
      </c>
      <c r="AB24" s="2763">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3" t="s">
        <v>2582</v>
      </c>
      <c r="B25" s="2659">
        <v>299</v>
      </c>
      <c r="C25" s="2659">
        <v>252</v>
      </c>
      <c r="D25" s="2659">
        <f t="shared" si="55"/>
        <v>252</v>
      </c>
      <c r="E25" s="2659">
        <v>409</v>
      </c>
      <c r="F25" s="2660">
        <v>227</v>
      </c>
      <c r="G25" s="3475">
        <v>2013</v>
      </c>
      <c r="H25" s="2695">
        <v>4</v>
      </c>
      <c r="I25" s="2695">
        <v>1.83</v>
      </c>
      <c r="J25" s="2695">
        <v>1.68</v>
      </c>
      <c r="K25" s="2695">
        <v>1.97</v>
      </c>
      <c r="L25" s="2696">
        <v>0.87</v>
      </c>
      <c r="N25" s="2675">
        <f t="shared" si="57"/>
        <v>1.83E-2</v>
      </c>
      <c r="O25" s="2676">
        <f t="shared" si="53"/>
        <v>1.6799999999999999E-2</v>
      </c>
      <c r="P25" s="2676">
        <f t="shared" si="53"/>
        <v>1.9699999999999999E-2</v>
      </c>
      <c r="Q25" s="2676">
        <f t="shared" si="53"/>
        <v>8.6999999999999994E-3</v>
      </c>
      <c r="R25" s="2664"/>
      <c r="S25" s="2665"/>
      <c r="T25" s="2666"/>
      <c r="U25" s="2666"/>
      <c r="V25" s="2666"/>
      <c r="X25" s="2666"/>
      <c r="Y25" s="2666"/>
      <c r="Z25" s="2666"/>
    </row>
    <row r="26" spans="1:34">
      <c r="A26" s="2653" t="s">
        <v>2583</v>
      </c>
      <c r="B26" s="2667">
        <f t="shared" ref="B26:C28" si="64">B25/(1+N25)</f>
        <v>293.62663262299913</v>
      </c>
      <c r="C26" s="2667">
        <f t="shared" si="64"/>
        <v>247.83634933123525</v>
      </c>
      <c r="D26" s="2667">
        <f t="shared" si="55"/>
        <v>247.83634933123525</v>
      </c>
      <c r="E26" s="2667">
        <f t="shared" ref="E26:F28" si="65">E25/(1+P25)</f>
        <v>401.09836226341076</v>
      </c>
      <c r="F26" s="2667">
        <f t="shared" si="65"/>
        <v>225.04213343908003</v>
      </c>
      <c r="G26" s="3476"/>
      <c r="H26" s="2678">
        <v>3</v>
      </c>
      <c r="I26" s="2678">
        <v>1.86</v>
      </c>
      <c r="J26" s="2678">
        <v>1.72</v>
      </c>
      <c r="K26" s="2678">
        <v>1.98</v>
      </c>
      <c r="L26" s="2679">
        <v>0.88</v>
      </c>
      <c r="N26" s="2662">
        <f t="shared" si="57"/>
        <v>1.8600000000000002E-2</v>
      </c>
      <c r="O26" s="2680">
        <f t="shared" si="53"/>
        <v>1.72E-2</v>
      </c>
      <c r="P26" s="2680">
        <f t="shared" si="53"/>
        <v>1.9799999999999998E-2</v>
      </c>
      <c r="Q26" s="2680">
        <f t="shared" si="53"/>
        <v>8.8000000000000005E-3</v>
      </c>
      <c r="R26" s="2664"/>
      <c r="S26" s="2662"/>
      <c r="T26" s="2663"/>
      <c r="U26" s="2663"/>
      <c r="V26" s="2663"/>
    </row>
    <row r="27" spans="1:34">
      <c r="A27" s="2653" t="s">
        <v>2584</v>
      </c>
      <c r="B27" s="2667">
        <f t="shared" si="64"/>
        <v>288.2649053828776</v>
      </c>
      <c r="C27" s="2667">
        <f t="shared" si="64"/>
        <v>243.64564425013293</v>
      </c>
      <c r="D27" s="2667">
        <f t="shared" si="55"/>
        <v>243.64564425013293</v>
      </c>
      <c r="E27" s="2667">
        <f t="shared" si="65"/>
        <v>393.31080825986544</v>
      </c>
      <c r="F27" s="2667">
        <f t="shared" si="65"/>
        <v>223.07903790551154</v>
      </c>
      <c r="G27" s="3476"/>
      <c r="H27" s="2658">
        <v>2</v>
      </c>
      <c r="I27" s="2658">
        <v>2.04</v>
      </c>
      <c r="J27" s="2658">
        <v>2.33</v>
      </c>
      <c r="K27" s="2658">
        <v>2.0699999999999998</v>
      </c>
      <c r="L27" s="2669">
        <v>0.69</v>
      </c>
      <c r="N27" s="2662">
        <f t="shared" si="57"/>
        <v>2.0400000000000001E-2</v>
      </c>
      <c r="O27" s="2680">
        <f t="shared" si="53"/>
        <v>2.3300000000000001E-2</v>
      </c>
      <c r="P27" s="2680">
        <f t="shared" si="53"/>
        <v>2.07E-2</v>
      </c>
      <c r="Q27" s="2680">
        <f t="shared" si="53"/>
        <v>6.8999999999999999E-3</v>
      </c>
      <c r="R27" s="2664"/>
      <c r="S27" s="2662"/>
      <c r="T27" s="2663"/>
      <c r="U27" s="2663"/>
      <c r="V27" s="2663"/>
      <c r="X27" s="2764"/>
      <c r="Y27" s="2766"/>
    </row>
    <row r="28" spans="1:34">
      <c r="A28" s="2653" t="s">
        <v>2585</v>
      </c>
      <c r="B28" s="2667">
        <f t="shared" si="64"/>
        <v>282.50186729015837</v>
      </c>
      <c r="C28" s="2667">
        <f t="shared" si="64"/>
        <v>238.09796174155468</v>
      </c>
      <c r="D28" s="2667">
        <f t="shared" si="55"/>
        <v>238.09796174155468</v>
      </c>
      <c r="E28" s="2667">
        <f t="shared" si="65"/>
        <v>385.33438646014054</v>
      </c>
      <c r="F28" s="2667">
        <f t="shared" si="65"/>
        <v>221.55034055567739</v>
      </c>
      <c r="G28" s="3477"/>
      <c r="H28" s="2657">
        <v>1</v>
      </c>
      <c r="I28" s="2657">
        <v>1.67</v>
      </c>
      <c r="J28" s="2657">
        <v>1.31</v>
      </c>
      <c r="K28" s="2657">
        <v>1.85</v>
      </c>
      <c r="L28" s="2668">
        <v>0.96</v>
      </c>
      <c r="N28" s="2670">
        <f t="shared" si="57"/>
        <v>1.67E-2</v>
      </c>
      <c r="O28" s="2671">
        <f t="shared" si="53"/>
        <v>1.3100000000000001E-2</v>
      </c>
      <c r="P28" s="2671">
        <f t="shared" si="53"/>
        <v>1.8500000000000003E-2</v>
      </c>
      <c r="Q28" s="2671">
        <f t="shared" si="53"/>
        <v>9.5999999999999992E-3</v>
      </c>
      <c r="R28" s="2664"/>
      <c r="S28" s="2670">
        <f>B28/B29-1</f>
        <v>1.6193767230785472E-2</v>
      </c>
      <c r="T28" s="2671">
        <f>C28/C29-1</f>
        <v>1.7512657015190891E-2</v>
      </c>
      <c r="U28" s="2671">
        <f>E28/E29-1</f>
        <v>1.6713420739157048E-2</v>
      </c>
      <c r="V28" s="2671">
        <f>F28/F29-1</f>
        <v>7.0470025258062563E-3</v>
      </c>
      <c r="X28" s="2765"/>
      <c r="Y28" s="2672"/>
      <c r="Z28" s="2672"/>
    </row>
    <row r="29" spans="1:34" ht="13.5" thickBot="1">
      <c r="A29" s="2653" t="s">
        <v>2586</v>
      </c>
      <c r="B29" s="2697">
        <v>278</v>
      </c>
      <c r="C29" s="2697">
        <v>234</v>
      </c>
      <c r="D29" s="2697">
        <f t="shared" si="55"/>
        <v>234</v>
      </c>
      <c r="E29" s="2697">
        <v>379</v>
      </c>
      <c r="F29" s="2698">
        <v>220</v>
      </c>
      <c r="G29" s="3468">
        <v>2012</v>
      </c>
      <c r="H29" s="2673">
        <v>4</v>
      </c>
      <c r="I29" s="2673">
        <v>0.91</v>
      </c>
      <c r="J29" s="2673">
        <v>0.68</v>
      </c>
      <c r="K29" s="2673">
        <v>0.98</v>
      </c>
      <c r="L29" s="2674">
        <v>0.9</v>
      </c>
      <c r="N29" s="2662">
        <f t="shared" si="57"/>
        <v>9.1000000000000004E-3</v>
      </c>
      <c r="O29" s="2663">
        <f t="shared" si="57"/>
        <v>6.8000000000000005E-3</v>
      </c>
      <c r="P29" s="2663">
        <f t="shared" si="57"/>
        <v>9.7999999999999997E-3</v>
      </c>
      <c r="Q29" s="2663">
        <f t="shared" si="57"/>
        <v>9.0000000000000011E-3</v>
      </c>
      <c r="R29" s="2664"/>
      <c r="S29" s="2665"/>
      <c r="T29" s="2666"/>
      <c r="U29" s="2666"/>
      <c r="V29" s="2666"/>
      <c r="X29" s="2666"/>
      <c r="Y29" s="2666"/>
      <c r="Z29" s="2666"/>
    </row>
    <row r="30" spans="1:34">
      <c r="A30" s="2653" t="s">
        <v>2587</v>
      </c>
      <c r="B30" s="2667">
        <f>B29/(1+N29)</f>
        <v>275.49301357645425</v>
      </c>
      <c r="C30" s="2667">
        <f>C29/(1+O29)</f>
        <v>232.41954707985698</v>
      </c>
      <c r="D30" s="2667">
        <f t="shared" si="55"/>
        <v>232.41954707985698</v>
      </c>
      <c r="E30" s="2667">
        <f t="shared" ref="E30:F32" si="66">E29/(1+P29)</f>
        <v>375.32184591008121</v>
      </c>
      <c r="F30" s="2667">
        <f t="shared" si="66"/>
        <v>218.03766105054513</v>
      </c>
      <c r="G30" s="3469"/>
      <c r="H30" s="2678">
        <v>3</v>
      </c>
      <c r="I30" s="2678">
        <v>0.09</v>
      </c>
      <c r="J30" s="2678">
        <v>0.28999999999999998</v>
      </c>
      <c r="K30" s="2678">
        <v>-0.01</v>
      </c>
      <c r="L30" s="2679">
        <v>0.57999999999999996</v>
      </c>
      <c r="N30" s="2662">
        <f t="shared" si="57"/>
        <v>8.9999999999999998E-4</v>
      </c>
      <c r="O30" s="2663">
        <f t="shared" si="57"/>
        <v>2.8999999999999998E-3</v>
      </c>
      <c r="P30" s="2663">
        <f t="shared" si="57"/>
        <v>-1E-4</v>
      </c>
      <c r="Q30" s="2663">
        <f t="shared" si="57"/>
        <v>5.7999999999999996E-3</v>
      </c>
      <c r="R30" s="2664"/>
      <c r="S30" s="2662"/>
      <c r="T30" s="2663"/>
      <c r="U30" s="2663"/>
      <c r="V30" s="2663"/>
    </row>
    <row r="31" spans="1:34">
      <c r="A31" s="2653" t="s">
        <v>2588</v>
      </c>
      <c r="B31" s="2667">
        <f>B30/(1+N30)</f>
        <v>275.24529281292263</v>
      </c>
      <c r="C31" s="2667">
        <f>C30/(1+O30)</f>
        <v>231.74747938962707</v>
      </c>
      <c r="D31" s="2667">
        <f t="shared" si="55"/>
        <v>231.74747938962707</v>
      </c>
      <c r="E31" s="2667">
        <f t="shared" si="66"/>
        <v>375.35938184826603</v>
      </c>
      <c r="F31" s="2667">
        <f t="shared" si="66"/>
        <v>216.78033510692495</v>
      </c>
      <c r="G31" s="3469"/>
      <c r="H31" s="2658">
        <v>2</v>
      </c>
      <c r="I31" s="2658">
        <v>0.02</v>
      </c>
      <c r="J31" s="2658">
        <v>0.12</v>
      </c>
      <c r="K31" s="2658">
        <v>-0.08</v>
      </c>
      <c r="L31" s="2669">
        <v>1.24</v>
      </c>
      <c r="N31" s="2662">
        <f t="shared" si="57"/>
        <v>2.0000000000000001E-4</v>
      </c>
      <c r="O31" s="2663">
        <f t="shared" si="57"/>
        <v>1.1999999999999999E-3</v>
      </c>
      <c r="P31" s="2663">
        <f t="shared" si="57"/>
        <v>-8.0000000000000004E-4</v>
      </c>
      <c r="Q31" s="2663">
        <f t="shared" si="57"/>
        <v>1.24E-2</v>
      </c>
      <c r="R31" s="2664"/>
      <c r="S31" s="2662"/>
      <c r="T31" s="2663"/>
      <c r="U31" s="2663"/>
      <c r="V31" s="2663"/>
    </row>
    <row r="32" spans="1:34" ht="13.5" thickBot="1">
      <c r="A32" s="2653" t="s">
        <v>2589</v>
      </c>
      <c r="B32" s="2667">
        <f>B31/(1+N31)</f>
        <v>275.19025476197027</v>
      </c>
      <c r="C32" s="2699">
        <v>232</v>
      </c>
      <c r="D32" s="2699">
        <f t="shared" si="55"/>
        <v>232</v>
      </c>
      <c r="E32" s="2667">
        <f t="shared" si="66"/>
        <v>375.65990977608692</v>
      </c>
      <c r="F32" s="2667">
        <f t="shared" si="66"/>
        <v>214.12518283971252</v>
      </c>
      <c r="G32" s="3470"/>
      <c r="H32" s="2657">
        <v>1</v>
      </c>
      <c r="I32" s="2657">
        <v>0.02</v>
      </c>
      <c r="J32" s="2657">
        <v>0.13</v>
      </c>
      <c r="K32" s="2657">
        <v>-0.04</v>
      </c>
      <c r="L32" s="2668">
        <v>0.46</v>
      </c>
      <c r="N32" s="2662">
        <f t="shared" si="57"/>
        <v>2.0000000000000001E-4</v>
      </c>
      <c r="O32" s="2663">
        <f t="shared" si="57"/>
        <v>1.2999999999999999E-3</v>
      </c>
      <c r="P32" s="2663">
        <f t="shared" si="57"/>
        <v>-4.0000000000000002E-4</v>
      </c>
      <c r="Q32" s="2663">
        <f t="shared" si="57"/>
        <v>4.5999999999999999E-3</v>
      </c>
      <c r="R32" s="2664"/>
      <c r="S32" s="2670">
        <f>B32/B33-1</f>
        <v>6.9183549807361189E-4</v>
      </c>
      <c r="T32" s="2671">
        <f>C32/C33-1</f>
        <v>0</v>
      </c>
      <c r="U32" s="2671">
        <f>E32/E33-1</f>
        <v>-9.0449527636460303E-4</v>
      </c>
      <c r="V32" s="2671">
        <f>F32/F33-1</f>
        <v>5.2825485432512753E-3</v>
      </c>
      <c r="X32" s="2672"/>
      <c r="Y32" s="2672"/>
      <c r="Z32" s="2672"/>
    </row>
    <row r="33" spans="1:26" ht="13.5" thickBot="1">
      <c r="A33" s="2653" t="s">
        <v>2590</v>
      </c>
      <c r="B33" s="2659">
        <v>275</v>
      </c>
      <c r="C33" s="2659">
        <v>232</v>
      </c>
      <c r="D33" s="2659">
        <f t="shared" si="55"/>
        <v>232</v>
      </c>
      <c r="E33" s="2659">
        <v>376</v>
      </c>
      <c r="F33" s="2660">
        <v>213</v>
      </c>
      <c r="G33" s="3468">
        <v>2011</v>
      </c>
      <c r="H33" s="2673">
        <v>4</v>
      </c>
      <c r="I33" s="2673">
        <v>-0.2</v>
      </c>
      <c r="J33" s="2673">
        <v>0.04</v>
      </c>
      <c r="K33" s="2673">
        <v>-0.34</v>
      </c>
      <c r="L33" s="2674">
        <v>0.46</v>
      </c>
      <c r="N33" s="2675">
        <f t="shared" si="57"/>
        <v>-2E-3</v>
      </c>
      <c r="O33" s="2676">
        <f t="shared" si="57"/>
        <v>4.0000000000000002E-4</v>
      </c>
      <c r="P33" s="2676">
        <f t="shared" si="57"/>
        <v>-3.4000000000000002E-3</v>
      </c>
      <c r="Q33" s="2676">
        <f t="shared" si="57"/>
        <v>4.5999999999999999E-3</v>
      </c>
      <c r="R33" s="2664"/>
      <c r="S33" s="2665"/>
      <c r="T33" s="2666"/>
      <c r="U33" s="2666"/>
      <c r="V33" s="2666"/>
      <c r="X33" s="2666"/>
      <c r="Y33" s="2666"/>
      <c r="Z33" s="2666"/>
    </row>
    <row r="34" spans="1:26">
      <c r="A34" s="2653" t="s">
        <v>2591</v>
      </c>
      <c r="B34" s="2667">
        <f t="shared" ref="B34:C36" si="67">B33/(1+N33)</f>
        <v>275.55110220440883</v>
      </c>
      <c r="C34" s="2667">
        <f t="shared" si="67"/>
        <v>231.90723710515795</v>
      </c>
      <c r="D34" s="2667">
        <f t="shared" si="55"/>
        <v>231.90723710515795</v>
      </c>
      <c r="E34" s="2667">
        <f t="shared" ref="E34:F36" si="68">E33/(1+P33)</f>
        <v>377.28276138872161</v>
      </c>
      <c r="F34" s="2667">
        <f t="shared" si="68"/>
        <v>212.02468644236512</v>
      </c>
      <c r="G34" s="3469">
        <v>2011</v>
      </c>
      <c r="H34" s="2678">
        <v>3</v>
      </c>
      <c r="I34" s="2678">
        <v>0.13</v>
      </c>
      <c r="J34" s="2678">
        <v>0.75</v>
      </c>
      <c r="K34" s="2678">
        <v>-0.08</v>
      </c>
      <c r="L34" s="2679">
        <v>0.53</v>
      </c>
      <c r="N34" s="2662">
        <f t="shared" si="57"/>
        <v>1.2999999999999999E-3</v>
      </c>
      <c r="O34" s="2680">
        <f t="shared" si="57"/>
        <v>7.4999999999999997E-3</v>
      </c>
      <c r="P34" s="2680">
        <f t="shared" si="57"/>
        <v>-8.0000000000000004E-4</v>
      </c>
      <c r="Q34" s="2680">
        <f t="shared" si="57"/>
        <v>5.3E-3</v>
      </c>
      <c r="R34" s="2664"/>
      <c r="S34" s="2662"/>
      <c r="T34" s="2663"/>
      <c r="U34" s="2663"/>
      <c r="V34" s="2663"/>
    </row>
    <row r="35" spans="1:26">
      <c r="A35" s="2653" t="s">
        <v>2592</v>
      </c>
      <c r="B35" s="2667">
        <f t="shared" si="67"/>
        <v>275.19335084830601</v>
      </c>
      <c r="C35" s="2667">
        <f t="shared" si="67"/>
        <v>230.18088050139744</v>
      </c>
      <c r="D35" s="2667">
        <f t="shared" si="55"/>
        <v>230.18088050139744</v>
      </c>
      <c r="E35" s="2667">
        <f t="shared" si="68"/>
        <v>377.58482925212331</v>
      </c>
      <c r="F35" s="2667">
        <f t="shared" si="68"/>
        <v>210.90687997847917</v>
      </c>
      <c r="G35" s="3469">
        <v>2011</v>
      </c>
      <c r="H35" s="2658">
        <v>2</v>
      </c>
      <c r="I35" s="2658">
        <v>-0.4</v>
      </c>
      <c r="J35" s="2658">
        <v>0.17</v>
      </c>
      <c r="K35" s="2658">
        <v>-0.57999999999999996</v>
      </c>
      <c r="L35" s="2669">
        <v>-0.2</v>
      </c>
      <c r="N35" s="2662">
        <f t="shared" si="57"/>
        <v>-4.0000000000000001E-3</v>
      </c>
      <c r="O35" s="2680">
        <f t="shared" si="57"/>
        <v>1.7000000000000001E-3</v>
      </c>
      <c r="P35" s="2680">
        <f t="shared" si="57"/>
        <v>-5.7999999999999996E-3</v>
      </c>
      <c r="Q35" s="2680">
        <f t="shared" si="57"/>
        <v>-2E-3</v>
      </c>
      <c r="R35" s="2664"/>
      <c r="S35" s="2662"/>
      <c r="T35" s="2663"/>
      <c r="U35" s="2663"/>
      <c r="V35" s="2663"/>
    </row>
    <row r="36" spans="1:26" ht="13.5" thickBot="1">
      <c r="A36" s="2653" t="s">
        <v>2593</v>
      </c>
      <c r="B36" s="2667">
        <f t="shared" si="67"/>
        <v>276.29854502841971</v>
      </c>
      <c r="C36" s="2667">
        <f t="shared" si="67"/>
        <v>229.79023709833027</v>
      </c>
      <c r="D36" s="2667">
        <f t="shared" si="55"/>
        <v>229.79023709833027</v>
      </c>
      <c r="E36" s="2667">
        <f t="shared" si="68"/>
        <v>379.78759731655936</v>
      </c>
      <c r="F36" s="2667">
        <f t="shared" si="68"/>
        <v>211.32953905659235</v>
      </c>
      <c r="G36" s="3470">
        <v>2011</v>
      </c>
      <c r="H36" s="2657">
        <v>1</v>
      </c>
      <c r="I36" s="2657">
        <v>2.65</v>
      </c>
      <c r="J36" s="2657">
        <v>3.76</v>
      </c>
      <c r="K36" s="2657">
        <v>1.89</v>
      </c>
      <c r="L36" s="2668">
        <v>7.95</v>
      </c>
      <c r="N36" s="2670">
        <f t="shared" si="57"/>
        <v>2.6499999999999999E-2</v>
      </c>
      <c r="O36" s="2671">
        <f t="shared" si="57"/>
        <v>3.7599999999999995E-2</v>
      </c>
      <c r="P36" s="2671">
        <f t="shared" si="57"/>
        <v>1.89E-2</v>
      </c>
      <c r="Q36" s="2671">
        <f t="shared" si="57"/>
        <v>7.9500000000000001E-2</v>
      </c>
      <c r="R36" s="2664"/>
      <c r="S36" s="2670">
        <f>B36/B37-1</f>
        <v>2.713213765211786E-2</v>
      </c>
      <c r="T36" s="2671">
        <f>C36/C37-1</f>
        <v>3.9774828499231862E-2</v>
      </c>
      <c r="U36" s="2671">
        <f>E36/E37-1</f>
        <v>1.8197311840641772E-2</v>
      </c>
      <c r="V36" s="2671">
        <f>F36/F37-1</f>
        <v>7.8211933962205826E-2</v>
      </c>
      <c r="X36" s="2672"/>
      <c r="Y36" s="2672"/>
      <c r="Z36" s="2672"/>
    </row>
    <row r="37" spans="1:26" ht="13.5" thickBot="1">
      <c r="A37" s="2653" t="s">
        <v>2594</v>
      </c>
      <c r="B37" s="2659">
        <v>269</v>
      </c>
      <c r="C37" s="2659">
        <v>221</v>
      </c>
      <c r="D37" s="2659">
        <f t="shared" si="55"/>
        <v>221</v>
      </c>
      <c r="E37" s="2659">
        <v>373</v>
      </c>
      <c r="F37" s="2660">
        <v>196</v>
      </c>
      <c r="G37" s="3468">
        <v>2010</v>
      </c>
      <c r="H37" s="2673">
        <v>4</v>
      </c>
      <c r="I37" s="2673">
        <v>5.72</v>
      </c>
      <c r="J37" s="2673">
        <v>6.57</v>
      </c>
      <c r="K37" s="2673">
        <v>5.72</v>
      </c>
      <c r="L37" s="2674">
        <v>2.72</v>
      </c>
      <c r="N37" s="2662">
        <f t="shared" si="57"/>
        <v>5.7200000000000001E-2</v>
      </c>
      <c r="O37" s="2663">
        <f t="shared" si="57"/>
        <v>6.5700000000000008E-2</v>
      </c>
      <c r="P37" s="2663">
        <f t="shared" si="57"/>
        <v>5.7200000000000001E-2</v>
      </c>
      <c r="Q37" s="2663">
        <f t="shared" si="57"/>
        <v>2.7200000000000002E-2</v>
      </c>
      <c r="R37" s="2664"/>
      <c r="S37" s="2665"/>
      <c r="T37" s="2666"/>
      <c r="U37" s="2666"/>
      <c r="V37" s="2666"/>
      <c r="X37" s="2666"/>
      <c r="Y37" s="2666"/>
      <c r="Z37" s="2666"/>
    </row>
    <row r="38" spans="1:26">
      <c r="A38" s="2653" t="s">
        <v>2595</v>
      </c>
      <c r="B38" s="2667">
        <f t="shared" ref="B38:C40" si="69">B37/(1+N37)</f>
        <v>254.44570563753314</v>
      </c>
      <c r="C38" s="2667">
        <f t="shared" si="69"/>
        <v>207.37543398705074</v>
      </c>
      <c r="D38" s="2667">
        <f t="shared" si="55"/>
        <v>207.37543398705074</v>
      </c>
      <c r="E38" s="2667">
        <f t="shared" ref="E38:F40" si="70">E37/(1+P37)</f>
        <v>352.81876655315932</v>
      </c>
      <c r="F38" s="2667">
        <f t="shared" si="70"/>
        <v>190.809968847352</v>
      </c>
      <c r="G38" s="3469">
        <v>2010</v>
      </c>
      <c r="H38" s="2678">
        <v>3</v>
      </c>
      <c r="I38" s="2678">
        <v>4.7300000000000004</v>
      </c>
      <c r="J38" s="2678">
        <v>3.9</v>
      </c>
      <c r="K38" s="2678">
        <v>5.03</v>
      </c>
      <c r="L38" s="2679">
        <v>4.21</v>
      </c>
      <c r="N38" s="2662">
        <f t="shared" si="57"/>
        <v>4.7300000000000002E-2</v>
      </c>
      <c r="O38" s="2663">
        <f t="shared" si="57"/>
        <v>3.9E-2</v>
      </c>
      <c r="P38" s="2663">
        <f t="shared" si="57"/>
        <v>5.0300000000000004E-2</v>
      </c>
      <c r="Q38" s="2663">
        <f t="shared" si="57"/>
        <v>4.2099999999999999E-2</v>
      </c>
      <c r="R38" s="2664"/>
      <c r="S38" s="2662"/>
      <c r="T38" s="2663"/>
      <c r="U38" s="2663"/>
      <c r="V38" s="2663"/>
    </row>
    <row r="39" spans="1:26">
      <c r="A39" s="2653" t="s">
        <v>2596</v>
      </c>
      <c r="B39" s="2667">
        <f t="shared" si="69"/>
        <v>242.95398227588385</v>
      </c>
      <c r="C39" s="2667">
        <f t="shared" si="69"/>
        <v>199.59137053614126</v>
      </c>
      <c r="D39" s="2667">
        <f t="shared" si="55"/>
        <v>199.59137053614126</v>
      </c>
      <c r="E39" s="2667">
        <f t="shared" si="70"/>
        <v>335.92189522342125</v>
      </c>
      <c r="F39" s="2667">
        <f t="shared" si="70"/>
        <v>183.10139991109489</v>
      </c>
      <c r="G39" s="3469">
        <v>2010</v>
      </c>
      <c r="H39" s="2658">
        <v>2</v>
      </c>
      <c r="I39" s="2658">
        <v>4.6900000000000004</v>
      </c>
      <c r="J39" s="2658">
        <v>3.55</v>
      </c>
      <c r="K39" s="2658">
        <v>5.07</v>
      </c>
      <c r="L39" s="2669">
        <v>4.2300000000000004</v>
      </c>
      <c r="N39" s="2662">
        <f t="shared" si="57"/>
        <v>4.6900000000000004E-2</v>
      </c>
      <c r="O39" s="2663">
        <f t="shared" si="57"/>
        <v>3.5499999999999997E-2</v>
      </c>
      <c r="P39" s="2663">
        <f t="shared" si="57"/>
        <v>5.0700000000000002E-2</v>
      </c>
      <c r="Q39" s="2663">
        <f t="shared" si="57"/>
        <v>4.2300000000000004E-2</v>
      </c>
      <c r="R39" s="2664"/>
      <c r="S39" s="2662"/>
      <c r="T39" s="2663"/>
      <c r="U39" s="2663"/>
      <c r="V39" s="2663"/>
    </row>
    <row r="40" spans="1:26" ht="13.5" thickBot="1">
      <c r="A40" s="2653" t="s">
        <v>2597</v>
      </c>
      <c r="B40" s="2667">
        <f t="shared" si="69"/>
        <v>232.06990378821649</v>
      </c>
      <c r="C40" s="2667">
        <f t="shared" si="69"/>
        <v>192.74878854286936</v>
      </c>
      <c r="D40" s="2667">
        <f t="shared" si="55"/>
        <v>192.74878854286936</v>
      </c>
      <c r="E40" s="2667">
        <f t="shared" si="70"/>
        <v>319.71247284992984</v>
      </c>
      <c r="F40" s="2667">
        <f t="shared" si="70"/>
        <v>175.67053622862409</v>
      </c>
      <c r="G40" s="3470">
        <v>2010</v>
      </c>
      <c r="H40" s="2657">
        <v>1</v>
      </c>
      <c r="I40" s="2657">
        <v>5.4</v>
      </c>
      <c r="J40" s="2657">
        <v>3.2</v>
      </c>
      <c r="K40" s="2657">
        <v>6.16</v>
      </c>
      <c r="L40" s="2668">
        <v>4.51</v>
      </c>
      <c r="N40" s="2662">
        <f t="shared" si="57"/>
        <v>5.4000000000000006E-2</v>
      </c>
      <c r="O40" s="2663">
        <f t="shared" si="57"/>
        <v>3.2000000000000001E-2</v>
      </c>
      <c r="P40" s="2663">
        <f t="shared" si="57"/>
        <v>6.1600000000000002E-2</v>
      </c>
      <c r="Q40" s="2663">
        <f t="shared" si="57"/>
        <v>4.5100000000000001E-2</v>
      </c>
      <c r="R40" s="2664"/>
      <c r="S40" s="2670">
        <f>B40/B41-1</f>
        <v>5.4863199037347599E-2</v>
      </c>
      <c r="T40" s="2671">
        <f>C40/C41-1</f>
        <v>3.0742184721226584E-2</v>
      </c>
      <c r="U40" s="2671">
        <f>E40/E41-1</f>
        <v>6.2167683886810154E-2</v>
      </c>
      <c r="V40" s="2671">
        <f>F40/F41-1</f>
        <v>4.5657953741810031E-2</v>
      </c>
      <c r="X40" s="2672"/>
      <c r="Y40" s="2672"/>
      <c r="Z40" s="2672"/>
    </row>
    <row r="41" spans="1:26" ht="13.5" thickBot="1">
      <c r="A41" s="2653" t="s">
        <v>2598</v>
      </c>
      <c r="B41" s="2659">
        <v>220</v>
      </c>
      <c r="C41" s="2659">
        <v>187</v>
      </c>
      <c r="D41" s="2659">
        <f t="shared" si="55"/>
        <v>187</v>
      </c>
      <c r="E41" s="2659">
        <v>301</v>
      </c>
      <c r="F41" s="2660">
        <v>168</v>
      </c>
      <c r="G41" s="3468">
        <v>2009</v>
      </c>
      <c r="H41" s="2673">
        <v>4</v>
      </c>
      <c r="I41" s="2673">
        <v>2.2999999999999998</v>
      </c>
      <c r="J41" s="2673">
        <v>1.04</v>
      </c>
      <c r="K41" s="2673">
        <v>2.84</v>
      </c>
      <c r="L41" s="2674">
        <v>0.67</v>
      </c>
      <c r="N41" s="2675">
        <f t="shared" si="57"/>
        <v>2.3E-2</v>
      </c>
      <c r="O41" s="2676">
        <f t="shared" si="57"/>
        <v>1.04E-2</v>
      </c>
      <c r="P41" s="2676">
        <f t="shared" si="57"/>
        <v>2.8399999999999998E-2</v>
      </c>
      <c r="Q41" s="2676">
        <f t="shared" si="57"/>
        <v>6.7000000000000002E-3</v>
      </c>
      <c r="R41" s="2664"/>
      <c r="S41" s="2665"/>
      <c r="T41" s="2666"/>
      <c r="U41" s="2666"/>
      <c r="V41" s="2666"/>
      <c r="X41" s="2666"/>
      <c r="Y41" s="2666"/>
      <c r="Z41" s="2666"/>
    </row>
    <row r="42" spans="1:26">
      <c r="A42" s="2653" t="s">
        <v>2599</v>
      </c>
      <c r="B42" s="2667">
        <f t="shared" ref="B42:C44" si="71">B41/(1+N41)</f>
        <v>215.05376344086022</v>
      </c>
      <c r="C42" s="2667">
        <f t="shared" si="71"/>
        <v>185.0752177355503</v>
      </c>
      <c r="D42" s="2667">
        <f t="shared" si="55"/>
        <v>185.0752177355503</v>
      </c>
      <c r="E42" s="2667">
        <f t="shared" ref="E42:F44" si="72">E41/(1+P41)</f>
        <v>292.68767016725008</v>
      </c>
      <c r="F42" s="2667">
        <f t="shared" si="72"/>
        <v>166.88189132810174</v>
      </c>
      <c r="G42" s="3469">
        <v>2009</v>
      </c>
      <c r="H42" s="2678">
        <v>3</v>
      </c>
      <c r="I42" s="2678">
        <v>2.1</v>
      </c>
      <c r="J42" s="2678">
        <v>1.86</v>
      </c>
      <c r="K42" s="2678">
        <v>2.29</v>
      </c>
      <c r="L42" s="2679">
        <v>0.85</v>
      </c>
      <c r="N42" s="2662">
        <f t="shared" si="57"/>
        <v>2.1000000000000001E-2</v>
      </c>
      <c r="O42" s="2680">
        <f t="shared" si="57"/>
        <v>1.8600000000000002E-2</v>
      </c>
      <c r="P42" s="2680">
        <f t="shared" si="57"/>
        <v>2.29E-2</v>
      </c>
      <c r="Q42" s="2680">
        <f t="shared" si="57"/>
        <v>8.5000000000000006E-3</v>
      </c>
      <c r="R42" s="2664"/>
      <c r="S42" s="2662"/>
      <c r="T42" s="2663"/>
      <c r="U42" s="2663"/>
      <c r="V42" s="2663"/>
    </row>
    <row r="43" spans="1:26">
      <c r="A43" s="2653" t="s">
        <v>2600</v>
      </c>
      <c r="B43" s="2667">
        <f t="shared" si="71"/>
        <v>210.630522469011</v>
      </c>
      <c r="C43" s="2667">
        <f t="shared" si="71"/>
        <v>181.69567812247232</v>
      </c>
      <c r="D43" s="2667">
        <f t="shared" si="55"/>
        <v>181.69567812247232</v>
      </c>
      <c r="E43" s="2667">
        <f t="shared" si="72"/>
        <v>286.13517466736738</v>
      </c>
      <c r="F43" s="2667">
        <f t="shared" si="72"/>
        <v>165.47535084591149</v>
      </c>
      <c r="G43" s="3469">
        <v>2009</v>
      </c>
      <c r="H43" s="2658">
        <v>2</v>
      </c>
      <c r="I43" s="2658">
        <v>0.86</v>
      </c>
      <c r="J43" s="2658">
        <v>-1.1299999999999999</v>
      </c>
      <c r="K43" s="2658">
        <v>1.79</v>
      </c>
      <c r="L43" s="2669">
        <v>-2.0699999999999998</v>
      </c>
      <c r="N43" s="2662">
        <f t="shared" si="57"/>
        <v>8.6E-3</v>
      </c>
      <c r="O43" s="2680">
        <f t="shared" si="57"/>
        <v>-1.1299999999999999E-2</v>
      </c>
      <c r="P43" s="2680">
        <f t="shared" si="57"/>
        <v>1.7899999999999999E-2</v>
      </c>
      <c r="Q43" s="2680">
        <f t="shared" si="57"/>
        <v>-2.07E-2</v>
      </c>
      <c r="R43" s="2664"/>
      <c r="S43" s="2662"/>
      <c r="T43" s="2663"/>
      <c r="U43" s="2663"/>
      <c r="V43" s="2663"/>
    </row>
    <row r="44" spans="1:26">
      <c r="A44" s="2653" t="s">
        <v>2601</v>
      </c>
      <c r="B44" s="2667">
        <f t="shared" si="71"/>
        <v>208.83454537875372</v>
      </c>
      <c r="C44" s="2667">
        <f t="shared" si="71"/>
        <v>183.77230517090351</v>
      </c>
      <c r="D44" s="2667">
        <f t="shared" si="55"/>
        <v>183.77230517090351</v>
      </c>
      <c r="E44" s="2667">
        <f t="shared" si="72"/>
        <v>281.10342338870947</v>
      </c>
      <c r="F44" s="2667">
        <f t="shared" si="72"/>
        <v>168.97309388942256</v>
      </c>
      <c r="G44" s="3470">
        <v>2009</v>
      </c>
      <c r="H44" s="2657">
        <v>1</v>
      </c>
      <c r="I44" s="2657">
        <v>-2.64</v>
      </c>
      <c r="J44" s="2657">
        <v>-2.5299999999999998</v>
      </c>
      <c r="K44" s="2657">
        <v>-3.02</v>
      </c>
      <c r="L44" s="2668">
        <v>1.52</v>
      </c>
      <c r="N44" s="2670">
        <f t="shared" si="57"/>
        <v>-2.64E-2</v>
      </c>
      <c r="O44" s="2671">
        <f t="shared" si="57"/>
        <v>-2.53E-2</v>
      </c>
      <c r="P44" s="2671">
        <f t="shared" si="57"/>
        <v>-3.0200000000000001E-2</v>
      </c>
      <c r="Q44" s="2671">
        <f t="shared" si="57"/>
        <v>1.52E-2</v>
      </c>
      <c r="R44" s="2664"/>
      <c r="S44" s="2670">
        <f>B44/B45-1</f>
        <v>-2.4137638417038754E-2</v>
      </c>
      <c r="T44" s="2671">
        <f>C44/C45-1</f>
        <v>-2.248773845264096E-2</v>
      </c>
      <c r="U44" s="2671">
        <f>E44/E45-1</f>
        <v>-2.7323794502735366E-2</v>
      </c>
      <c r="V44" s="2671">
        <f>F44/F45-1</f>
        <v>1.7910204153148035E-2</v>
      </c>
      <c r="X44" s="2672"/>
      <c r="Y44" s="2672"/>
      <c r="Z44" s="2672"/>
    </row>
    <row r="45" spans="1:26" ht="13.5" thickBot="1">
      <c r="A45" s="2653" t="s">
        <v>2602</v>
      </c>
      <c r="B45" s="2697">
        <v>214</v>
      </c>
      <c r="C45" s="2697">
        <v>188</v>
      </c>
      <c r="D45" s="2697">
        <f t="shared" si="55"/>
        <v>188</v>
      </c>
      <c r="E45" s="2697">
        <v>289</v>
      </c>
      <c r="F45" s="2698">
        <v>166</v>
      </c>
      <c r="G45" s="3468">
        <v>2008</v>
      </c>
      <c r="H45" s="2673">
        <v>4</v>
      </c>
      <c r="I45" s="2673">
        <v>1.73</v>
      </c>
      <c r="J45" s="2673">
        <v>0.03</v>
      </c>
      <c r="K45" s="2673">
        <v>2.59</v>
      </c>
      <c r="L45" s="2674">
        <v>-1.66</v>
      </c>
      <c r="N45" s="2662">
        <f t="shared" si="57"/>
        <v>1.7299999999999999E-2</v>
      </c>
      <c r="O45" s="2663">
        <f t="shared" si="57"/>
        <v>2.9999999999999997E-4</v>
      </c>
      <c r="P45" s="2663">
        <f t="shared" si="57"/>
        <v>2.5899999999999999E-2</v>
      </c>
      <c r="Q45" s="2663">
        <f t="shared" si="57"/>
        <v>-1.66E-2</v>
      </c>
      <c r="R45" s="2664"/>
      <c r="S45" s="2665"/>
      <c r="T45" s="2666"/>
      <c r="U45" s="2666"/>
      <c r="V45" s="2666"/>
      <c r="X45" s="2666"/>
      <c r="Y45" s="2666"/>
      <c r="Z45" s="2666"/>
    </row>
    <row r="46" spans="1:26">
      <c r="A46" s="2653" t="s">
        <v>2603</v>
      </c>
      <c r="B46" s="2667">
        <f t="shared" ref="B46:C48" si="73">B45/(1+N45)</f>
        <v>210.36075887152265</v>
      </c>
      <c r="C46" s="2667">
        <f t="shared" si="73"/>
        <v>187.94361691492554</v>
      </c>
      <c r="D46" s="2667">
        <f t="shared" si="55"/>
        <v>187.94361691492554</v>
      </c>
      <c r="E46" s="2667">
        <f t="shared" ref="E46:F48" si="74">E45/(1+P45)</f>
        <v>281.70386977288234</v>
      </c>
      <c r="F46" s="2667">
        <f t="shared" si="74"/>
        <v>168.80211511083994</v>
      </c>
      <c r="G46" s="3469">
        <v>2008</v>
      </c>
      <c r="H46" s="2678">
        <v>3</v>
      </c>
      <c r="I46" s="2678">
        <v>1.96</v>
      </c>
      <c r="J46" s="2678">
        <v>2.36</v>
      </c>
      <c r="K46" s="2678">
        <v>1.82</v>
      </c>
      <c r="L46" s="2679">
        <v>2.2200000000000002</v>
      </c>
      <c r="N46" s="2662">
        <f t="shared" si="57"/>
        <v>1.9599999999999999E-2</v>
      </c>
      <c r="O46" s="2663">
        <f t="shared" si="57"/>
        <v>2.3599999999999999E-2</v>
      </c>
      <c r="P46" s="2663">
        <f t="shared" si="57"/>
        <v>1.8200000000000001E-2</v>
      </c>
      <c r="Q46" s="2663">
        <f t="shared" si="57"/>
        <v>2.2200000000000001E-2</v>
      </c>
      <c r="R46" s="2664"/>
      <c r="S46" s="2662"/>
      <c r="T46" s="2663"/>
      <c r="U46" s="2663"/>
      <c r="V46" s="2663"/>
    </row>
    <row r="47" spans="1:26">
      <c r="A47" s="2653" t="s">
        <v>2604</v>
      </c>
      <c r="B47" s="2667">
        <f t="shared" si="73"/>
        <v>206.31694671589116</v>
      </c>
      <c r="C47" s="2667">
        <f t="shared" si="73"/>
        <v>183.61041121036101</v>
      </c>
      <c r="D47" s="2667">
        <f t="shared" si="55"/>
        <v>183.61041121036101</v>
      </c>
      <c r="E47" s="2667">
        <f t="shared" si="74"/>
        <v>276.66850301795557</v>
      </c>
      <c r="F47" s="2667">
        <f t="shared" si="74"/>
        <v>165.1360938278614</v>
      </c>
      <c r="G47" s="3469">
        <v>2008</v>
      </c>
      <c r="H47" s="2658">
        <v>2</v>
      </c>
      <c r="I47" s="2658">
        <v>4.93</v>
      </c>
      <c r="J47" s="2658">
        <v>7.38</v>
      </c>
      <c r="K47" s="2658">
        <v>3.98</v>
      </c>
      <c r="L47" s="2669">
        <v>6.86</v>
      </c>
      <c r="N47" s="2662">
        <f t="shared" si="57"/>
        <v>4.9299999999999997E-2</v>
      </c>
      <c r="O47" s="2663">
        <f t="shared" si="57"/>
        <v>7.3800000000000004E-2</v>
      </c>
      <c r="P47" s="2663">
        <f t="shared" si="57"/>
        <v>3.9800000000000002E-2</v>
      </c>
      <c r="Q47" s="2663">
        <f t="shared" si="57"/>
        <v>6.8600000000000008E-2</v>
      </c>
      <c r="R47" s="2664"/>
      <c r="S47" s="2662"/>
      <c r="T47" s="2663"/>
      <c r="U47" s="2663"/>
      <c r="V47" s="2663"/>
    </row>
    <row r="48" spans="1:26" s="2703" customFormat="1" ht="13.5" thickBot="1">
      <c r="A48" s="2653" t="s">
        <v>2605</v>
      </c>
      <c r="B48" s="2700">
        <f t="shared" si="73"/>
        <v>196.62341248059772</v>
      </c>
      <c r="C48" s="2700">
        <f t="shared" si="73"/>
        <v>170.99125648199012</v>
      </c>
      <c r="D48" s="2700">
        <f t="shared" si="55"/>
        <v>170.99125648199012</v>
      </c>
      <c r="E48" s="2700">
        <f t="shared" si="74"/>
        <v>266.07857570490052</v>
      </c>
      <c r="F48" s="2700">
        <f t="shared" si="74"/>
        <v>154.53499328828505</v>
      </c>
      <c r="G48" s="3470">
        <v>2008</v>
      </c>
      <c r="H48" s="2701">
        <v>1</v>
      </c>
      <c r="I48" s="2701">
        <v>4.1399999999999997</v>
      </c>
      <c r="J48" s="2701">
        <v>3.45</v>
      </c>
      <c r="K48" s="2701">
        <v>4.95</v>
      </c>
      <c r="L48" s="2702">
        <v>4.82</v>
      </c>
      <c r="N48" s="2704">
        <f t="shared" si="57"/>
        <v>4.1399999999999999E-2</v>
      </c>
      <c r="O48" s="2705">
        <f t="shared" si="57"/>
        <v>3.4500000000000003E-2</v>
      </c>
      <c r="P48" s="2705">
        <f t="shared" si="57"/>
        <v>4.9500000000000002E-2</v>
      </c>
      <c r="Q48" s="2705">
        <f t="shared" si="57"/>
        <v>4.82E-2</v>
      </c>
      <c r="R48" s="2706"/>
      <c r="S48" s="2704">
        <f>B48/B49-1</f>
        <v>4.5869215322328349E-2</v>
      </c>
      <c r="T48" s="2705">
        <f>C48/C49-1</f>
        <v>3.6310645345394743E-2</v>
      </c>
      <c r="U48" s="2705">
        <f>E48/E49-1</f>
        <v>4.7553447657088688E-2</v>
      </c>
      <c r="V48" s="2705">
        <f>F48/F49-1</f>
        <v>4.4155360055980086E-2</v>
      </c>
      <c r="X48" s="2707"/>
      <c r="Y48" s="2707"/>
      <c r="Z48" s="2707"/>
    </row>
    <row r="49" spans="1:26" ht="13.5" thickBot="1">
      <c r="A49" s="2653" t="s">
        <v>2606</v>
      </c>
      <c r="B49" s="2659">
        <v>188</v>
      </c>
      <c r="C49" s="2659">
        <v>165</v>
      </c>
      <c r="D49" s="2659">
        <f t="shared" si="55"/>
        <v>165</v>
      </c>
      <c r="E49" s="2659">
        <v>254</v>
      </c>
      <c r="F49" s="2660">
        <v>148</v>
      </c>
      <c r="G49" s="3468">
        <v>2007</v>
      </c>
      <c r="H49" s="2708">
        <v>4</v>
      </c>
      <c r="I49" s="2708">
        <v>5.51</v>
      </c>
      <c r="J49" s="2708">
        <v>4.8899999999999997</v>
      </c>
      <c r="K49" s="2708">
        <v>6.43</v>
      </c>
      <c r="L49" s="2709">
        <v>5.36</v>
      </c>
      <c r="N49" s="2710">
        <f t="shared" ref="N49:O52" si="75">B49/B50-1</f>
        <v>4.1339718365245526E-2</v>
      </c>
      <c r="O49" s="2711">
        <f t="shared" si="75"/>
        <v>4.0324492593776018E-2</v>
      </c>
      <c r="P49" s="2711">
        <f t="shared" ref="P49:Q52" si="76">E49/E50-1</f>
        <v>6.1625555347990968E-2</v>
      </c>
      <c r="Q49" s="2711">
        <f t="shared" si="76"/>
        <v>4.6757569250590603E-2</v>
      </c>
      <c r="R49" s="2664"/>
      <c r="S49" s="2665"/>
      <c r="T49" s="2666"/>
      <c r="U49" s="2666"/>
      <c r="V49" s="2666"/>
      <c r="X49" s="2666"/>
      <c r="Y49" s="2666"/>
      <c r="Z49" s="2666"/>
    </row>
    <row r="50" spans="1:26">
      <c r="A50" s="2653" t="s">
        <v>2607</v>
      </c>
      <c r="B50" s="2667">
        <f t="shared" ref="B50:C52" si="77">B51+(B$49-B$53)*I50/SUM(I$49:I$52)</f>
        <v>180.5366651097618</v>
      </c>
      <c r="C50" s="2667">
        <f t="shared" si="77"/>
        <v>158.60435967302453</v>
      </c>
      <c r="D50" s="2667">
        <f t="shared" si="55"/>
        <v>158.60435967302453</v>
      </c>
      <c r="E50" s="2667">
        <f t="shared" ref="E50:F52" si="78">E51+(E$49-E$53)*K50/SUM(K$49:K$52)</f>
        <v>239.25573260785075</v>
      </c>
      <c r="F50" s="2667">
        <f t="shared" si="78"/>
        <v>141.38899430740037</v>
      </c>
      <c r="G50" s="3469">
        <v>2007</v>
      </c>
      <c r="H50" s="2678">
        <v>3</v>
      </c>
      <c r="I50" s="2678">
        <v>8.65</v>
      </c>
      <c r="J50" s="2678">
        <v>8.06</v>
      </c>
      <c r="K50" s="2678">
        <v>9.94</v>
      </c>
      <c r="L50" s="2679">
        <v>5.8</v>
      </c>
      <c r="N50" s="2710">
        <f t="shared" si="75"/>
        <v>6.940217571740015E-2</v>
      </c>
      <c r="O50" s="2711">
        <f t="shared" si="75"/>
        <v>7.1197482471153428E-2</v>
      </c>
      <c r="P50" s="2711">
        <f t="shared" si="76"/>
        <v>0.10529679922579582</v>
      </c>
      <c r="Q50" s="2711">
        <f t="shared" si="76"/>
        <v>5.3292245059512133E-2</v>
      </c>
      <c r="R50" s="2664"/>
      <c r="S50" s="2662"/>
      <c r="T50" s="2663"/>
      <c r="U50" s="2663"/>
      <c r="V50" s="2663"/>
      <c r="X50" s="2712"/>
      <c r="Y50" s="2712"/>
      <c r="Z50" s="2712"/>
    </row>
    <row r="51" spans="1:26">
      <c r="A51" s="2653" t="s">
        <v>2608</v>
      </c>
      <c r="B51" s="2667">
        <f t="shared" si="77"/>
        <v>168.82017748715555</v>
      </c>
      <c r="C51" s="2667">
        <f t="shared" si="77"/>
        <v>148.06267029972753</v>
      </c>
      <c r="D51" s="2667">
        <f t="shared" si="55"/>
        <v>148.06267029972753</v>
      </c>
      <c r="E51" s="2667">
        <f t="shared" si="78"/>
        <v>216.46288379323747</v>
      </c>
      <c r="F51" s="2667">
        <f t="shared" si="78"/>
        <v>134.23529411764704</v>
      </c>
      <c r="G51" s="3469">
        <v>2007</v>
      </c>
      <c r="H51" s="2658">
        <v>2</v>
      </c>
      <c r="I51" s="2658">
        <v>3.67</v>
      </c>
      <c r="J51" s="2658">
        <v>2.3199999999999998</v>
      </c>
      <c r="K51" s="2658">
        <v>5.0199999999999996</v>
      </c>
      <c r="L51" s="2669">
        <v>6.71</v>
      </c>
      <c r="N51" s="2710">
        <f t="shared" si="75"/>
        <v>3.0339138143848032E-2</v>
      </c>
      <c r="O51" s="2711">
        <f t="shared" si="75"/>
        <v>2.0922341588790472E-2</v>
      </c>
      <c r="P51" s="2711">
        <f t="shared" si="76"/>
        <v>5.6164796592717003E-2</v>
      </c>
      <c r="Q51" s="2711">
        <f t="shared" si="76"/>
        <v>6.5704536723887319E-2</v>
      </c>
      <c r="R51" s="2664"/>
      <c r="S51" s="2662"/>
      <c r="T51" s="2663"/>
      <c r="U51" s="2663"/>
      <c r="V51" s="2663"/>
      <c r="X51" s="2712"/>
      <c r="Y51" s="2712"/>
      <c r="Z51" s="2712"/>
    </row>
    <row r="52" spans="1:26">
      <c r="A52" s="2653" t="s">
        <v>2609</v>
      </c>
      <c r="B52" s="2667">
        <f t="shared" si="77"/>
        <v>163.84913591779542</v>
      </c>
      <c r="C52" s="2667">
        <f t="shared" si="77"/>
        <v>145.0283378746594</v>
      </c>
      <c r="D52" s="2667">
        <f t="shared" si="55"/>
        <v>145.0283378746594</v>
      </c>
      <c r="E52" s="2667">
        <f t="shared" si="78"/>
        <v>204.95180722891567</v>
      </c>
      <c r="F52" s="2667">
        <f t="shared" si="78"/>
        <v>125.95920303605313</v>
      </c>
      <c r="G52" s="3470">
        <v>2007</v>
      </c>
      <c r="H52" s="2657">
        <v>1</v>
      </c>
      <c r="I52" s="2657">
        <v>3.58</v>
      </c>
      <c r="J52" s="2657">
        <v>3.08</v>
      </c>
      <c r="K52" s="2657">
        <v>4.34</v>
      </c>
      <c r="L52" s="2668">
        <v>3.21</v>
      </c>
      <c r="N52" s="2713">
        <f t="shared" si="75"/>
        <v>3.0497710174814063E-2</v>
      </c>
      <c r="O52" s="2714">
        <f t="shared" si="75"/>
        <v>2.8569772160704998E-2</v>
      </c>
      <c r="P52" s="2714">
        <f t="shared" si="76"/>
        <v>5.1034908866234296E-2</v>
      </c>
      <c r="Q52" s="2714">
        <f t="shared" si="76"/>
        <v>3.245248390207478E-2</v>
      </c>
      <c r="R52" s="2664"/>
      <c r="S52" s="2670">
        <f>B52/B53-1</f>
        <v>3.0497710174814063E-2</v>
      </c>
      <c r="T52" s="2671">
        <f>C52/C53-1</f>
        <v>2.8569772160704998E-2</v>
      </c>
      <c r="U52" s="2671">
        <f>E52/E53-1</f>
        <v>5.1034908866234296E-2</v>
      </c>
      <c r="V52" s="2671">
        <f>F52/F53-1</f>
        <v>3.245248390207478E-2</v>
      </c>
      <c r="X52" s="2712"/>
      <c r="Y52" s="2712"/>
      <c r="Z52" s="2712"/>
    </row>
    <row r="53" spans="1:26" ht="13.5" thickBot="1">
      <c r="A53" s="2653" t="s">
        <v>2610</v>
      </c>
      <c r="B53" s="2681">
        <v>159</v>
      </c>
      <c r="C53" s="2681">
        <v>141</v>
      </c>
      <c r="D53" s="2681">
        <f t="shared" si="55"/>
        <v>141</v>
      </c>
      <c r="E53" s="2681">
        <v>195</v>
      </c>
      <c r="F53" s="2682">
        <v>122</v>
      </c>
      <c r="G53" s="3468">
        <v>2006</v>
      </c>
      <c r="H53" s="2673">
        <v>4</v>
      </c>
      <c r="I53" s="2673">
        <v>3.79</v>
      </c>
      <c r="J53" s="2673">
        <v>2.21</v>
      </c>
      <c r="K53" s="2673">
        <v>5.65</v>
      </c>
      <c r="L53" s="2674">
        <v>5.41</v>
      </c>
      <c r="N53" s="2710">
        <f t="shared" ref="N53:O56" si="79">I53/SUM(I$53:I$56)*(B$53/B$57-1)</f>
        <v>7.245466462748526E-2</v>
      </c>
      <c r="O53" s="2711">
        <f t="shared" si="79"/>
        <v>2.3237230038062766E-2</v>
      </c>
      <c r="P53" s="2711">
        <f t="shared" ref="P53:Q56" si="80">K53/SUM(K$53:K$56)*(E$53/E$57-1)</f>
        <v>0.16146893866323722</v>
      </c>
      <c r="Q53" s="2711">
        <f t="shared" si="80"/>
        <v>5.0755230321793784E-2</v>
      </c>
      <c r="R53" s="2664"/>
      <c r="S53" s="2665"/>
      <c r="T53" s="2666"/>
      <c r="U53" s="2666"/>
      <c r="V53" s="2666"/>
      <c r="X53" s="2712"/>
      <c r="Y53" s="2712"/>
      <c r="Z53" s="2712"/>
    </row>
    <row r="54" spans="1:26">
      <c r="A54" s="2653" t="s">
        <v>2611</v>
      </c>
      <c r="B54" s="2667">
        <f t="shared" ref="B54:C56" si="81">B55+(B$53-B$57)*I54/SUM(I$53:I$56)</f>
        <v>149.00125628140702</v>
      </c>
      <c r="C54" s="2667">
        <f t="shared" si="81"/>
        <v>137.95592286501378</v>
      </c>
      <c r="D54" s="2667">
        <f t="shared" si="55"/>
        <v>137.95592286501378</v>
      </c>
      <c r="E54" s="2667">
        <f t="shared" ref="E54:F56" si="82">E55+(E$53-E$57)*K54/SUM(K$53:K$56)</f>
        <v>169.97231450719823</v>
      </c>
      <c r="F54" s="2667">
        <f t="shared" si="82"/>
        <v>116.21390374331551</v>
      </c>
      <c r="G54" s="3469">
        <v>2006</v>
      </c>
      <c r="H54" s="2678">
        <v>3</v>
      </c>
      <c r="I54" s="2678">
        <v>0.92</v>
      </c>
      <c r="J54" s="2678">
        <v>1.08</v>
      </c>
      <c r="K54" s="2678">
        <v>0.73</v>
      </c>
      <c r="L54" s="2679">
        <v>1.08</v>
      </c>
      <c r="N54" s="2710">
        <f t="shared" si="79"/>
        <v>1.7587939698492462E-2</v>
      </c>
      <c r="O54" s="2711">
        <f t="shared" si="79"/>
        <v>1.1355750425840628E-2</v>
      </c>
      <c r="P54" s="2711">
        <f t="shared" si="80"/>
        <v>2.0862358446754544E-2</v>
      </c>
      <c r="Q54" s="2711">
        <f t="shared" si="80"/>
        <v>1.0132282578103011E-2</v>
      </c>
      <c r="R54" s="2664"/>
      <c r="S54" s="2662"/>
      <c r="T54" s="2663"/>
      <c r="U54" s="2663"/>
      <c r="V54" s="2663"/>
      <c r="X54" s="2712"/>
      <c r="Y54" s="2712"/>
      <c r="Z54" s="2712"/>
    </row>
    <row r="55" spans="1:26">
      <c r="A55" s="2653" t="s">
        <v>2612</v>
      </c>
      <c r="B55" s="2667">
        <f t="shared" si="81"/>
        <v>146.57412060301507</v>
      </c>
      <c r="C55" s="2667">
        <f t="shared" si="81"/>
        <v>136.46831955922866</v>
      </c>
      <c r="D55" s="2667">
        <f t="shared" si="55"/>
        <v>136.46831955922866</v>
      </c>
      <c r="E55" s="2667">
        <f t="shared" si="82"/>
        <v>166.73864894795128</v>
      </c>
      <c r="F55" s="2667">
        <f t="shared" si="82"/>
        <v>115.05882352941177</v>
      </c>
      <c r="G55" s="3469">
        <v>2006</v>
      </c>
      <c r="H55" s="2658">
        <v>2</v>
      </c>
      <c r="I55" s="2658">
        <v>0.96</v>
      </c>
      <c r="J55" s="2658">
        <v>0.25</v>
      </c>
      <c r="K55" s="2658">
        <v>1.9</v>
      </c>
      <c r="L55" s="2669">
        <v>0.95</v>
      </c>
      <c r="N55" s="2710">
        <f t="shared" si="79"/>
        <v>1.8352632728861701E-2</v>
      </c>
      <c r="O55" s="2711">
        <f t="shared" si="79"/>
        <v>2.6286459319075526E-3</v>
      </c>
      <c r="P55" s="2711">
        <f t="shared" si="80"/>
        <v>5.4299289107991269E-2</v>
      </c>
      <c r="Q55" s="2711">
        <f t="shared" si="80"/>
        <v>8.9126559714794995E-3</v>
      </c>
      <c r="R55" s="2664"/>
      <c r="S55" s="2662"/>
      <c r="T55" s="2663"/>
      <c r="U55" s="2663"/>
      <c r="V55" s="2663"/>
      <c r="X55" s="2712"/>
      <c r="Y55" s="2712"/>
      <c r="Z55" s="2712"/>
    </row>
    <row r="56" spans="1:26">
      <c r="A56" s="2653" t="s">
        <v>2613</v>
      </c>
      <c r="B56" s="2667">
        <f t="shared" si="81"/>
        <v>144.04145728643215</v>
      </c>
      <c r="C56" s="2667">
        <f t="shared" si="81"/>
        <v>136.12396694214877</v>
      </c>
      <c r="D56" s="2667">
        <f t="shared" si="55"/>
        <v>136.12396694214877</v>
      </c>
      <c r="E56" s="2667">
        <f t="shared" si="82"/>
        <v>158.32225913621264</v>
      </c>
      <c r="F56" s="2667">
        <f t="shared" si="82"/>
        <v>114.04278074866311</v>
      </c>
      <c r="G56" s="3470">
        <v>2006</v>
      </c>
      <c r="H56" s="2657">
        <v>1</v>
      </c>
      <c r="I56" s="2657">
        <v>2.29</v>
      </c>
      <c r="J56" s="2657">
        <v>3.72</v>
      </c>
      <c r="K56" s="2657">
        <v>0.75</v>
      </c>
      <c r="L56" s="2668">
        <v>0.04</v>
      </c>
      <c r="N56" s="2713">
        <f t="shared" si="79"/>
        <v>4.3778675988638847E-2</v>
      </c>
      <c r="O56" s="2714">
        <f t="shared" si="79"/>
        <v>3.9114251466784385E-2</v>
      </c>
      <c r="P56" s="2714">
        <f t="shared" si="80"/>
        <v>2.1433929911049188E-2</v>
      </c>
      <c r="Q56" s="2714">
        <f t="shared" si="80"/>
        <v>3.7526972511492629E-4</v>
      </c>
      <c r="R56" s="2664"/>
      <c r="S56" s="2670">
        <f>B56/B57-1</f>
        <v>4.3778675988638716E-2</v>
      </c>
      <c r="T56" s="2671">
        <f>C56/C57-1</f>
        <v>3.91142514667846E-2</v>
      </c>
      <c r="U56" s="2671">
        <f>E56/E57-1</f>
        <v>2.143392991104931E-2</v>
      </c>
      <c r="V56" s="2671">
        <f>F56/F57-1</f>
        <v>3.7526972511492396E-4</v>
      </c>
      <c r="X56" s="2712"/>
      <c r="Y56" s="2712"/>
      <c r="Z56" s="2712"/>
    </row>
    <row r="57" spans="1:26" ht="13.5" thickBot="1">
      <c r="A57" s="2653" t="s">
        <v>2614</v>
      </c>
      <c r="B57" s="2681">
        <v>138</v>
      </c>
      <c r="C57" s="2681">
        <v>131</v>
      </c>
      <c r="D57" s="2681">
        <f t="shared" si="55"/>
        <v>131</v>
      </c>
      <c r="E57" s="2681">
        <v>155</v>
      </c>
      <c r="F57" s="2682">
        <v>114</v>
      </c>
      <c r="G57" s="3468">
        <v>2005</v>
      </c>
      <c r="H57" s="2673">
        <v>4</v>
      </c>
      <c r="I57" s="2673">
        <v>3.29</v>
      </c>
      <c r="J57" s="2673">
        <v>1.44</v>
      </c>
      <c r="K57" s="2673">
        <v>0.66</v>
      </c>
      <c r="L57" s="2674">
        <v>7.78</v>
      </c>
      <c r="N57" s="2710">
        <f t="shared" ref="N57:O60" si="83">I57/SUM(I$57:I$60)*(B$57/B$61-1)</f>
        <v>9.9404603216919935E-2</v>
      </c>
      <c r="O57" s="2711">
        <f t="shared" si="83"/>
        <v>4.7636550760861554E-2</v>
      </c>
      <c r="P57" s="2711">
        <f t="shared" ref="P57:Q60" si="84">K57/SUM(K$57:K$60)*(E$57/E$61-1)</f>
        <v>8.3756345177664976E-2</v>
      </c>
      <c r="Q57" s="2711">
        <f t="shared" si="84"/>
        <v>5.2148766661559584E-2</v>
      </c>
      <c r="R57" s="2664"/>
      <c r="S57" s="2665"/>
      <c r="T57" s="2666"/>
      <c r="U57" s="2666"/>
      <c r="V57" s="2666"/>
      <c r="X57" s="2712"/>
      <c r="Y57" s="2712"/>
      <c r="Z57" s="2712"/>
    </row>
    <row r="58" spans="1:26">
      <c r="A58" s="2653" t="s">
        <v>2615</v>
      </c>
      <c r="B58" s="2667">
        <f t="shared" ref="B58:C60" si="85">B59+(B$57-B$61)*I58/SUM(I$57:I$60)</f>
        <v>125.9720430107527</v>
      </c>
      <c r="C58" s="2667">
        <f t="shared" si="85"/>
        <v>125.1883408071749</v>
      </c>
      <c r="D58" s="2667">
        <f t="shared" si="55"/>
        <v>125.1883408071749</v>
      </c>
      <c r="E58" s="2667">
        <f t="shared" ref="E58:F60" si="86">E59+(E$57-E$61)*K58/SUM(K$57:K$60)</f>
        <v>144.61421319796952</v>
      </c>
      <c r="F58" s="2667">
        <f t="shared" si="86"/>
        <v>108.42008196721311</v>
      </c>
      <c r="G58" s="3469">
        <v>2005</v>
      </c>
      <c r="H58" s="2678">
        <v>3</v>
      </c>
      <c r="I58" s="2678">
        <v>0.46</v>
      </c>
      <c r="J58" s="2678">
        <v>0.32</v>
      </c>
      <c r="K58" s="2678">
        <v>0.42</v>
      </c>
      <c r="L58" s="2679">
        <v>0.64</v>
      </c>
      <c r="N58" s="2710">
        <f t="shared" si="83"/>
        <v>1.3898515951301874E-2</v>
      </c>
      <c r="O58" s="2711">
        <f t="shared" si="83"/>
        <v>1.0585900169080346E-2</v>
      </c>
      <c r="P58" s="2711">
        <f t="shared" si="84"/>
        <v>5.3299492385786795E-2</v>
      </c>
      <c r="Q58" s="2711">
        <f t="shared" si="84"/>
        <v>4.2898728359123568E-3</v>
      </c>
      <c r="R58" s="2664"/>
      <c r="S58" s="2662"/>
      <c r="T58" s="2663"/>
      <c r="U58" s="2663"/>
      <c r="V58" s="2663"/>
      <c r="X58" s="2712"/>
      <c r="Y58" s="2712"/>
      <c r="Z58" s="2712"/>
    </row>
    <row r="59" spans="1:26">
      <c r="A59" s="2653" t="s">
        <v>2616</v>
      </c>
      <c r="B59" s="2667">
        <f t="shared" si="85"/>
        <v>124.29032258064517</v>
      </c>
      <c r="C59" s="2667">
        <f t="shared" si="85"/>
        <v>123.8968609865471</v>
      </c>
      <c r="D59" s="2667">
        <f t="shared" si="55"/>
        <v>123.8968609865471</v>
      </c>
      <c r="E59" s="2667">
        <f t="shared" si="86"/>
        <v>138.00507614213197</v>
      </c>
      <c r="F59" s="2667">
        <f t="shared" si="86"/>
        <v>107.96106557377048</v>
      </c>
      <c r="G59" s="3469">
        <v>2005</v>
      </c>
      <c r="H59" s="2658">
        <v>2</v>
      </c>
      <c r="I59" s="2658">
        <v>0.47</v>
      </c>
      <c r="J59" s="2658">
        <v>0.1</v>
      </c>
      <c r="K59" s="2658">
        <v>0.52</v>
      </c>
      <c r="L59" s="2669">
        <v>0.79</v>
      </c>
      <c r="N59" s="2710">
        <f t="shared" si="83"/>
        <v>1.420065760241713E-2</v>
      </c>
      <c r="O59" s="2711">
        <f t="shared" si="83"/>
        <v>3.3080938028376083E-3</v>
      </c>
      <c r="P59" s="2711">
        <f t="shared" si="84"/>
        <v>6.598984771573603E-2</v>
      </c>
      <c r="Q59" s="2711">
        <f t="shared" si="84"/>
        <v>5.2953117818293153E-3</v>
      </c>
      <c r="R59" s="2664"/>
      <c r="S59" s="2662"/>
      <c r="T59" s="2663"/>
      <c r="U59" s="2663"/>
      <c r="V59" s="2663"/>
      <c r="X59" s="2712"/>
      <c r="Y59" s="2712"/>
      <c r="Z59" s="2712"/>
    </row>
    <row r="60" spans="1:26">
      <c r="A60" s="2653" t="s">
        <v>2617</v>
      </c>
      <c r="B60" s="2667">
        <f t="shared" si="85"/>
        <v>122.57204301075269</v>
      </c>
      <c r="C60" s="2667">
        <f t="shared" si="85"/>
        <v>123.4932735426009</v>
      </c>
      <c r="D60" s="2667">
        <f t="shared" si="55"/>
        <v>123.4932735426009</v>
      </c>
      <c r="E60" s="2667">
        <f t="shared" si="86"/>
        <v>129.82233502538071</v>
      </c>
      <c r="F60" s="2667">
        <f t="shared" si="86"/>
        <v>107.39446721311475</v>
      </c>
      <c r="G60" s="3470">
        <v>2005</v>
      </c>
      <c r="H60" s="2657">
        <v>1</v>
      </c>
      <c r="I60" s="2657">
        <v>0.43</v>
      </c>
      <c r="J60" s="2657">
        <v>0.37</v>
      </c>
      <c r="K60" s="2657">
        <v>0.37</v>
      </c>
      <c r="L60" s="2668">
        <v>0.55000000000000004</v>
      </c>
      <c r="N60" s="2713">
        <f t="shared" si="83"/>
        <v>1.2992090997956099E-2</v>
      </c>
      <c r="O60" s="2714">
        <f t="shared" si="83"/>
        <v>1.2239947070499151E-2</v>
      </c>
      <c r="P60" s="2714">
        <f t="shared" si="84"/>
        <v>4.6954314720812178E-2</v>
      </c>
      <c r="Q60" s="2714">
        <f t="shared" si="84"/>
        <v>3.6866094683621815E-3</v>
      </c>
      <c r="R60" s="2664"/>
      <c r="S60" s="2670">
        <f>B60/B61-1</f>
        <v>1.2992090997956174E-2</v>
      </c>
      <c r="T60" s="2671">
        <f>C60/C61-1</f>
        <v>1.2239947070499246E-2</v>
      </c>
      <c r="U60" s="2671">
        <f>E60/E61-1</f>
        <v>4.695431472081224E-2</v>
      </c>
      <c r="V60" s="2671">
        <f>F60/F61-1</f>
        <v>3.6866094683620787E-3</v>
      </c>
      <c r="X60" s="2712"/>
      <c r="Y60" s="2712"/>
      <c r="Z60" s="2712"/>
    </row>
    <row r="61" spans="1:26" ht="13.5" thickBot="1">
      <c r="A61" s="2653" t="s">
        <v>2618</v>
      </c>
      <c r="B61" s="2697">
        <v>121</v>
      </c>
      <c r="C61" s="2697">
        <v>122</v>
      </c>
      <c r="D61" s="2697">
        <f t="shared" si="55"/>
        <v>122</v>
      </c>
      <c r="E61" s="2697">
        <v>124</v>
      </c>
      <c r="F61" s="2698">
        <v>107</v>
      </c>
      <c r="G61" s="3468">
        <v>2004</v>
      </c>
      <c r="H61" s="2673">
        <v>4</v>
      </c>
      <c r="I61" s="2673">
        <v>0.33</v>
      </c>
      <c r="J61" s="2673">
        <v>0.5</v>
      </c>
      <c r="K61" s="2673">
        <v>0.5</v>
      </c>
      <c r="L61" s="2674">
        <v>0</v>
      </c>
      <c r="N61" s="2710">
        <f t="shared" ref="N61:O64" si="87">I61/SUM(I$61:I$64)*(B$61/B$65-1)</f>
        <v>1.3391770148526898E-2</v>
      </c>
      <c r="O61" s="2711">
        <f t="shared" si="87"/>
        <v>1.063264221158958E-2</v>
      </c>
      <c r="P61" s="2711">
        <f t="shared" ref="P61:Q64" si="88">K61/SUM(K$61:K$64)*(E$61/E$65-1)</f>
        <v>2.2244466688911134E-2</v>
      </c>
      <c r="Q61" s="2711">
        <f t="shared" si="88"/>
        <v>0</v>
      </c>
      <c r="R61" s="2664"/>
      <c r="S61" s="2665"/>
      <c r="T61" s="2666"/>
      <c r="U61" s="2666"/>
      <c r="V61" s="2666"/>
      <c r="X61" s="2712"/>
      <c r="Y61" s="2712"/>
      <c r="Z61" s="2712"/>
    </row>
    <row r="62" spans="1:26">
      <c r="A62" s="2653" t="s">
        <v>2619</v>
      </c>
      <c r="B62" s="2667">
        <f t="shared" ref="B62:C64" si="89">B63+(B$61-B$65)*I62/SUM(I$61:I$64)</f>
        <v>119.51351351351352</v>
      </c>
      <c r="C62" s="2667">
        <f t="shared" si="89"/>
        <v>120.7878787878788</v>
      </c>
      <c r="D62" s="2667">
        <f t="shared" si="55"/>
        <v>120.7878787878788</v>
      </c>
      <c r="E62" s="2667">
        <f t="shared" ref="E62:F64" si="90">E63+(E$61-E$65)*K62/SUM(K$61:K$64)</f>
        <v>121.5975975975976</v>
      </c>
      <c r="F62" s="2667">
        <f t="shared" si="90"/>
        <v>107</v>
      </c>
      <c r="G62" s="3469">
        <v>2004</v>
      </c>
      <c r="H62" s="2678">
        <v>3</v>
      </c>
      <c r="I62" s="2678">
        <v>0.56000000000000005</v>
      </c>
      <c r="J62" s="2678">
        <v>0.8</v>
      </c>
      <c r="K62" s="2678">
        <v>0.83</v>
      </c>
      <c r="L62" s="2679">
        <v>0.06</v>
      </c>
      <c r="N62" s="2710">
        <f t="shared" si="87"/>
        <v>2.2725428130833527E-2</v>
      </c>
      <c r="O62" s="2711">
        <f t="shared" si="87"/>
        <v>1.7012227538543329E-2</v>
      </c>
      <c r="P62" s="2711">
        <f t="shared" si="88"/>
        <v>3.6925814703592477E-2</v>
      </c>
      <c r="Q62" s="2711">
        <f t="shared" si="88"/>
        <v>2.8846153846153744E-2</v>
      </c>
      <c r="R62" s="2664"/>
      <c r="S62" s="2662"/>
      <c r="T62" s="2663"/>
      <c r="U62" s="2663"/>
      <c r="V62" s="2663"/>
      <c r="X62" s="2712"/>
      <c r="Y62" s="2712"/>
      <c r="Z62" s="2712"/>
    </row>
    <row r="63" spans="1:26">
      <c r="A63" s="2653" t="s">
        <v>2620</v>
      </c>
      <c r="B63" s="2667">
        <f t="shared" si="89"/>
        <v>116.99099099099099</v>
      </c>
      <c r="C63" s="2667">
        <f t="shared" si="89"/>
        <v>118.84848484848486</v>
      </c>
      <c r="D63" s="2667">
        <f t="shared" si="55"/>
        <v>118.84848484848486</v>
      </c>
      <c r="E63" s="2667">
        <f t="shared" si="90"/>
        <v>117.60960960960961</v>
      </c>
      <c r="F63" s="2667">
        <f t="shared" si="90"/>
        <v>104</v>
      </c>
      <c r="G63" s="3469">
        <v>2004</v>
      </c>
      <c r="H63" s="2658">
        <v>2</v>
      </c>
      <c r="I63" s="2658">
        <v>1</v>
      </c>
      <c r="J63" s="2658">
        <v>1.5</v>
      </c>
      <c r="K63" s="2658">
        <v>1.5</v>
      </c>
      <c r="L63" s="2669">
        <v>0</v>
      </c>
      <c r="N63" s="2710">
        <f t="shared" si="87"/>
        <v>4.0581121662202721E-2</v>
      </c>
      <c r="O63" s="2711">
        <f t="shared" si="87"/>
        <v>3.1897926634768738E-2</v>
      </c>
      <c r="P63" s="2711">
        <f t="shared" si="88"/>
        <v>6.6733400066733395E-2</v>
      </c>
      <c r="Q63" s="2711">
        <f t="shared" si="88"/>
        <v>0</v>
      </c>
      <c r="R63" s="2664"/>
      <c r="S63" s="2662"/>
      <c r="T63" s="2663"/>
      <c r="U63" s="2663"/>
      <c r="V63" s="2663"/>
      <c r="X63" s="2712"/>
      <c r="Y63" s="2712"/>
      <c r="Z63" s="2712"/>
    </row>
    <row r="64" spans="1:26" s="2703" customFormat="1" ht="13.5" thickBot="1">
      <c r="A64" s="2653" t="s">
        <v>2621</v>
      </c>
      <c r="B64" s="2700">
        <f t="shared" si="89"/>
        <v>112.48648648648648</v>
      </c>
      <c r="C64" s="2700">
        <f t="shared" si="89"/>
        <v>115.21212121212122</v>
      </c>
      <c r="D64" s="2700">
        <f t="shared" si="55"/>
        <v>115.21212121212122</v>
      </c>
      <c r="E64" s="2700">
        <f t="shared" si="90"/>
        <v>110.4024024024024</v>
      </c>
      <c r="F64" s="2700">
        <f t="shared" si="90"/>
        <v>104</v>
      </c>
      <c r="G64" s="3470">
        <v>2004</v>
      </c>
      <c r="H64" s="2701">
        <v>1</v>
      </c>
      <c r="I64" s="2701">
        <v>0.33</v>
      </c>
      <c r="J64" s="2701">
        <v>0.5</v>
      </c>
      <c r="K64" s="2701">
        <v>0.5</v>
      </c>
      <c r="L64" s="2702">
        <v>0</v>
      </c>
      <c r="N64" s="2715">
        <f t="shared" si="87"/>
        <v>1.3391770148526898E-2</v>
      </c>
      <c r="O64" s="2716">
        <f t="shared" si="87"/>
        <v>1.063264221158958E-2</v>
      </c>
      <c r="P64" s="2716">
        <f t="shared" si="88"/>
        <v>2.2244466688911134E-2</v>
      </c>
      <c r="Q64" s="2716">
        <f t="shared" si="88"/>
        <v>0</v>
      </c>
      <c r="R64" s="2706"/>
      <c r="S64" s="2704">
        <f>B64/B65-1</f>
        <v>1.3391770148526883E-2</v>
      </c>
      <c r="T64" s="2705">
        <f>C64/C65-1</f>
        <v>1.063264221158966E-2</v>
      </c>
      <c r="U64" s="2705">
        <f>E64/E65-1</f>
        <v>2.2244466688911224E-2</v>
      </c>
      <c r="V64" s="2705">
        <f>F64/F65-1</f>
        <v>0</v>
      </c>
      <c r="X64" s="2717"/>
      <c r="Y64" s="2717"/>
      <c r="Z64" s="2717"/>
    </row>
    <row r="65" spans="1:26" ht="13.5" thickBot="1">
      <c r="A65" s="2653" t="s">
        <v>2622</v>
      </c>
      <c r="B65" s="2718">
        <v>111</v>
      </c>
      <c r="C65" s="2718">
        <v>114</v>
      </c>
      <c r="D65" s="2718">
        <f t="shared" si="55"/>
        <v>114</v>
      </c>
      <c r="E65" s="2718">
        <v>108</v>
      </c>
      <c r="F65" s="2719">
        <v>104</v>
      </c>
      <c r="G65" s="3468">
        <v>2003</v>
      </c>
      <c r="H65" s="2708">
        <v>4</v>
      </c>
      <c r="I65" s="2720"/>
      <c r="J65" s="2720"/>
      <c r="K65" s="2720"/>
      <c r="L65" s="2720"/>
      <c r="N65" s="2721"/>
      <c r="O65" s="2720"/>
      <c r="P65" s="2720"/>
      <c r="Q65" s="2720"/>
      <c r="S65" s="2721"/>
      <c r="T65" s="2720"/>
      <c r="U65" s="2720"/>
      <c r="V65" s="2720"/>
      <c r="X65" s="2712"/>
      <c r="Y65" s="2712"/>
      <c r="Z65" s="2712"/>
    </row>
    <row r="66" spans="1:26">
      <c r="A66" s="2653" t="s">
        <v>2623</v>
      </c>
      <c r="B66" s="2722">
        <f t="shared" ref="B66:C68" si="91">B67+(B$65-B$69)/4</f>
        <v>109.75</v>
      </c>
      <c r="C66" s="2722">
        <f t="shared" si="91"/>
        <v>112.25</v>
      </c>
      <c r="D66" s="2722">
        <f t="shared" si="55"/>
        <v>112.25</v>
      </c>
      <c r="E66" s="2722">
        <f t="shared" ref="E66:F68" si="92">E67+(E$65-E$69)/4</f>
        <v>107.25</v>
      </c>
      <c r="F66" s="2722">
        <f t="shared" si="92"/>
        <v>103.5</v>
      </c>
      <c r="G66" s="3469">
        <v>2003</v>
      </c>
      <c r="H66" s="2678">
        <v>3</v>
      </c>
      <c r="I66" s="2720"/>
      <c r="J66" s="2720"/>
      <c r="K66" s="2720"/>
      <c r="L66" s="2720"/>
      <c r="X66" s="2712"/>
      <c r="Y66" s="2712"/>
      <c r="Z66" s="2712"/>
    </row>
    <row r="67" spans="1:26">
      <c r="A67" s="2653" t="s">
        <v>2624</v>
      </c>
      <c r="B67" s="2722">
        <f t="shared" si="91"/>
        <v>108.5</v>
      </c>
      <c r="C67" s="2722">
        <f t="shared" si="91"/>
        <v>110.5</v>
      </c>
      <c r="D67" s="2722">
        <f t="shared" si="55"/>
        <v>110.5</v>
      </c>
      <c r="E67" s="2722">
        <f t="shared" si="92"/>
        <v>106.5</v>
      </c>
      <c r="F67" s="2722">
        <f t="shared" si="92"/>
        <v>103</v>
      </c>
      <c r="G67" s="3469">
        <v>2003</v>
      </c>
      <c r="H67" s="2658">
        <v>2</v>
      </c>
      <c r="I67" s="2720"/>
      <c r="J67" s="2720"/>
      <c r="K67" s="2720"/>
      <c r="L67" s="2720"/>
      <c r="X67" s="2712"/>
      <c r="Y67" s="2712"/>
      <c r="Z67" s="2712"/>
    </row>
    <row r="68" spans="1:26" ht="13.5" thickBot="1">
      <c r="A68" s="2653" t="s">
        <v>2625</v>
      </c>
      <c r="B68" s="2722">
        <f t="shared" si="91"/>
        <v>107.25</v>
      </c>
      <c r="C68" s="2722">
        <f t="shared" si="91"/>
        <v>108.75</v>
      </c>
      <c r="D68" s="2722">
        <f t="shared" si="55"/>
        <v>108.75</v>
      </c>
      <c r="E68" s="2722">
        <f t="shared" si="92"/>
        <v>105.75</v>
      </c>
      <c r="F68" s="2722">
        <f t="shared" si="92"/>
        <v>102.5</v>
      </c>
      <c r="G68" s="3470">
        <v>2003</v>
      </c>
      <c r="H68" s="2723">
        <v>1</v>
      </c>
      <c r="I68" s="2720"/>
      <c r="J68" s="2720"/>
      <c r="K68" s="2720"/>
      <c r="L68" s="2720"/>
      <c r="S68" s="2662"/>
      <c r="T68" s="2663"/>
      <c r="U68" s="2663"/>
      <c r="X68" s="2712"/>
      <c r="Y68" s="2712"/>
      <c r="Z68" s="2712"/>
    </row>
    <row r="69" spans="1:26" ht="13.5" thickBot="1">
      <c r="A69" s="2653" t="s">
        <v>2626</v>
      </c>
      <c r="B69" s="2724">
        <v>106</v>
      </c>
      <c r="C69" s="2724">
        <v>107</v>
      </c>
      <c r="D69" s="2724">
        <f t="shared" si="55"/>
        <v>107</v>
      </c>
      <c r="E69" s="2724">
        <v>105</v>
      </c>
      <c r="F69" s="2725">
        <v>102</v>
      </c>
      <c r="G69" s="3468">
        <v>2002</v>
      </c>
      <c r="H69" s="2673">
        <v>4</v>
      </c>
      <c r="I69" s="2720"/>
      <c r="J69" s="2720"/>
      <c r="K69" s="2720"/>
      <c r="L69" s="2720"/>
      <c r="N69" s="2721"/>
      <c r="O69" s="2720"/>
      <c r="P69" s="2720"/>
      <c r="Q69" s="2720"/>
      <c r="S69" s="2721"/>
      <c r="T69" s="2720"/>
      <c r="U69" s="2720"/>
      <c r="V69" s="2720"/>
      <c r="X69" s="2712"/>
      <c r="Y69" s="2712"/>
      <c r="Z69" s="2712"/>
    </row>
    <row r="70" spans="1:26">
      <c r="A70" s="2653" t="s">
        <v>2627</v>
      </c>
      <c r="B70" s="2722">
        <f t="shared" ref="B70:C72" si="93">B71+(B$69-B$73)/4</f>
        <v>105</v>
      </c>
      <c r="C70" s="2722">
        <f t="shared" si="93"/>
        <v>106</v>
      </c>
      <c r="D70" s="2722">
        <f t="shared" si="55"/>
        <v>106</v>
      </c>
      <c r="E70" s="2722">
        <f t="shared" ref="E70:F72" si="94">E71+(E$69-E$73)/4</f>
        <v>104.5</v>
      </c>
      <c r="F70" s="2722">
        <f t="shared" si="94"/>
        <v>101.5</v>
      </c>
      <c r="G70" s="3469">
        <v>2002</v>
      </c>
      <c r="H70" s="2678">
        <v>3</v>
      </c>
      <c r="I70" s="2720"/>
      <c r="J70" s="2720"/>
      <c r="K70" s="2720"/>
      <c r="L70" s="2720"/>
      <c r="X70" s="2712"/>
      <c r="Y70" s="2712"/>
      <c r="Z70" s="2712"/>
    </row>
    <row r="71" spans="1:26">
      <c r="A71" s="2653" t="s">
        <v>2628</v>
      </c>
      <c r="B71" s="2722">
        <f t="shared" si="93"/>
        <v>104</v>
      </c>
      <c r="C71" s="2722">
        <f t="shared" si="93"/>
        <v>105</v>
      </c>
      <c r="D71" s="2722">
        <f t="shared" si="55"/>
        <v>105</v>
      </c>
      <c r="E71" s="2722">
        <f t="shared" si="94"/>
        <v>104</v>
      </c>
      <c r="F71" s="2722">
        <f t="shared" si="94"/>
        <v>101</v>
      </c>
      <c r="G71" s="3469">
        <v>2002</v>
      </c>
      <c r="H71" s="2658">
        <v>2</v>
      </c>
      <c r="I71" s="2720"/>
      <c r="J71" s="2720"/>
      <c r="K71" s="2720"/>
      <c r="L71" s="2720"/>
      <c r="X71" s="2712"/>
      <c r="Y71" s="2712"/>
      <c r="Z71" s="2712"/>
    </row>
    <row r="72" spans="1:26" s="2689" customFormat="1" ht="13.5" thickBot="1">
      <c r="A72" s="2685" t="s">
        <v>2629</v>
      </c>
      <c r="B72" s="2726">
        <f t="shared" si="93"/>
        <v>103</v>
      </c>
      <c r="C72" s="2726">
        <f t="shared" si="93"/>
        <v>104</v>
      </c>
      <c r="D72" s="2726">
        <f t="shared" si="55"/>
        <v>104</v>
      </c>
      <c r="E72" s="2726">
        <f t="shared" si="94"/>
        <v>103.5</v>
      </c>
      <c r="F72" s="2726">
        <f t="shared" si="94"/>
        <v>100.5</v>
      </c>
      <c r="G72" s="3470">
        <v>2002</v>
      </c>
      <c r="H72" s="2727">
        <v>1</v>
      </c>
      <c r="I72" s="2728"/>
      <c r="J72" s="2728"/>
      <c r="K72" s="2728"/>
      <c r="L72" s="2728"/>
      <c r="N72" s="2729"/>
      <c r="S72" s="2729"/>
      <c r="X72" s="2730"/>
      <c r="Y72" s="2730"/>
      <c r="Z72" s="2730"/>
    </row>
    <row r="73" spans="1:26" ht="13.5" thickBot="1">
      <c r="B73" s="2731">
        <v>102</v>
      </c>
      <c r="C73" s="2732">
        <v>103</v>
      </c>
      <c r="D73" s="2732">
        <f t="shared" si="55"/>
        <v>103</v>
      </c>
      <c r="E73" s="2732">
        <v>103</v>
      </c>
      <c r="F73" s="2733">
        <v>100</v>
      </c>
      <c r="I73" s="2720"/>
      <c r="J73" s="2720"/>
      <c r="K73" s="2720"/>
      <c r="L73" s="2720"/>
      <c r="N73" s="2721"/>
      <c r="O73" s="2720"/>
      <c r="P73" s="2720"/>
      <c r="Q73" s="2720"/>
      <c r="S73" s="2721"/>
      <c r="T73" s="2720"/>
      <c r="U73" s="2720"/>
      <c r="V73" s="2720"/>
      <c r="X73" s="2666"/>
      <c r="Y73" s="2666"/>
      <c r="Z73" s="2666"/>
    </row>
    <row r="75" spans="1:26" s="2735" customFormat="1">
      <c r="A75" s="2734" t="s">
        <v>2630</v>
      </c>
      <c r="G75" s="2736"/>
      <c r="N75" s="2736"/>
      <c r="S75" s="2736"/>
    </row>
    <row r="76" spans="1:26" s="2735" customFormat="1">
      <c r="A76" s="2735" t="s">
        <v>2631</v>
      </c>
      <c r="G76" s="2736"/>
      <c r="N76" s="2736"/>
      <c r="S76" s="2736"/>
    </row>
    <row r="77" spans="1:26" s="2735" customFormat="1">
      <c r="A77" s="2735" t="s">
        <v>2632</v>
      </c>
      <c r="G77" s="2736"/>
      <c r="I77" s="2737"/>
      <c r="J77" s="2737"/>
      <c r="K77" s="2737"/>
      <c r="L77" s="2737"/>
      <c r="N77" s="2738"/>
      <c r="O77" s="2737"/>
      <c r="P77" s="2737"/>
      <c r="Q77" s="2737"/>
      <c r="S77" s="2738"/>
      <c r="T77" s="2737"/>
      <c r="U77" s="2737"/>
      <c r="V77" s="2737"/>
    </row>
    <row r="78" spans="1:26" s="2735" customFormat="1">
      <c r="A78" s="2735" t="s">
        <v>2633</v>
      </c>
      <c r="G78" s="2736"/>
      <c r="N78" s="2736"/>
      <c r="S78" s="2736"/>
    </row>
    <row r="85" spans="7:22" ht="13.5" thickBot="1"/>
    <row r="86" spans="7:22">
      <c r="G86" s="2661"/>
      <c r="S86" s="2739" t="s">
        <v>2634</v>
      </c>
      <c r="T86" s="2740" t="s">
        <v>2635</v>
      </c>
      <c r="U86" s="2740" t="s">
        <v>2636</v>
      </c>
      <c r="V86" s="2740" t="s">
        <v>2637</v>
      </c>
    </row>
    <row r="87" spans="7:22">
      <c r="G87" s="2661"/>
      <c r="N87" s="2665"/>
      <c r="O87" s="2666"/>
      <c r="P87" s="2666"/>
      <c r="Q87" s="2666"/>
      <c r="S87" s="2741">
        <v>2006</v>
      </c>
      <c r="T87" s="2742">
        <v>15.1</v>
      </c>
      <c r="U87" s="2742">
        <v>7.43</v>
      </c>
      <c r="V87" s="2742">
        <v>26.26</v>
      </c>
    </row>
    <row r="88" spans="7:22">
      <c r="G88" s="2661"/>
      <c r="N88" s="2665"/>
      <c r="O88" s="2666"/>
      <c r="P88" s="2666"/>
      <c r="Q88" s="2666"/>
      <c r="S88" s="2744">
        <v>2005</v>
      </c>
      <c r="T88" s="2743">
        <v>13.9</v>
      </c>
      <c r="U88" s="2743">
        <v>7.49</v>
      </c>
      <c r="V88" s="2743">
        <v>24.92</v>
      </c>
    </row>
    <row r="89" spans="7:22">
      <c r="G89" s="2661"/>
      <c r="N89" s="2665"/>
      <c r="O89" s="2666"/>
      <c r="P89" s="2666"/>
      <c r="Q89" s="2666"/>
      <c r="S89" s="2741">
        <v>2004</v>
      </c>
      <c r="T89" s="2742">
        <v>9.48</v>
      </c>
      <c r="U89" s="2742">
        <v>7.2</v>
      </c>
      <c r="V89" s="2742">
        <v>14.68</v>
      </c>
    </row>
    <row r="90" spans="7:22">
      <c r="G90" s="2661"/>
      <c r="N90" s="2665"/>
      <c r="O90" s="2666"/>
      <c r="P90" s="2666"/>
      <c r="Q90" s="2666"/>
      <c r="S90" s="2744">
        <v>2003</v>
      </c>
      <c r="T90" s="2743">
        <v>4.5</v>
      </c>
      <c r="U90" s="2743">
        <v>6.12</v>
      </c>
      <c r="V90" s="2743">
        <v>2.34</v>
      </c>
    </row>
    <row r="91" spans="7:22" ht="13.5" thickBot="1">
      <c r="G91" s="2661"/>
      <c r="N91" s="2665"/>
      <c r="O91" s="2666"/>
      <c r="P91" s="2666"/>
      <c r="Q91" s="2666"/>
      <c r="S91" s="2745">
        <v>2002</v>
      </c>
      <c r="T91" s="2746">
        <v>3.59</v>
      </c>
      <c r="U91" s="2746">
        <v>4.54</v>
      </c>
      <c r="V91" s="2746">
        <v>2.5499999999999998</v>
      </c>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row r="107" spans="7:19">
      <c r="G107" s="2661"/>
      <c r="N107" s="2665"/>
      <c r="O107" s="2666"/>
      <c r="P107" s="2666"/>
      <c r="Q107" s="2666"/>
      <c r="S107" s="266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4"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56.25">
      <c r="A7" s="1793" t="s">
        <v>2745</v>
      </c>
    </row>
    <row r="8" spans="1:4" ht="18.75">
      <c r="A8" s="1792" t="s">
        <v>1906</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2018年10月18日（评估专业人员勘察现场之日）</v>
      </c>
    </row>
    <row r="12" spans="1:4" ht="18.75">
      <c r="A12" s="1795" t="s">
        <v>2026</v>
      </c>
    </row>
    <row r="13" spans="1:4" ht="18.75">
      <c r="A13" s="1789" t="s">
        <v>2935</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18.75">
      <c r="A21" s="1789" t="s">
        <v>2075</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2470</v>
      </c>
      <c r="B1" s="3479"/>
      <c r="C1" s="3480"/>
      <c r="D1" s="3481">
        <f>SUM(I10,I15,I20,I21,I23)</f>
        <v>0</v>
      </c>
      <c r="E1" s="3481"/>
      <c r="F1" s="3481"/>
      <c r="G1" s="3481"/>
      <c r="H1" s="3481"/>
      <c r="I1" s="3482"/>
    </row>
    <row r="2" spans="1:9">
      <c r="A2" s="3483" t="s">
        <v>2471</v>
      </c>
      <c r="B2" s="3484" t="s">
        <v>2472</v>
      </c>
      <c r="C2" s="3484"/>
      <c r="D2" s="2505" t="s">
        <v>2473</v>
      </c>
      <c r="E2" s="2505" t="s">
        <v>2474</v>
      </c>
      <c r="F2" s="2505" t="s">
        <v>2475</v>
      </c>
      <c r="G2" s="2505" t="s">
        <v>2476</v>
      </c>
      <c r="H2" s="2505" t="s">
        <v>2477</v>
      </c>
      <c r="I2" s="2506" t="s">
        <v>2478</v>
      </c>
    </row>
    <row r="3" spans="1:9">
      <c r="A3" s="3483"/>
      <c r="B3" s="3484" t="s">
        <v>2479</v>
      </c>
      <c r="C3" s="3484"/>
      <c r="D3" s="2507"/>
      <c r="E3" s="2505"/>
      <c r="F3" s="2508"/>
      <c r="G3" s="2508"/>
      <c r="H3" s="2509"/>
      <c r="I3" s="2510">
        <f>ROUND(D3*E3*F3*G3*H3/10000,0)</f>
        <v>0</v>
      </c>
    </row>
    <row r="4" spans="1:9">
      <c r="A4" s="3483"/>
      <c r="B4" s="3484" t="s">
        <v>2480</v>
      </c>
      <c r="C4" s="3484"/>
      <c r="D4" s="2507"/>
      <c r="E4" s="2505"/>
      <c r="F4" s="2508"/>
      <c r="G4" s="2508"/>
      <c r="H4" s="2509"/>
      <c r="I4" s="2510">
        <f t="shared" ref="I4:I9" si="0">ROUND(D4*E4*F4*G4*H4/10000,0)</f>
        <v>0</v>
      </c>
    </row>
    <row r="5" spans="1:9">
      <c r="A5" s="3483"/>
      <c r="B5" s="3484" t="s">
        <v>2481</v>
      </c>
      <c r="C5" s="3484"/>
      <c r="D5" s="2507"/>
      <c r="E5" s="2505"/>
      <c r="F5" s="2508"/>
      <c r="G5" s="2508"/>
      <c r="H5" s="2509"/>
      <c r="I5" s="2510">
        <f t="shared" si="0"/>
        <v>0</v>
      </c>
    </row>
    <row r="6" spans="1:9">
      <c r="A6" s="3483"/>
      <c r="B6" s="3484" t="s">
        <v>2482</v>
      </c>
      <c r="C6" s="3484"/>
      <c r="D6" s="2507"/>
      <c r="E6" s="2505"/>
      <c r="F6" s="2508"/>
      <c r="G6" s="2508"/>
      <c r="H6" s="2509"/>
      <c r="I6" s="2510">
        <f t="shared" si="0"/>
        <v>0</v>
      </c>
    </row>
    <row r="7" spans="1:9">
      <c r="A7" s="3483"/>
      <c r="B7" s="3484" t="s">
        <v>2483</v>
      </c>
      <c r="C7" s="3484"/>
      <c r="D7" s="2507"/>
      <c r="E7" s="2505"/>
      <c r="F7" s="2508"/>
      <c r="G7" s="2508"/>
      <c r="H7" s="2509"/>
      <c r="I7" s="2510">
        <f t="shared" si="0"/>
        <v>0</v>
      </c>
    </row>
    <row r="8" spans="1:9">
      <c r="A8" s="3483"/>
      <c r="B8" s="3484" t="s">
        <v>2484</v>
      </c>
      <c r="C8" s="3484"/>
      <c r="D8" s="2507"/>
      <c r="E8" s="2505"/>
      <c r="F8" s="2508"/>
      <c r="G8" s="2508"/>
      <c r="H8" s="2509"/>
      <c r="I8" s="2510">
        <f t="shared" si="0"/>
        <v>0</v>
      </c>
    </row>
    <row r="9" spans="1:9">
      <c r="A9" s="3483"/>
      <c r="B9" s="3484" t="s">
        <v>2485</v>
      </c>
      <c r="C9" s="3484"/>
      <c r="D9" s="2507"/>
      <c r="E9" s="2505"/>
      <c r="F9" s="2508"/>
      <c r="G9" s="2508"/>
      <c r="H9" s="2509"/>
      <c r="I9" s="2510">
        <f t="shared" si="0"/>
        <v>0</v>
      </c>
    </row>
    <row r="10" spans="1:9">
      <c r="A10" s="3483"/>
      <c r="B10" s="3485" t="s">
        <v>2486</v>
      </c>
      <c r="C10" s="3485"/>
      <c r="D10" s="2511">
        <v>527</v>
      </c>
      <c r="E10" s="2511" t="e">
        <f>ROUND(D1*10000/D10/H9,0)</f>
        <v>#DIV/0!</v>
      </c>
      <c r="F10" s="2512"/>
      <c r="G10" s="2512"/>
      <c r="H10" s="2513"/>
      <c r="I10" s="2514">
        <f>SUM(I3:I9)</f>
        <v>0</v>
      </c>
    </row>
    <row r="11" spans="1:9" ht="14.25">
      <c r="A11" s="3483" t="s">
        <v>2487</v>
      </c>
      <c r="B11" s="3484" t="s">
        <v>2488</v>
      </c>
      <c r="C11" s="3484"/>
      <c r="D11" s="2507" t="s">
        <v>2489</v>
      </c>
      <c r="E11" s="2507" t="s">
        <v>2490</v>
      </c>
      <c r="F11" s="2508" t="s">
        <v>2491</v>
      </c>
      <c r="G11" s="2508" t="s">
        <v>2492</v>
      </c>
      <c r="H11" s="2515" t="s">
        <v>2493</v>
      </c>
      <c r="I11" s="2506" t="s">
        <v>2494</v>
      </c>
    </row>
    <row r="12" spans="1:9">
      <c r="A12" s="3483"/>
      <c r="B12" s="3484" t="s">
        <v>2495</v>
      </c>
      <c r="C12" s="3484"/>
      <c r="D12" s="2507"/>
      <c r="E12" s="2507"/>
      <c r="F12" s="2508"/>
      <c r="G12" s="2509"/>
      <c r="H12" s="2516"/>
      <c r="I12" s="2506">
        <f>ROUND(D12*E12*F12*G12/10000,0)</f>
        <v>0</v>
      </c>
    </row>
    <row r="13" spans="1:9">
      <c r="A13" s="3483"/>
      <c r="B13" s="3484" t="s">
        <v>2496</v>
      </c>
      <c r="C13" s="3484"/>
      <c r="D13" s="2507"/>
      <c r="E13" s="2507"/>
      <c r="F13" s="2508"/>
      <c r="G13" s="2509"/>
      <c r="H13" s="2516"/>
      <c r="I13" s="2506">
        <f>ROUND(D13*E13*F13*G13/10000,0)</f>
        <v>0</v>
      </c>
    </row>
    <row r="14" spans="1:9">
      <c r="A14" s="3483"/>
      <c r="B14" s="3484" t="s">
        <v>2497</v>
      </c>
      <c r="C14" s="3484"/>
      <c r="D14" s="2507"/>
      <c r="E14" s="2507"/>
      <c r="F14" s="2508"/>
      <c r="G14" s="2509"/>
      <c r="H14" s="2516"/>
      <c r="I14" s="2506">
        <f>ROUND(D14*E14*F14*G14/10000,0)</f>
        <v>0</v>
      </c>
    </row>
    <row r="15" spans="1:9">
      <c r="A15" s="3483"/>
      <c r="B15" s="3485" t="s">
        <v>2486</v>
      </c>
      <c r="C15" s="3485"/>
      <c r="D15" s="2511"/>
      <c r="E15" s="2511">
        <f>SUM(E12:E14)</f>
        <v>0</v>
      </c>
      <c r="F15" s="2512"/>
      <c r="G15" s="2509"/>
      <c r="H15" s="2516"/>
      <c r="I15" s="2517">
        <f>SUM(I12:I14)</f>
        <v>0</v>
      </c>
    </row>
    <row r="16" spans="1:9" ht="24">
      <c r="A16" s="3483" t="s">
        <v>2498</v>
      </c>
      <c r="B16" s="3484" t="s">
        <v>2499</v>
      </c>
      <c r="C16" s="3484"/>
      <c r="D16" s="2507" t="s">
        <v>2500</v>
      </c>
      <c r="E16" s="2518" t="s">
        <v>2501</v>
      </c>
      <c r="F16" s="2508" t="s">
        <v>2502</v>
      </c>
      <c r="G16" s="2509" t="s">
        <v>2492</v>
      </c>
      <c r="H16" s="2515" t="s">
        <v>2493</v>
      </c>
      <c r="I16" s="2506" t="s">
        <v>2494</v>
      </c>
    </row>
    <row r="17" spans="1:9" ht="14.25">
      <c r="A17" s="3483"/>
      <c r="B17" s="3484" t="s">
        <v>2503</v>
      </c>
      <c r="C17" s="3484"/>
      <c r="D17" s="2507"/>
      <c r="E17" s="2507"/>
      <c r="F17" s="2508"/>
      <c r="G17" s="2509"/>
      <c r="H17" s="2519"/>
      <c r="I17" s="2520">
        <f>ROUND(D17*E17*F17*G17/10000,0)</f>
        <v>0</v>
      </c>
    </row>
    <row r="18" spans="1:9" ht="14.25">
      <c r="A18" s="3483"/>
      <c r="B18" s="3484" t="s">
        <v>2504</v>
      </c>
      <c r="C18" s="3484"/>
      <c r="D18" s="2507"/>
      <c r="E18" s="2507"/>
      <c r="F18" s="2508"/>
      <c r="G18" s="2509"/>
      <c r="H18" s="2519"/>
      <c r="I18" s="2520">
        <f>ROUND(D18*E18*F18*G18/10000,0)</f>
        <v>0</v>
      </c>
    </row>
    <row r="19" spans="1:9" ht="14.25">
      <c r="A19" s="3483"/>
      <c r="B19" s="3484" t="s">
        <v>2505</v>
      </c>
      <c r="C19" s="3484"/>
      <c r="D19" s="2507"/>
      <c r="E19" s="2507"/>
      <c r="F19" s="2508"/>
      <c r="G19" s="2509"/>
      <c r="H19" s="2519"/>
      <c r="I19" s="2520">
        <f>ROUND(D19*E19*F19*G19/10000,0)</f>
        <v>0</v>
      </c>
    </row>
    <row r="20" spans="1:9">
      <c r="A20" s="3483"/>
      <c r="B20" s="3485" t="s">
        <v>2486</v>
      </c>
      <c r="C20" s="3485"/>
      <c r="D20" s="2511">
        <f>SUM(D17:D19)</f>
        <v>0</v>
      </c>
      <c r="E20" s="2511"/>
      <c r="F20" s="2512"/>
      <c r="G20" s="2509"/>
      <c r="H20" s="2516"/>
      <c r="I20" s="2517">
        <f>SUM(I17:I19)</f>
        <v>0</v>
      </c>
    </row>
    <row r="21" spans="1:9">
      <c r="A21" s="3483" t="s">
        <v>2506</v>
      </c>
      <c r="B21" s="3487"/>
      <c r="C21" s="3487"/>
      <c r="D21" s="3487"/>
      <c r="E21" s="3487"/>
      <c r="F21" s="3487"/>
      <c r="G21" s="3487"/>
      <c r="H21" s="2521">
        <v>0.1</v>
      </c>
      <c r="I21" s="2514">
        <f>ROUND(I10*H21,0)</f>
        <v>0</v>
      </c>
    </row>
    <row r="22" spans="1:9" ht="14.25">
      <c r="A22" s="3488" t="s">
        <v>2507</v>
      </c>
      <c r="B22" s="3489"/>
      <c r="C22" s="3490"/>
      <c r="D22" s="2522" t="s">
        <v>2508</v>
      </c>
      <c r="E22" s="2522" t="s">
        <v>2509</v>
      </c>
      <c r="F22" s="2523" t="s">
        <v>2510</v>
      </c>
      <c r="G22" s="2523" t="s">
        <v>2511</v>
      </c>
      <c r="H22" s="2515" t="s">
        <v>2512</v>
      </c>
      <c r="I22" s="2506" t="s">
        <v>2513</v>
      </c>
    </row>
    <row r="23" spans="1:9" ht="14.25" thickBot="1">
      <c r="A23" s="3491"/>
      <c r="B23" s="3492"/>
      <c r="C23" s="3493"/>
      <c r="D23" s="2524"/>
      <c r="E23" s="2524"/>
      <c r="F23" s="2524"/>
      <c r="G23" s="2525"/>
      <c r="H23" s="2526"/>
      <c r="I23" s="2527">
        <f>ROUND(E23*D23*F23*(1-G23)/10000,0)</f>
        <v>0</v>
      </c>
    </row>
    <row r="26" spans="1:9">
      <c r="A26" s="2528" t="s">
        <v>2514</v>
      </c>
      <c r="B26" s="2528"/>
      <c r="C26" s="2528"/>
      <c r="D26" s="2528"/>
      <c r="E26" s="3494">
        <f>C27-C30-C31-C32</f>
        <v>0</v>
      </c>
      <c r="F26" s="3494"/>
      <c r="G26" s="3494"/>
      <c r="H26" s="3039" t="s">
        <v>2841</v>
      </c>
    </row>
    <row r="27" spans="1:9">
      <c r="A27" s="2529">
        <v>1</v>
      </c>
      <c r="B27" s="2530" t="s">
        <v>2515</v>
      </c>
      <c r="C27" s="2530"/>
      <c r="D27" s="2530"/>
      <c r="E27" s="3495"/>
      <c r="F27" s="3495"/>
      <c r="G27" s="3495"/>
    </row>
    <row r="28" spans="1:9">
      <c r="A28" s="2531" t="s">
        <v>2516</v>
      </c>
      <c r="B28" s="2530" t="s">
        <v>2517</v>
      </c>
      <c r="C28" s="2530"/>
      <c r="D28" s="2530"/>
      <c r="E28" s="3495"/>
      <c r="F28" s="3495"/>
      <c r="G28" s="3495"/>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86"/>
      <c r="F32" s="3486"/>
      <c r="G32" s="3486"/>
    </row>
    <row r="33" spans="1:7" hidden="1">
      <c r="A33" s="3496" t="s">
        <v>2525</v>
      </c>
      <c r="B33" s="3497"/>
      <c r="C33" s="3497"/>
      <c r="D33" s="3498"/>
      <c r="E33" s="3494"/>
      <c r="F33" s="3494"/>
      <c r="G33" s="3494"/>
    </row>
    <row r="34" spans="1:7" hidden="1">
      <c r="A34" s="2533">
        <v>1</v>
      </c>
      <c r="B34" s="2530" t="s">
        <v>2526</v>
      </c>
      <c r="C34" s="2530"/>
      <c r="D34" s="2530"/>
      <c r="E34" s="3495"/>
      <c r="F34" s="3495"/>
      <c r="G34" s="3495"/>
    </row>
    <row r="35" spans="1:7" hidden="1">
      <c r="A35" s="2533">
        <v>2</v>
      </c>
      <c r="B35" s="2530" t="s">
        <v>2527</v>
      </c>
      <c r="C35" s="2530"/>
      <c r="D35" s="2530"/>
      <c r="E35" s="3495"/>
      <c r="F35" s="3495"/>
      <c r="G35" s="3495"/>
    </row>
    <row r="36" spans="1:7" hidden="1">
      <c r="A36" s="2533">
        <v>3</v>
      </c>
      <c r="B36" s="2530" t="s">
        <v>2528</v>
      </c>
      <c r="C36" s="2530"/>
      <c r="D36" s="2530"/>
      <c r="E36" s="3495"/>
      <c r="F36" s="3495"/>
      <c r="G36" s="3495"/>
    </row>
    <row r="37" spans="1:7" hidden="1">
      <c r="A37" s="2533">
        <v>4</v>
      </c>
      <c r="B37" s="2530" t="s">
        <v>2529</v>
      </c>
      <c r="C37" s="2530"/>
      <c r="D37" s="2530"/>
      <c r="E37" s="3495"/>
      <c r="F37" s="3495"/>
      <c r="G37" s="3495"/>
    </row>
    <row r="38" spans="1:7" hidden="1">
      <c r="A38" s="3496" t="s">
        <v>2530</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602</v>
      </c>
      <c r="B1" s="741"/>
      <c r="C1" s="2180"/>
      <c r="D1" s="2180"/>
      <c r="E1" s="2180"/>
      <c r="F1" s="2180"/>
      <c r="G1" s="2106"/>
    </row>
    <row r="2" spans="1:25" s="2057" customFormat="1" ht="18" customHeight="1">
      <c r="A2" s="422" t="s">
        <v>466</v>
      </c>
      <c r="B2" s="424">
        <f ca="1">C23</f>
        <v>0</v>
      </c>
      <c r="C2" s="2106"/>
      <c r="D2" s="2106"/>
      <c r="E2" s="2106"/>
      <c r="F2" s="2106"/>
      <c r="G2" s="2106"/>
    </row>
    <row r="3" spans="1:25" s="2057" customFormat="1" ht="18" customHeight="1">
      <c r="A3" s="1378" t="s">
        <v>1685</v>
      </c>
      <c r="B3" s="424">
        <f ca="1">ROUND(B2*10000/'数据-汇总表'!E3,0)</f>
        <v>0</v>
      </c>
      <c r="C3" s="2106"/>
      <c r="D3" s="2106"/>
      <c r="E3" s="2106"/>
      <c r="F3" s="2106"/>
      <c r="G3" s="2106"/>
    </row>
    <row r="4" spans="1:25" s="2057" customFormat="1" ht="18" customHeight="1">
      <c r="A4" s="425" t="s">
        <v>467</v>
      </c>
      <c r="B4" s="426">
        <f ca="1">ROUND(B2*10000/'数据-汇总表'!D3,0)</f>
        <v>0</v>
      </c>
      <c r="C4" s="2059"/>
      <c r="D4" s="2106"/>
      <c r="E4" s="2106"/>
      <c r="F4" s="2106"/>
      <c r="G4" s="2106"/>
    </row>
    <row r="5" spans="1:25" s="2057" customFormat="1" ht="18" customHeight="1" thickBot="1">
      <c r="A5" s="428"/>
      <c r="B5" s="429">
        <f ca="1">ROUND(B2/('数据-汇总表'!D3/666.67),0)</f>
        <v>0</v>
      </c>
      <c r="C5" s="430" t="s">
        <v>468</v>
      </c>
      <c r="D5" s="2106"/>
      <c r="E5" s="2106"/>
      <c r="F5" s="2106"/>
      <c r="G5" s="2106"/>
    </row>
    <row r="6" spans="1:25" s="2181" customFormat="1" ht="13.5" customHeight="1">
      <c r="A6" s="742"/>
      <c r="B6" s="743" t="s">
        <v>603</v>
      </c>
      <c r="C6" s="744" t="s">
        <v>604</v>
      </c>
      <c r="D6" s="744" t="s">
        <v>605</v>
      </c>
      <c r="E6" s="745" t="s">
        <v>606</v>
      </c>
      <c r="F6" s="745" t="s">
        <v>607</v>
      </c>
      <c r="G6" s="746"/>
    </row>
    <row r="7" spans="1:25" s="2181" customFormat="1" ht="13.5" customHeight="1">
      <c r="A7" s="2467">
        <v>1</v>
      </c>
      <c r="B7" s="747" t="s">
        <v>608</v>
      </c>
      <c r="C7" s="748">
        <f>C8+C9</f>
        <v>0</v>
      </c>
      <c r="D7" s="748"/>
      <c r="E7" s="749"/>
      <c r="F7" s="749"/>
      <c r="G7" s="2477"/>
    </row>
    <row r="8" spans="1:25" s="2181" customFormat="1" ht="13.5" customHeight="1">
      <c r="A8" s="2467" t="s">
        <v>2440</v>
      </c>
      <c r="B8" s="2470" t="s">
        <v>2442</v>
      </c>
      <c r="C8" s="2471"/>
      <c r="D8" s="748"/>
      <c r="E8" s="749"/>
      <c r="F8" s="749"/>
      <c r="G8" s="750"/>
    </row>
    <row r="9" spans="1:25" s="2181" customFormat="1" ht="13.5" customHeight="1">
      <c r="A9" s="2467" t="s">
        <v>2441</v>
      </c>
      <c r="B9" s="2470" t="s">
        <v>2443</v>
      </c>
      <c r="C9" s="2471"/>
      <c r="D9" s="748"/>
      <c r="E9" s="749"/>
      <c r="F9" s="749"/>
      <c r="G9" s="750"/>
    </row>
    <row r="10" spans="1:25" s="2181" customFormat="1" ht="36">
      <c r="A10" s="2467">
        <v>2</v>
      </c>
      <c r="B10" s="747" t="s">
        <v>612</v>
      </c>
      <c r="C10" s="748">
        <f>C11+C14+C15</f>
        <v>0</v>
      </c>
      <c r="D10" s="759">
        <f>'数据-汇总表'!E3</f>
        <v>148752</v>
      </c>
      <c r="E10" s="748">
        <f>'数据-取费表'!B31</f>
        <v>100</v>
      </c>
      <c r="F10" s="760"/>
      <c r="G10" s="758" t="s">
        <v>613</v>
      </c>
    </row>
    <row r="11" spans="1:25" s="2181" customFormat="1" ht="13.5" customHeight="1">
      <c r="A11" s="2467" t="s">
        <v>2440</v>
      </c>
      <c r="B11" s="751" t="s">
        <v>609</v>
      </c>
      <c r="C11" s="752">
        <f>'数据-取费表'!B29</f>
        <v>0</v>
      </c>
      <c r="D11" s="753"/>
      <c r="E11" s="752"/>
      <c r="F11" s="754"/>
      <c r="G11" s="2476" t="s">
        <v>2451</v>
      </c>
    </row>
    <row r="12" spans="1:25" s="2181" customFormat="1" ht="13.5" customHeight="1">
      <c r="A12" s="2474" t="s">
        <v>2448</v>
      </c>
      <c r="B12" s="755" t="s">
        <v>610</v>
      </c>
      <c r="C12" s="756">
        <f>ROUND(D12*E12/10000,0)</f>
        <v>444</v>
      </c>
      <c r="D12" s="757">
        <f>'数据-汇总表'!E5</f>
        <v>111084</v>
      </c>
      <c r="E12" s="756">
        <f>'数据-取费表'!B27</f>
        <v>40</v>
      </c>
      <c r="F12" s="754"/>
      <c r="G12" s="758"/>
    </row>
    <row r="13" spans="1:25" s="2181" customFormat="1" ht="13.5" customHeight="1">
      <c r="A13" s="2474" t="s">
        <v>2447</v>
      </c>
      <c r="B13" s="755" t="s">
        <v>611</v>
      </c>
      <c r="C13" s="756">
        <f>ROUND(D13*E13/10000,0)</f>
        <v>301</v>
      </c>
      <c r="D13" s="757">
        <f>'数据-汇总表'!E6</f>
        <v>37668</v>
      </c>
      <c r="E13" s="756">
        <f>'数据-取费表'!B28</f>
        <v>80</v>
      </c>
      <c r="F13" s="754"/>
      <c r="G13" s="758"/>
    </row>
    <row r="14" spans="1:25" s="2181" customFormat="1" ht="13.5" customHeight="1">
      <c r="A14" s="2467" t="s">
        <v>2441</v>
      </c>
      <c r="B14" s="2473" t="s">
        <v>2444</v>
      </c>
      <c r="C14" s="2471"/>
      <c r="D14" s="757"/>
      <c r="E14" s="756"/>
      <c r="F14" s="2472"/>
      <c r="G14" s="2475" t="s">
        <v>2449</v>
      </c>
    </row>
    <row r="15" spans="1:25" s="2181" customFormat="1" ht="13.5" customHeight="1">
      <c r="A15" s="2467" t="s">
        <v>2446</v>
      </c>
      <c r="B15" s="2473" t="s">
        <v>2445</v>
      </c>
      <c r="C15" s="2471"/>
      <c r="D15" s="757"/>
      <c r="E15" s="756"/>
      <c r="F15" s="2472"/>
      <c r="G15" s="2475" t="s">
        <v>2450</v>
      </c>
    </row>
    <row r="16" spans="1:25" s="2182" customFormat="1" ht="48">
      <c r="A16" s="2467">
        <v>3</v>
      </c>
      <c r="B16" s="747" t="s">
        <v>614</v>
      </c>
      <c r="C16" s="2471"/>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615</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616</v>
      </c>
      <c r="C18" s="748">
        <f>ROUND((C7+C10+C16)*F18,0)</f>
        <v>0</v>
      </c>
      <c r="D18" s="761"/>
      <c r="E18" s="762"/>
      <c r="F18" s="760">
        <f>'数据-取费表'!Q16</f>
        <v>0.11</v>
      </c>
      <c r="G18" s="764"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618</v>
      </c>
      <c r="C19" s="748">
        <f ca="1">C7+C10+C16+C17+C18</f>
        <v>0</v>
      </c>
      <c r="D19" s="759"/>
      <c r="E19" s="748"/>
      <c r="F19" s="760"/>
      <c r="G19" s="764"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620</v>
      </c>
      <c r="C20" s="748">
        <f ca="1">ROUND(C19*F20,0)</f>
        <v>0</v>
      </c>
      <c r="D20" s="759"/>
      <c r="E20" s="748"/>
      <c r="F20" s="1348"/>
      <c r="G20" s="764"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622</v>
      </c>
      <c r="C21" s="748">
        <f ca="1">C19+C20</f>
        <v>0</v>
      </c>
      <c r="D21" s="759"/>
      <c r="E21" s="748"/>
      <c r="F21" s="760"/>
      <c r="G21" s="764"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624</v>
      </c>
      <c r="C22" s="748">
        <f ca="1">ROUND(C21*F22,0)</f>
        <v>0</v>
      </c>
      <c r="D22" s="759"/>
      <c r="E22" s="748"/>
      <c r="F22" s="765">
        <f>'数据-取费表'!AP16</f>
        <v>0.93799999999999994</v>
      </c>
      <c r="G22" s="764"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626</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C6" sqref="C6:D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621" t="s">
        <v>718</v>
      </c>
      <c r="C1" s="2622" t="s">
        <v>719</v>
      </c>
      <c r="D1" s="2623" t="s">
        <v>3174</v>
      </c>
      <c r="E1" s="2624"/>
      <c r="F1" s="2805" t="s">
        <v>3232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466</v>
      </c>
      <c r="B2" s="2620">
        <f>ROUND(B3*D3/10000,0)</f>
        <v>49076</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518</v>
      </c>
      <c r="B3" s="850">
        <f>C49</f>
        <v>8925</v>
      </c>
      <c r="C3" s="851" t="s">
        <v>721</v>
      </c>
      <c r="D3" s="850">
        <f>SUMIF('数据-汇总表'!$C19:$C33,D1,'数据-汇总表'!$E19:$E33)</f>
        <v>54987</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520</v>
      </c>
      <c r="B4" s="512"/>
      <c r="C4" s="3393" t="s">
        <v>521</v>
      </c>
      <c r="D4" s="3394"/>
      <c r="E4" s="3429" t="s">
        <v>522</v>
      </c>
      <c r="F4" s="3430"/>
      <c r="G4" s="3393" t="s">
        <v>523</v>
      </c>
      <c r="H4" s="3394"/>
      <c r="I4" s="3393" t="s">
        <v>524</v>
      </c>
      <c r="J4" s="3394"/>
      <c r="K4" s="852" t="s">
        <v>525</v>
      </c>
      <c r="L4" s="2131"/>
      <c r="M4" s="2132"/>
      <c r="N4" s="2132"/>
      <c r="O4" s="2132"/>
      <c r="P4" s="3395" t="s">
        <v>526</v>
      </c>
      <c r="Q4" s="3396"/>
      <c r="R4" s="3401" t="s">
        <v>522</v>
      </c>
      <c r="S4" s="3402"/>
      <c r="T4" s="3401" t="s">
        <v>523</v>
      </c>
      <c r="U4" s="3402"/>
      <c r="V4" s="3388" t="s">
        <v>524</v>
      </c>
      <c r="W4" s="3388"/>
      <c r="X4" s="1566"/>
      <c r="Y4" s="3401" t="s">
        <v>526</v>
      </c>
      <c r="Z4" s="3402"/>
      <c r="AA4" s="3390" t="s">
        <v>522</v>
      </c>
      <c r="AB4" s="3390" t="s">
        <v>523</v>
      </c>
      <c r="AC4" s="3390" t="s">
        <v>524</v>
      </c>
    </row>
    <row r="5" spans="1:29" ht="15">
      <c r="A5" s="514"/>
      <c r="B5" s="515"/>
      <c r="C5" s="3411" t="s">
        <v>3177</v>
      </c>
      <c r="D5" s="3410"/>
      <c r="E5" s="3503" t="s">
        <v>3233</v>
      </c>
      <c r="F5" s="3432"/>
      <c r="G5" s="3411" t="s">
        <v>3237</v>
      </c>
      <c r="H5" s="3410"/>
      <c r="I5" s="3411" t="s">
        <v>3239</v>
      </c>
      <c r="J5" s="3410"/>
      <c r="K5" s="853"/>
      <c r="L5" s="2131"/>
      <c r="M5" s="2132"/>
      <c r="N5" s="2132"/>
      <c r="O5" s="2132"/>
      <c r="P5" s="3397"/>
      <c r="Q5" s="3398"/>
      <c r="R5" s="3403"/>
      <c r="S5" s="3404"/>
      <c r="T5" s="3403"/>
      <c r="U5" s="3404"/>
      <c r="V5" s="3388"/>
      <c r="W5" s="3388"/>
      <c r="X5" s="1566"/>
      <c r="Y5" s="3403"/>
      <c r="Z5" s="3404"/>
      <c r="AA5" s="3391"/>
      <c r="AB5" s="3391"/>
      <c r="AC5" s="3391"/>
    </row>
    <row r="6" spans="1:29" ht="30" customHeight="1" thickBot="1">
      <c r="A6" s="516"/>
      <c r="B6" s="517"/>
      <c r="C6" s="3407" t="s">
        <v>3300</v>
      </c>
      <c r="D6" s="3408"/>
      <c r="E6" s="3502" t="s">
        <v>3234</v>
      </c>
      <c r="F6" s="3428"/>
      <c r="G6" s="3407" t="s">
        <v>3238</v>
      </c>
      <c r="H6" s="3408"/>
      <c r="I6" s="3407" t="s">
        <v>3240</v>
      </c>
      <c r="J6" s="3408"/>
      <c r="K6" s="853" t="s">
        <v>527</v>
      </c>
      <c r="L6" s="2131"/>
      <c r="M6" s="2132"/>
      <c r="N6" s="2132"/>
      <c r="O6" s="2132"/>
      <c r="P6" s="3399"/>
      <c r="Q6" s="3400"/>
      <c r="R6" s="3403"/>
      <c r="S6" s="3404"/>
      <c r="T6" s="3405"/>
      <c r="U6" s="3406"/>
      <c r="V6" s="3388"/>
      <c r="W6" s="3388"/>
      <c r="X6" s="1566"/>
      <c r="Y6" s="3405"/>
      <c r="Z6" s="3406"/>
      <c r="AA6" s="3392"/>
      <c r="AB6" s="3392"/>
      <c r="AC6" s="3392"/>
    </row>
    <row r="7" spans="1:29" s="1219" customFormat="1" ht="15.75" thickBot="1">
      <c r="A7" s="2909"/>
      <c r="B7" s="2916" t="s">
        <v>528</v>
      </c>
      <c r="C7" s="518">
        <f>'数据-取费表'!B2</f>
        <v>43391</v>
      </c>
      <c r="D7" s="519">
        <v>100</v>
      </c>
      <c r="E7" s="520">
        <v>43374</v>
      </c>
      <c r="F7" s="521">
        <f>SUMIF(58:58,YEAR(E7)&amp;"-"&amp;MONTH(E7),59:59)</f>
        <v>100</v>
      </c>
      <c r="G7" s="520">
        <v>43374</v>
      </c>
      <c r="H7" s="519">
        <f>SUMIF(58:58,YEAR(G7)&amp;"-"&amp;MONTH(G7),59:59)</f>
        <v>100</v>
      </c>
      <c r="I7" s="520">
        <v>43374</v>
      </c>
      <c r="J7" s="519">
        <f>SUMIF(58:58,YEAR(I7)&amp;"-"&amp;MONTH(I7),59:59)</f>
        <v>100</v>
      </c>
      <c r="K7" s="854"/>
      <c r="L7" s="2133"/>
      <c r="M7" s="2134"/>
      <c r="N7" s="2134"/>
      <c r="O7" s="2134"/>
      <c r="P7" s="3419" t="s">
        <v>529</v>
      </c>
      <c r="Q7" s="3421"/>
      <c r="R7" s="1567" t="s">
        <v>13</v>
      </c>
      <c r="S7" s="1568">
        <f t="shared" ref="S7:S15" si="0">F7</f>
        <v>100</v>
      </c>
      <c r="T7" s="1567" t="s">
        <v>13</v>
      </c>
      <c r="U7" s="1568">
        <f t="shared" ref="U7:U15" si="1">H7</f>
        <v>100</v>
      </c>
      <c r="V7" s="1567" t="s">
        <v>13</v>
      </c>
      <c r="W7" s="1568">
        <f t="shared" ref="W7:W15" si="2">J7</f>
        <v>100</v>
      </c>
      <c r="X7" s="1569"/>
      <c r="Y7" s="3419" t="s">
        <v>529</v>
      </c>
      <c r="Z7" s="3420"/>
      <c r="AA7" s="1570">
        <f>D7/F7</f>
        <v>1</v>
      </c>
      <c r="AB7" s="1570">
        <f>D7/H7</f>
        <v>1</v>
      </c>
      <c r="AC7" s="1570">
        <f>D7/J7</f>
        <v>1</v>
      </c>
    </row>
    <row r="8" spans="1:29" s="1219" customFormat="1" ht="15.75" thickBot="1">
      <c r="A8" s="2910"/>
      <c r="B8" s="2917"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3"/>
      <c r="M8" s="2134"/>
      <c r="N8" s="2134"/>
      <c r="O8" s="2134"/>
      <c r="P8" s="3419" t="s">
        <v>532</v>
      </c>
      <c r="Q8" s="3420"/>
      <c r="R8" s="1567" t="s">
        <v>13</v>
      </c>
      <c r="S8" s="1568">
        <f t="shared" si="0"/>
        <v>100</v>
      </c>
      <c r="T8" s="1567" t="s">
        <v>13</v>
      </c>
      <c r="U8" s="1568">
        <f t="shared" si="1"/>
        <v>100</v>
      </c>
      <c r="V8" s="1567" t="s">
        <v>13</v>
      </c>
      <c r="W8" s="1568">
        <f t="shared" si="2"/>
        <v>100</v>
      </c>
      <c r="X8" s="1569"/>
      <c r="Y8" s="3419" t="s">
        <v>532</v>
      </c>
      <c r="Z8" s="3420"/>
      <c r="AA8" s="1570">
        <f t="shared" ref="AA8:AA46" si="3">D8/F8</f>
        <v>1</v>
      </c>
      <c r="AB8" s="1570">
        <f t="shared" ref="AB8:AB46" si="4">D8/H8</f>
        <v>1</v>
      </c>
      <c r="AC8" s="1570">
        <f t="shared" ref="AC8:AC46" si="5">D8/J8</f>
        <v>1</v>
      </c>
    </row>
    <row r="9" spans="1:29" s="1219" customFormat="1" ht="15">
      <c r="A9" s="2911"/>
      <c r="B9" s="2918" t="s">
        <v>2754</v>
      </c>
      <c r="C9" s="3203" t="s">
        <v>3235</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87" t="s">
        <v>534</v>
      </c>
      <c r="Q9" s="1150" t="str">
        <f t="shared" ref="Q9:Q15" si="6">B9</f>
        <v>用途</v>
      </c>
      <c r="R9" s="1567" t="s">
        <v>8</v>
      </c>
      <c r="S9" s="1568">
        <f t="shared" si="0"/>
        <v>100</v>
      </c>
      <c r="T9" s="1567" t="s">
        <v>8</v>
      </c>
      <c r="U9" s="1568">
        <f t="shared" si="1"/>
        <v>100</v>
      </c>
      <c r="V9" s="1567" t="s">
        <v>8</v>
      </c>
      <c r="W9" s="1568">
        <f t="shared" si="2"/>
        <v>100</v>
      </c>
      <c r="X9" s="1569"/>
      <c r="Y9" s="3333" t="s">
        <v>535</v>
      </c>
      <c r="Z9" s="1149" t="str">
        <f t="shared" ref="Z9:Z15" si="7">Q9</f>
        <v>用途</v>
      </c>
      <c r="AA9" s="1570">
        <f t="shared" si="3"/>
        <v>1</v>
      </c>
      <c r="AB9" s="1570">
        <f t="shared" si="4"/>
        <v>1</v>
      </c>
      <c r="AC9" s="1570">
        <f t="shared" si="5"/>
        <v>1</v>
      </c>
    </row>
    <row r="10" spans="1:29" s="1337" customFormat="1" ht="27">
      <c r="A10" s="2912"/>
      <c r="B10" s="2917" t="s">
        <v>2755</v>
      </c>
      <c r="C10" s="860" t="s">
        <v>3236</v>
      </c>
      <c r="D10" s="254">
        <v>100</v>
      </c>
      <c r="E10" s="861" t="s">
        <v>3236</v>
      </c>
      <c r="F10" s="862">
        <f>SUMIF(65:65,E10,66:66)-SUMIF(65:65,C10,66:66)+100</f>
        <v>100</v>
      </c>
      <c r="G10" s="860" t="s">
        <v>3236</v>
      </c>
      <c r="H10" s="254">
        <f>SUMIF(65:65,G10,66:66)-SUMIF(65:65,C10,66:66)+100</f>
        <v>100</v>
      </c>
      <c r="I10" s="860" t="s">
        <v>3236</v>
      </c>
      <c r="J10" s="254">
        <f>SUMIF(65:65,I10,66:66)-SUMIF(65:65,C10,66:66)+100</f>
        <v>100</v>
      </c>
      <c r="K10" s="863"/>
      <c r="L10" s="2136"/>
      <c r="M10" s="2176"/>
      <c r="N10" s="2176"/>
      <c r="O10" s="2137"/>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75" thickBot="1">
      <c r="A11" s="2913"/>
      <c r="B11" s="2917" t="s">
        <v>2756</v>
      </c>
      <c r="C11" s="532"/>
      <c r="D11" s="254">
        <v>100</v>
      </c>
      <c r="E11" s="533"/>
      <c r="F11" s="862">
        <f>LOOKUP(E11,68:68,69:69)-LOOKUP(C11,68:68,69:69)+100</f>
        <v>100</v>
      </c>
      <c r="G11" s="532"/>
      <c r="H11" s="254">
        <f>LOOKUP(G11,68:68,69:69)-LOOKUP(C11,68:68,69:69)+100</f>
        <v>100</v>
      </c>
      <c r="I11" s="532"/>
      <c r="J11" s="254">
        <f>LOOKUP(I11,68:68,69:69)-LOOKUP(C11,68:68,69:69)+100</f>
        <v>100</v>
      </c>
      <c r="K11" s="863"/>
      <c r="L11" s="2138"/>
      <c r="M11" s="2132"/>
      <c r="N11" s="2132"/>
      <c r="O11" s="2139"/>
      <c r="P11" s="3387"/>
      <c r="Q11" s="1150" t="str">
        <f t="shared" si="6"/>
        <v>容积率</v>
      </c>
      <c r="R11" s="1567" t="s">
        <v>11</v>
      </c>
      <c r="S11" s="1568">
        <f t="shared" si="0"/>
        <v>100</v>
      </c>
      <c r="T11" s="1567" t="s">
        <v>11</v>
      </c>
      <c r="U11" s="1568">
        <f t="shared" si="1"/>
        <v>100</v>
      </c>
      <c r="V11" s="1567" t="s">
        <v>11</v>
      </c>
      <c r="W11" s="1568">
        <f t="shared" si="2"/>
        <v>100</v>
      </c>
      <c r="X11" s="1569"/>
      <c r="Y11" s="3333"/>
      <c r="Z11" s="1149" t="str">
        <f t="shared" si="7"/>
        <v>容积率</v>
      </c>
      <c r="AA11" s="1570">
        <f t="shared" si="3"/>
        <v>1</v>
      </c>
      <c r="AB11" s="1570">
        <f t="shared" si="4"/>
        <v>1</v>
      </c>
      <c r="AC11" s="1570">
        <f t="shared" si="5"/>
        <v>1</v>
      </c>
    </row>
    <row r="12" spans="1:29" s="1219"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7"/>
      <c r="Q12" s="1150">
        <f t="shared" si="6"/>
        <v>111</v>
      </c>
      <c r="R12" s="1567" t="s">
        <v>11</v>
      </c>
      <c r="S12" s="1568">
        <f t="shared" si="0"/>
        <v>100</v>
      </c>
      <c r="T12" s="1567" t="s">
        <v>11</v>
      </c>
      <c r="U12" s="1568">
        <f t="shared" si="1"/>
        <v>100</v>
      </c>
      <c r="V12" s="1567" t="s">
        <v>11</v>
      </c>
      <c r="W12" s="1568">
        <f t="shared" si="2"/>
        <v>100</v>
      </c>
      <c r="X12" s="1569"/>
      <c r="Y12" s="3333"/>
      <c r="Z12" s="1149">
        <f t="shared" si="7"/>
        <v>111</v>
      </c>
      <c r="AA12" s="1570">
        <f>D12/F12</f>
        <v>1</v>
      </c>
      <c r="AB12" s="1570">
        <f>D12/H12</f>
        <v>1</v>
      </c>
      <c r="AC12" s="1570">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7"/>
      <c r="Q13" s="1150">
        <f t="shared" si="6"/>
        <v>111</v>
      </c>
      <c r="R13" s="1567" t="s">
        <v>11</v>
      </c>
      <c r="S13" s="1568">
        <f t="shared" si="0"/>
        <v>100</v>
      </c>
      <c r="T13" s="1567" t="s">
        <v>11</v>
      </c>
      <c r="U13" s="1568">
        <f t="shared" si="1"/>
        <v>100</v>
      </c>
      <c r="V13" s="1567" t="s">
        <v>11</v>
      </c>
      <c r="W13" s="1568">
        <f t="shared" si="2"/>
        <v>100</v>
      </c>
      <c r="X13" s="1569"/>
      <c r="Y13" s="3333"/>
      <c r="Z13" s="1149">
        <f t="shared" si="7"/>
        <v>111</v>
      </c>
      <c r="AA13" s="1570">
        <f t="shared" si="3"/>
        <v>1</v>
      </c>
      <c r="AB13" s="1570">
        <f t="shared" si="4"/>
        <v>1</v>
      </c>
      <c r="AC13" s="1570">
        <f t="shared" si="5"/>
        <v>1</v>
      </c>
    </row>
    <row r="14" spans="1:29" ht="15.75"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7"/>
      <c r="Q14" s="1150">
        <f t="shared" si="6"/>
        <v>111</v>
      </c>
      <c r="R14" s="1567" t="s">
        <v>11</v>
      </c>
      <c r="S14" s="1568">
        <f t="shared" si="0"/>
        <v>100</v>
      </c>
      <c r="T14" s="1567" t="s">
        <v>11</v>
      </c>
      <c r="U14" s="1568">
        <f t="shared" si="1"/>
        <v>100</v>
      </c>
      <c r="V14" s="1567" t="s">
        <v>11</v>
      </c>
      <c r="W14" s="1568">
        <f t="shared" si="2"/>
        <v>100</v>
      </c>
      <c r="X14" s="1569"/>
      <c r="Y14" s="3333"/>
      <c r="Z14" s="1149">
        <f t="shared" si="7"/>
        <v>111</v>
      </c>
      <c r="AA14" s="1570">
        <f t="shared" si="3"/>
        <v>1</v>
      </c>
      <c r="AB14" s="1570">
        <f t="shared" si="4"/>
        <v>1</v>
      </c>
      <c r="AC14" s="1570">
        <f t="shared" si="5"/>
        <v>1</v>
      </c>
    </row>
    <row r="15" spans="1:29" ht="142.5">
      <c r="A15" s="2907" t="s">
        <v>2752</v>
      </c>
      <c r="B15" s="166" t="s">
        <v>295</v>
      </c>
      <c r="C15" s="866" t="str">
        <f>估价对象房地状况!C3</f>
        <v>估价对象周边居住用地比例较大、居住小区规模较大和社区发展完善程度较好，有欧景花都、御景园等居住小区，综合评价居住社区成熟度较好。</v>
      </c>
      <c r="D15" s="548">
        <v>100</v>
      </c>
      <c r="E15" s="3202" t="s">
        <v>3263</v>
      </c>
      <c r="F15" s="550">
        <f>SUMIF(76:76,E16,77:77)-SUMIF(76:76,C16,77:77)+100</f>
        <v>97</v>
      </c>
      <c r="G15" s="3200" t="s">
        <v>3269</v>
      </c>
      <c r="H15" s="548">
        <f>SUMIF(76:76,G16,77:77)-SUMIF(76:76,C16,77:77)+100</f>
        <v>100</v>
      </c>
      <c r="I15" s="3200" t="s">
        <v>3273</v>
      </c>
      <c r="J15" s="548">
        <f>SUMIF(76:76,I16,77:77)-SUMIF(76:76,C16,77:77)+100</f>
        <v>100</v>
      </c>
      <c r="K15" s="867">
        <v>3</v>
      </c>
      <c r="L15" s="2140"/>
      <c r="M15" s="2132"/>
      <c r="N15" s="2132"/>
      <c r="O15" s="2139"/>
      <c r="P15" s="3422" t="s">
        <v>539</v>
      </c>
      <c r="Q15" s="1571" t="str">
        <f t="shared" si="6"/>
        <v>居住社区成熟度</v>
      </c>
      <c r="R15" s="1572" t="s">
        <v>11</v>
      </c>
      <c r="S15" s="1573">
        <f t="shared" si="0"/>
        <v>97</v>
      </c>
      <c r="T15" s="1572" t="s">
        <v>11</v>
      </c>
      <c r="U15" s="1573">
        <f t="shared" si="1"/>
        <v>100</v>
      </c>
      <c r="V15" s="1572" t="s">
        <v>11</v>
      </c>
      <c r="W15" s="1573">
        <f t="shared" si="2"/>
        <v>100</v>
      </c>
      <c r="X15" s="1566"/>
      <c r="Y15" s="3422" t="s">
        <v>539</v>
      </c>
      <c r="Z15" s="1574" t="str">
        <f t="shared" si="7"/>
        <v>居住社区成熟度</v>
      </c>
      <c r="AA15" s="1575">
        <f t="shared" si="3"/>
        <v>1.0309278350515463</v>
      </c>
      <c r="AB15" s="1575">
        <f t="shared" si="4"/>
        <v>1</v>
      </c>
      <c r="AC15" s="1575">
        <f t="shared" si="5"/>
        <v>1</v>
      </c>
    </row>
    <row r="16" spans="1:29" ht="15">
      <c r="A16" s="531"/>
      <c r="B16" s="868"/>
      <c r="C16" s="575" t="s">
        <v>3186</v>
      </c>
      <c r="D16" s="554"/>
      <c r="E16" s="575" t="s">
        <v>3220</v>
      </c>
      <c r="F16" s="556"/>
      <c r="G16" s="575" t="s">
        <v>3186</v>
      </c>
      <c r="H16" s="558"/>
      <c r="I16" s="575" t="s">
        <v>3186</v>
      </c>
      <c r="J16" s="554"/>
      <c r="K16" s="869"/>
      <c r="L16" s="2140"/>
      <c r="M16" s="2132"/>
      <c r="N16" s="2132"/>
      <c r="O16" s="2139"/>
      <c r="P16" s="3423"/>
      <c r="Q16" s="1571"/>
      <c r="R16" s="1572"/>
      <c r="S16" s="1573"/>
      <c r="T16" s="1572"/>
      <c r="U16" s="1573"/>
      <c r="V16" s="1572"/>
      <c r="W16" s="1573"/>
      <c r="X16" s="1566"/>
      <c r="Y16" s="3423"/>
      <c r="Z16" s="1574"/>
      <c r="AA16" s="1575">
        <v>1</v>
      </c>
      <c r="AB16" s="1575">
        <v>1</v>
      </c>
      <c r="AC16" s="1575">
        <v>1</v>
      </c>
    </row>
    <row r="17" spans="1:29" ht="85.5" customHeight="1">
      <c r="A17" s="531"/>
      <c r="B17" s="870" t="s">
        <v>296</v>
      </c>
      <c r="C17" s="871" t="str">
        <f>估价对象房地状况!C6</f>
        <v>估价对象周边道路较密集，公共交通通达情况较好，有211路，泰兴1、2路等公共交通，停车较便捷，综合评价交通便捷度较好。</v>
      </c>
      <c r="D17" s="558">
        <v>100</v>
      </c>
      <c r="E17" s="3199" t="s">
        <v>3264</v>
      </c>
      <c r="F17" s="562">
        <f>SUMIF(78:78,E18,79:79)-SUMIF(78:78,C18,79:79)+100</f>
        <v>100</v>
      </c>
      <c r="G17" s="3199" t="s">
        <v>3270</v>
      </c>
      <c r="H17" s="564">
        <f>SUMIF(78:78,G18,79:79)-SUMIF(78:78,C18,79:79)+100</f>
        <v>100</v>
      </c>
      <c r="I17" s="3199" t="s">
        <v>3274</v>
      </c>
      <c r="J17" s="564">
        <f>SUMIF(78:78,I18,79:79)-SUMIF(78:78,C18,79:79)+100</f>
        <v>100</v>
      </c>
      <c r="K17" s="867"/>
      <c r="L17" s="2140"/>
      <c r="M17" s="2132"/>
      <c r="N17" s="2132"/>
      <c r="O17" s="2139"/>
      <c r="P17" s="3423"/>
      <c r="Q17" s="1571" t="str">
        <f>B17</f>
        <v>交通便捷度</v>
      </c>
      <c r="R17" s="1572" t="s">
        <v>11</v>
      </c>
      <c r="S17" s="1573">
        <f>F17</f>
        <v>100</v>
      </c>
      <c r="T17" s="1572" t="s">
        <v>11</v>
      </c>
      <c r="U17" s="1573">
        <f>H17</f>
        <v>100</v>
      </c>
      <c r="V17" s="1572" t="s">
        <v>11</v>
      </c>
      <c r="W17" s="1573">
        <f>J17</f>
        <v>100</v>
      </c>
      <c r="X17" s="1566"/>
      <c r="Y17" s="3423"/>
      <c r="Z17" s="1574" t="str">
        <f>Q17</f>
        <v>交通便捷度</v>
      </c>
      <c r="AA17" s="1575">
        <f t="shared" si="3"/>
        <v>1</v>
      </c>
      <c r="AB17" s="1575">
        <f t="shared" si="4"/>
        <v>1</v>
      </c>
      <c r="AC17" s="1575">
        <f t="shared" si="5"/>
        <v>1</v>
      </c>
    </row>
    <row r="18" spans="1:29" ht="15">
      <c r="A18" s="531"/>
      <c r="B18" s="594"/>
      <c r="C18" s="872" t="s">
        <v>3186</v>
      </c>
      <c r="D18" s="558"/>
      <c r="E18" s="872" t="s">
        <v>3186</v>
      </c>
      <c r="F18" s="562"/>
      <c r="G18" s="872" t="s">
        <v>3186</v>
      </c>
      <c r="H18" s="554"/>
      <c r="I18" s="872" t="s">
        <v>3186</v>
      </c>
      <c r="J18" s="554"/>
      <c r="K18" s="869"/>
      <c r="L18" s="2140"/>
      <c r="M18" s="2132"/>
      <c r="N18" s="2132"/>
      <c r="O18" s="2139"/>
      <c r="P18" s="3423"/>
      <c r="Q18" s="1571"/>
      <c r="R18" s="1572"/>
      <c r="S18" s="1573"/>
      <c r="T18" s="1572"/>
      <c r="U18" s="1573"/>
      <c r="V18" s="1572"/>
      <c r="W18" s="1573"/>
      <c r="X18" s="1566"/>
      <c r="Y18" s="3423"/>
      <c r="Z18" s="1574"/>
      <c r="AA18" s="1575">
        <v>1</v>
      </c>
      <c r="AB18" s="1575">
        <v>1</v>
      </c>
      <c r="AC18" s="1575">
        <v>1</v>
      </c>
    </row>
    <row r="19" spans="1:29" ht="189.75">
      <c r="A19" s="531"/>
      <c r="B19" s="2598" t="s">
        <v>2545</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t="s">
        <v>3265</v>
      </c>
      <c r="F19" s="570">
        <f>SUMIF(80:80,E20,81:81)-SUMIF(80:80,C20,81:81)+100</f>
        <v>100</v>
      </c>
      <c r="G19" s="569" t="s">
        <v>3271</v>
      </c>
      <c r="H19" s="558">
        <f>SUMIF(80:80,G20,81:81)-SUMIF(80:80,C20,81:81)+100</f>
        <v>100</v>
      </c>
      <c r="I19" s="569" t="s">
        <v>3275</v>
      </c>
      <c r="J19" s="558">
        <f>SUMIF(80:80,I20,81:81)-SUMIF(80:80,C20,81:81)+100</f>
        <v>100</v>
      </c>
      <c r="K19" s="867"/>
      <c r="L19" s="2140"/>
      <c r="M19" s="2132"/>
      <c r="N19" s="2132"/>
      <c r="O19" s="2139"/>
      <c r="P19" s="3423"/>
      <c r="Q19" s="1571" t="str">
        <f>B19</f>
        <v>公共配套设施</v>
      </c>
      <c r="R19" s="1572" t="s">
        <v>11</v>
      </c>
      <c r="S19" s="1573">
        <f>F19</f>
        <v>100</v>
      </c>
      <c r="T19" s="1572" t="s">
        <v>11</v>
      </c>
      <c r="U19" s="1573">
        <f>H19</f>
        <v>100</v>
      </c>
      <c r="V19" s="1572" t="s">
        <v>11</v>
      </c>
      <c r="W19" s="1573">
        <f>J19</f>
        <v>100</v>
      </c>
      <c r="X19" s="1566"/>
      <c r="Y19" s="3423"/>
      <c r="Z19" s="1574" t="str">
        <f>Q19</f>
        <v>公共配套设施</v>
      </c>
      <c r="AA19" s="1575">
        <f t="shared" si="3"/>
        <v>1</v>
      </c>
      <c r="AB19" s="1575">
        <f t="shared" si="4"/>
        <v>1</v>
      </c>
      <c r="AC19" s="1575">
        <f t="shared" si="5"/>
        <v>1</v>
      </c>
    </row>
    <row r="20" spans="1:29" ht="15">
      <c r="A20" s="531"/>
      <c r="B20" s="594"/>
      <c r="C20" s="575" t="s">
        <v>3186</v>
      </c>
      <c r="D20" s="554"/>
      <c r="E20" s="575" t="s">
        <v>3186</v>
      </c>
      <c r="F20" s="556"/>
      <c r="G20" s="575" t="s">
        <v>3186</v>
      </c>
      <c r="H20" s="554"/>
      <c r="I20" s="575" t="s">
        <v>3186</v>
      </c>
      <c r="J20" s="554"/>
      <c r="K20" s="869"/>
      <c r="L20" s="2140"/>
      <c r="M20" s="2132"/>
      <c r="N20" s="2132"/>
      <c r="O20" s="2139"/>
      <c r="P20" s="3423"/>
      <c r="Q20" s="1571"/>
      <c r="R20" s="1572"/>
      <c r="S20" s="1573"/>
      <c r="T20" s="1572"/>
      <c r="U20" s="1573"/>
      <c r="V20" s="1572"/>
      <c r="W20" s="1573"/>
      <c r="X20" s="1566"/>
      <c r="Y20" s="3423"/>
      <c r="Z20" s="1574"/>
      <c r="AA20" s="1575">
        <v>1</v>
      </c>
      <c r="AB20" s="1575">
        <v>1</v>
      </c>
      <c r="AC20" s="1575">
        <v>1</v>
      </c>
    </row>
    <row r="21" spans="1:29" ht="42.75">
      <c r="A21" s="531"/>
      <c r="B21" s="2591" t="s">
        <v>2557</v>
      </c>
      <c r="C21" s="871" t="str">
        <f>估价对象房地状况!C8</f>
        <v>估价对象所在区域基础设施水平达到“六通”。</v>
      </c>
      <c r="D21" s="564">
        <v>100</v>
      </c>
      <c r="E21" s="571" t="s">
        <v>3266</v>
      </c>
      <c r="F21" s="570">
        <f>SUMIF(82:82,E22,83:83)-SUMIF(82:82,C22,83:83)+100</f>
        <v>100</v>
      </c>
      <c r="G21" s="571" t="s">
        <v>3266</v>
      </c>
      <c r="H21" s="564">
        <f>SUMIF(82:82,G22,83:83)-SUMIF(82:82,C22,83:83)+100</f>
        <v>100</v>
      </c>
      <c r="I21" s="569" t="s">
        <v>3266</v>
      </c>
      <c r="J21" s="564">
        <f>SUMIF(82:82,I22,83:83)-SUMIF(82:82,C22,83:83)+100</f>
        <v>100</v>
      </c>
      <c r="K21" s="867"/>
      <c r="L21" s="2140"/>
      <c r="M21" s="2132"/>
      <c r="N21" s="2132"/>
      <c r="O21" s="2139"/>
      <c r="P21" s="3423"/>
      <c r="Q21" s="2577" t="str">
        <f>B21</f>
        <v>基础设施水平</v>
      </c>
      <c r="R21" s="1572" t="s">
        <v>11</v>
      </c>
      <c r="S21" s="1573">
        <f>F21</f>
        <v>100</v>
      </c>
      <c r="T21" s="1572" t="s">
        <v>11</v>
      </c>
      <c r="U21" s="1573">
        <f>H21</f>
        <v>100</v>
      </c>
      <c r="V21" s="1572" t="s">
        <v>11</v>
      </c>
      <c r="W21" s="1573">
        <f>J21</f>
        <v>100</v>
      </c>
      <c r="X21" s="2579"/>
      <c r="Y21" s="3423"/>
      <c r="Z21" s="2578" t="str">
        <f>Q21</f>
        <v>基础设施水平</v>
      </c>
      <c r="AA21" s="1575">
        <f t="shared" ref="AA21" si="8">D21/F21</f>
        <v>1</v>
      </c>
      <c r="AB21" s="1575">
        <f t="shared" ref="AB21" si="9">D21/H21</f>
        <v>1</v>
      </c>
      <c r="AC21" s="1575">
        <f t="shared" ref="AC21" si="10">D21/J21</f>
        <v>1</v>
      </c>
    </row>
    <row r="22" spans="1:29" ht="15">
      <c r="A22" s="531"/>
      <c r="B22" s="921"/>
      <c r="C22" s="872" t="s">
        <v>3193</v>
      </c>
      <c r="D22" s="554"/>
      <c r="E22" s="872" t="s">
        <v>3193</v>
      </c>
      <c r="F22" s="556"/>
      <c r="G22" s="872" t="s">
        <v>3193</v>
      </c>
      <c r="H22" s="554"/>
      <c r="I22" s="872" t="s">
        <v>3193</v>
      </c>
      <c r="J22" s="554"/>
      <c r="K22" s="2597"/>
      <c r="L22" s="2140"/>
      <c r="M22" s="2132"/>
      <c r="N22" s="2132"/>
      <c r="O22" s="2139"/>
      <c r="P22" s="3423"/>
      <c r="Q22" s="2577"/>
      <c r="R22" s="1572"/>
      <c r="S22" s="1573"/>
      <c r="T22" s="1572"/>
      <c r="U22" s="1573"/>
      <c r="V22" s="1572"/>
      <c r="W22" s="1573"/>
      <c r="X22" s="2579"/>
      <c r="Y22" s="3423"/>
      <c r="Z22" s="2578"/>
      <c r="AA22" s="1575">
        <v>1</v>
      </c>
      <c r="AB22" s="1575">
        <v>1</v>
      </c>
      <c r="AC22" s="1575">
        <v>1</v>
      </c>
    </row>
    <row r="23" spans="1:29" ht="99.75">
      <c r="A23" s="531"/>
      <c r="B23" s="870" t="s">
        <v>297</v>
      </c>
      <c r="C23" s="871" t="str">
        <f>估价对象房地状况!C9</f>
        <v>区域自然环境：龙河湾公园；人文环境：无博物馆、展览馆等人文景观；综合评价环境状况一般。</v>
      </c>
      <c r="D23" s="558">
        <v>100</v>
      </c>
      <c r="E23" s="3199" t="s">
        <v>3267</v>
      </c>
      <c r="F23" s="562">
        <f>SUMIF(84:84,E24,85:85)-SUMIF(84:84,C24,85:85)+100</f>
        <v>100</v>
      </c>
      <c r="G23" s="3199" t="s">
        <v>3272</v>
      </c>
      <c r="H23" s="558">
        <f>SUMIF(84:84,G24,85:85)-SUMIF(84:84,C24,85:85)+100</f>
        <v>103</v>
      </c>
      <c r="I23" s="3199" t="s">
        <v>3272</v>
      </c>
      <c r="J23" s="558">
        <f>SUMIF(84:84,I24,85:85)-SUMIF(84:84,C24,85:85)+100</f>
        <v>103</v>
      </c>
      <c r="K23" s="867">
        <v>3</v>
      </c>
      <c r="L23" s="2140"/>
      <c r="M23" s="2132"/>
      <c r="N23" s="2132"/>
      <c r="O23" s="2139"/>
      <c r="P23" s="3423"/>
      <c r="Q23" s="1571" t="str">
        <f>B23</f>
        <v>自然及人文环境</v>
      </c>
      <c r="R23" s="1572" t="s">
        <v>11</v>
      </c>
      <c r="S23" s="1573">
        <f>F23</f>
        <v>100</v>
      </c>
      <c r="T23" s="1572" t="s">
        <v>11</v>
      </c>
      <c r="U23" s="1573">
        <f>H23</f>
        <v>103</v>
      </c>
      <c r="V23" s="1572" t="s">
        <v>11</v>
      </c>
      <c r="W23" s="1573">
        <f>J23</f>
        <v>103</v>
      </c>
      <c r="X23" s="1566"/>
      <c r="Y23" s="3423"/>
      <c r="Z23" s="1574" t="str">
        <f>Q23</f>
        <v>自然及人文环境</v>
      </c>
      <c r="AA23" s="1575">
        <f t="shared" si="3"/>
        <v>1</v>
      </c>
      <c r="AB23" s="1575">
        <f t="shared" si="4"/>
        <v>0.970873786407767</v>
      </c>
      <c r="AC23" s="1575">
        <f t="shared" si="5"/>
        <v>0.970873786407767</v>
      </c>
    </row>
    <row r="24" spans="1:29" ht="15">
      <c r="A24" s="531"/>
      <c r="B24" s="594"/>
      <c r="C24" s="575" t="s">
        <v>3220</v>
      </c>
      <c r="D24" s="554"/>
      <c r="E24" s="575" t="s">
        <v>3220</v>
      </c>
      <c r="F24" s="556"/>
      <c r="G24" s="575" t="s">
        <v>3186</v>
      </c>
      <c r="H24" s="554"/>
      <c r="I24" s="575" t="s">
        <v>3186</v>
      </c>
      <c r="J24" s="554"/>
      <c r="K24" s="869"/>
      <c r="L24" s="2140"/>
      <c r="M24" s="2132"/>
      <c r="N24" s="2132"/>
      <c r="O24" s="2139"/>
      <c r="P24" s="3423"/>
      <c r="Q24" s="1571"/>
      <c r="R24" s="1572"/>
      <c r="S24" s="1573"/>
      <c r="T24" s="1572"/>
      <c r="U24" s="1573"/>
      <c r="V24" s="1572"/>
      <c r="W24" s="1573"/>
      <c r="X24" s="1566"/>
      <c r="Y24" s="3423"/>
      <c r="Z24" s="1574"/>
      <c r="AA24" s="1575">
        <v>1</v>
      </c>
      <c r="AB24" s="1575">
        <v>1</v>
      </c>
      <c r="AC24" s="1575">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19" customFormat="1" ht="15.75" thickBot="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23"/>
      <c r="Q27" s="1150" t="str">
        <f t="shared" si="11"/>
        <v>道路级别</v>
      </c>
      <c r="R27" s="1567" t="s">
        <v>11</v>
      </c>
      <c r="S27" s="1568">
        <f>F27</f>
        <v>100</v>
      </c>
      <c r="T27" s="1567" t="s">
        <v>11</v>
      </c>
      <c r="U27" s="1568">
        <f>H27</f>
        <v>100</v>
      </c>
      <c r="V27" s="1567" t="s">
        <v>11</v>
      </c>
      <c r="W27" s="1568">
        <f>J27</f>
        <v>100</v>
      </c>
      <c r="X27" s="1569"/>
      <c r="Y27" s="3423"/>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3"/>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905" t="s">
        <v>2753</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4" t="s">
        <v>549</v>
      </c>
      <c r="Q32" s="1571" t="str">
        <f t="shared" si="11"/>
        <v>建筑类型</v>
      </c>
      <c r="R32" s="1572" t="s">
        <v>11</v>
      </c>
      <c r="S32" s="1573">
        <f t="shared" si="12"/>
        <v>100</v>
      </c>
      <c r="T32" s="1572" t="s">
        <v>11</v>
      </c>
      <c r="U32" s="1573">
        <f t="shared" si="13"/>
        <v>100</v>
      </c>
      <c r="V32" s="1572" t="s">
        <v>11</v>
      </c>
      <c r="W32" s="1573">
        <f t="shared" si="14"/>
        <v>100</v>
      </c>
      <c r="X32" s="1566"/>
      <c r="Y32" s="3425" t="s">
        <v>549</v>
      </c>
      <c r="Z32" s="1574" t="str">
        <f t="shared" si="15"/>
        <v>建筑类型</v>
      </c>
      <c r="AA32" s="1575">
        <f t="shared" si="3"/>
        <v>1</v>
      </c>
      <c r="AB32" s="1575">
        <f t="shared" si="4"/>
        <v>1</v>
      </c>
      <c r="AC32" s="1575">
        <f t="shared" si="5"/>
        <v>1</v>
      </c>
    </row>
    <row r="33" spans="1:29" s="1338"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8"/>
      <c r="M33" s="2169"/>
      <c r="N33" s="2169"/>
      <c r="O33" s="2141"/>
      <c r="P33" s="3425"/>
      <c r="Q33" s="1604" t="str">
        <f t="shared" si="11"/>
        <v>项目建筑规模</v>
      </c>
      <c r="R33" s="1576" t="s">
        <v>11</v>
      </c>
      <c r="S33" s="1577">
        <f t="shared" si="12"/>
        <v>100</v>
      </c>
      <c r="T33" s="1576" t="s">
        <v>11</v>
      </c>
      <c r="U33" s="1577">
        <f t="shared" si="13"/>
        <v>100</v>
      </c>
      <c r="V33" s="1576" t="s">
        <v>11</v>
      </c>
      <c r="W33" s="1577">
        <f t="shared" si="14"/>
        <v>100</v>
      </c>
      <c r="X33" s="1578"/>
      <c r="Y33" s="3425"/>
      <c r="Z33" s="1579" t="str">
        <f t="shared" si="15"/>
        <v>项目建筑规模</v>
      </c>
      <c r="AA33" s="1575">
        <f t="shared" si="3"/>
        <v>1</v>
      </c>
      <c r="AB33" s="1575">
        <f t="shared" si="4"/>
        <v>1</v>
      </c>
      <c r="AC33" s="1575">
        <f t="shared" si="5"/>
        <v>1</v>
      </c>
    </row>
    <row r="34" spans="1:29" ht="15">
      <c r="A34" s="593"/>
      <c r="B34" s="526" t="s">
        <v>726</v>
      </c>
      <c r="C34" s="880" t="s">
        <v>3204</v>
      </c>
      <c r="D34" s="539">
        <v>100</v>
      </c>
      <c r="E34" s="880" t="s">
        <v>3204</v>
      </c>
      <c r="F34" s="574">
        <f>SUMIF(105:105,E34,106:106)-SUMIF(105:105,C34,106:106)+100</f>
        <v>100</v>
      </c>
      <c r="G34" s="880" t="s">
        <v>3204</v>
      </c>
      <c r="H34" s="539">
        <f>SUMIF(105:105,G34,106:106)-SUMIF(105:105,C34,106:106)+100</f>
        <v>100</v>
      </c>
      <c r="I34" s="880" t="s">
        <v>3204</v>
      </c>
      <c r="J34" s="539">
        <f>SUMIF(105:105,I34,106:106)-SUMIF(105:105,C34,106:106)+100</f>
        <v>100</v>
      </c>
      <c r="K34" s="863"/>
      <c r="L34" s="2140"/>
      <c r="M34" s="2132"/>
      <c r="N34" s="2132"/>
      <c r="O34" s="2139"/>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5"/>
      <c r="Q35" s="1571" t="str">
        <f t="shared" si="11"/>
        <v>建筑品质</v>
      </c>
      <c r="R35" s="1572" t="s">
        <v>11</v>
      </c>
      <c r="S35" s="1573">
        <f t="shared" si="12"/>
        <v>100</v>
      </c>
      <c r="T35" s="1572" t="s">
        <v>11</v>
      </c>
      <c r="U35" s="1573">
        <f t="shared" si="13"/>
        <v>100</v>
      </c>
      <c r="V35" s="1572" t="s">
        <v>11</v>
      </c>
      <c r="W35" s="1573">
        <f t="shared" si="14"/>
        <v>100</v>
      </c>
      <c r="X35" s="1566"/>
      <c r="Y35" s="3425"/>
      <c r="Z35" s="1574" t="str">
        <f t="shared" si="15"/>
        <v>建筑品质</v>
      </c>
      <c r="AA35" s="1575">
        <f t="shared" si="3"/>
        <v>1</v>
      </c>
      <c r="AB35" s="1575">
        <f t="shared" si="4"/>
        <v>1</v>
      </c>
      <c r="AC35" s="1575">
        <f t="shared" si="5"/>
        <v>1</v>
      </c>
    </row>
    <row r="36" spans="1:29" ht="15">
      <c r="A36" s="593"/>
      <c r="B36" s="526" t="s">
        <v>728</v>
      </c>
      <c r="C36" s="598" t="s">
        <v>3242</v>
      </c>
      <c r="D36" s="539">
        <v>100</v>
      </c>
      <c r="E36" s="598" t="s">
        <v>3242</v>
      </c>
      <c r="F36" s="574">
        <f>SUMIF(109:109,E36,110:110)-SUMIF(109:109,C36,110:110)+100</f>
        <v>100</v>
      </c>
      <c r="G36" s="598" t="s">
        <v>3242</v>
      </c>
      <c r="H36" s="539">
        <f>SUMIF(109:109,G36,110:110)-SUMIF(109:109,C36,110:110)+100</f>
        <v>100</v>
      </c>
      <c r="I36" s="598" t="s">
        <v>3242</v>
      </c>
      <c r="J36" s="539">
        <f>SUMIF(109:109,I36,110:110)-SUMIF(109:109,C36,110:110)+100</f>
        <v>100</v>
      </c>
      <c r="K36" s="863"/>
      <c r="L36" s="2140"/>
      <c r="M36" s="2132"/>
      <c r="N36" s="2132"/>
      <c r="O36" s="2139"/>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19" customFormat="1" ht="15">
      <c r="A37" s="599"/>
      <c r="B37" s="526" t="s">
        <v>729</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3"/>
      <c r="M37" s="2134"/>
      <c r="N37" s="2134"/>
      <c r="O37" s="2135"/>
      <c r="P37" s="3425"/>
      <c r="Q37" s="1150" t="str">
        <f t="shared" si="11"/>
        <v>成新度</v>
      </c>
      <c r="R37" s="1567" t="s">
        <v>11</v>
      </c>
      <c r="S37" s="1568">
        <f t="shared" si="12"/>
        <v>100</v>
      </c>
      <c r="T37" s="1567" t="s">
        <v>11</v>
      </c>
      <c r="U37" s="1568">
        <f t="shared" si="13"/>
        <v>100</v>
      </c>
      <c r="V37" s="1567" t="s">
        <v>11</v>
      </c>
      <c r="W37" s="1568">
        <f t="shared" si="14"/>
        <v>100</v>
      </c>
      <c r="X37" s="1569"/>
      <c r="Y37" s="3425"/>
      <c r="Z37" s="1149" t="str">
        <f t="shared" si="15"/>
        <v>成新度</v>
      </c>
      <c r="AA37" s="1570">
        <f t="shared" si="3"/>
        <v>1</v>
      </c>
      <c r="AB37" s="1570">
        <f t="shared" si="4"/>
        <v>1</v>
      </c>
      <c r="AC37" s="1570">
        <f t="shared" si="5"/>
        <v>1</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5" t="s">
        <v>549</v>
      </c>
      <c r="Q38" s="1571" t="str">
        <f t="shared" si="11"/>
        <v>物业管理</v>
      </c>
      <c r="R38" s="1572" t="s">
        <v>11</v>
      </c>
      <c r="S38" s="1573">
        <f t="shared" si="12"/>
        <v>100</v>
      </c>
      <c r="T38" s="1572" t="s">
        <v>11</v>
      </c>
      <c r="U38" s="1573">
        <f t="shared" si="13"/>
        <v>100</v>
      </c>
      <c r="V38" s="1572" t="s">
        <v>11</v>
      </c>
      <c r="W38" s="1573">
        <f t="shared" si="14"/>
        <v>100</v>
      </c>
      <c r="X38" s="1566"/>
      <c r="Y38" s="3425" t="s">
        <v>549</v>
      </c>
      <c r="Z38" s="1574" t="str">
        <f t="shared" si="15"/>
        <v>物业管理</v>
      </c>
      <c r="AA38" s="1575">
        <f t="shared" si="3"/>
        <v>1</v>
      </c>
      <c r="AB38" s="1575">
        <f t="shared" si="4"/>
        <v>1</v>
      </c>
      <c r="AC38" s="1575">
        <f t="shared" si="5"/>
        <v>1</v>
      </c>
    </row>
    <row r="39" spans="1:29" ht="15">
      <c r="A39" s="593"/>
      <c r="B39" s="1893" t="s">
        <v>2563</v>
      </c>
      <c r="C39" s="598" t="s">
        <v>3193</v>
      </c>
      <c r="D39" s="539">
        <v>100</v>
      </c>
      <c r="E39" s="598" t="s">
        <v>3193</v>
      </c>
      <c r="F39" s="574">
        <f>SUMIF(116:116,E39,117:117)-SUMIF(116:116,C39,117:117)+100</f>
        <v>100</v>
      </c>
      <c r="G39" s="598" t="s">
        <v>3193</v>
      </c>
      <c r="H39" s="539">
        <f>SUMIF(116:116,G39,117:117)-SUMIF(116:116,C39,117:117)+100</f>
        <v>100</v>
      </c>
      <c r="I39" s="598" t="s">
        <v>3193</v>
      </c>
      <c r="J39" s="539">
        <f>SUMIF(116:116,I39,117:117)-SUMIF(116:116,C39,117:117)+100</f>
        <v>100</v>
      </c>
      <c r="K39" s="863"/>
      <c r="L39" s="2140"/>
      <c r="M39" s="2132"/>
      <c r="N39" s="2132"/>
      <c r="O39" s="2139"/>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8" customFormat="1" ht="28.5">
      <c r="A41" s="602"/>
      <c r="B41" s="526" t="s">
        <v>732</v>
      </c>
      <c r="C41" s="879" t="s">
        <v>3259</v>
      </c>
      <c r="D41" s="254">
        <v>100</v>
      </c>
      <c r="E41" s="533" t="s">
        <v>3260</v>
      </c>
      <c r="F41" s="862">
        <f>SUMIF(120:120,E41,121:121)-SUMIF(120:120,C41,121:121)+100</f>
        <v>103</v>
      </c>
      <c r="G41" s="532">
        <v>129</v>
      </c>
      <c r="H41" s="254">
        <f>SUMIF(120:120,G41,121:121)-SUMIF(120:120,C41,121:121)+100</f>
        <v>100</v>
      </c>
      <c r="I41" s="585">
        <v>136</v>
      </c>
      <c r="J41" s="539">
        <f>SUMIF(120:120,I41,121:121)-SUMIF(120:120,C41,121:121)+100</f>
        <v>100</v>
      </c>
      <c r="K41" s="864"/>
      <c r="L41" s="2138"/>
      <c r="M41" s="2169"/>
      <c r="N41" s="2169"/>
      <c r="O41" s="2141"/>
      <c r="P41" s="3425"/>
      <c r="Q41" s="1604" t="str">
        <f t="shared" si="11"/>
        <v>单套/主力户型建筑面积</v>
      </c>
      <c r="R41" s="1576" t="s">
        <v>11</v>
      </c>
      <c r="S41" s="1577">
        <f t="shared" si="12"/>
        <v>103</v>
      </c>
      <c r="T41" s="1576" t="s">
        <v>11</v>
      </c>
      <c r="U41" s="1577">
        <f t="shared" si="13"/>
        <v>100</v>
      </c>
      <c r="V41" s="1576" t="s">
        <v>11</v>
      </c>
      <c r="W41" s="1577">
        <f t="shared" si="14"/>
        <v>100</v>
      </c>
      <c r="X41" s="1578"/>
      <c r="Y41" s="3425"/>
      <c r="Z41" s="1579" t="str">
        <f t="shared" si="15"/>
        <v>单套/主力户型建筑面积</v>
      </c>
      <c r="AA41" s="1575">
        <f t="shared" si="3"/>
        <v>0.970873786407767</v>
      </c>
      <c r="AB41" s="1575">
        <f t="shared" si="4"/>
        <v>1</v>
      </c>
      <c r="AC41" s="1575">
        <f t="shared" si="5"/>
        <v>1</v>
      </c>
    </row>
    <row r="42" spans="1:29" ht="15">
      <c r="A42" s="593"/>
      <c r="B42" s="526" t="s">
        <v>733</v>
      </c>
      <c r="C42" s="598" t="s">
        <v>3245</v>
      </c>
      <c r="D42" s="539">
        <v>100</v>
      </c>
      <c r="E42" s="598" t="s">
        <v>3245</v>
      </c>
      <c r="F42" s="574">
        <f>SUMIF(122:122,E42,123:123)-SUMIF(122:122,C42,123:123)+100</f>
        <v>100</v>
      </c>
      <c r="G42" s="598" t="s">
        <v>3245</v>
      </c>
      <c r="H42" s="539">
        <f>SUMIF(122:122,G42,123:123)-SUMIF(122:122,C42,123:123)+100</f>
        <v>100</v>
      </c>
      <c r="I42" s="598" t="s">
        <v>3245</v>
      </c>
      <c r="J42" s="539">
        <f>SUMIF(122:122,I42,123:123)-SUMIF(122:122,C42,123:123)+100</f>
        <v>100</v>
      </c>
      <c r="K42" s="863">
        <v>3</v>
      </c>
      <c r="L42" s="2140"/>
      <c r="M42" s="2132"/>
      <c r="N42" s="2132"/>
      <c r="O42" s="2139"/>
      <c r="P42" s="3425"/>
      <c r="Q42" s="1571" t="str">
        <f t="shared" si="11"/>
        <v>内部装修</v>
      </c>
      <c r="R42" s="1572" t="s">
        <v>11</v>
      </c>
      <c r="S42" s="1573">
        <f t="shared" si="12"/>
        <v>100</v>
      </c>
      <c r="T42" s="1572" t="s">
        <v>11</v>
      </c>
      <c r="U42" s="1573">
        <f t="shared" si="13"/>
        <v>100</v>
      </c>
      <c r="V42" s="1572" t="s">
        <v>11</v>
      </c>
      <c r="W42" s="1573">
        <f t="shared" si="14"/>
        <v>100</v>
      </c>
      <c r="X42" s="1566"/>
      <c r="Y42" s="3425"/>
      <c r="Z42" s="1574" t="str">
        <f t="shared" si="15"/>
        <v>内部装修</v>
      </c>
      <c r="AA42" s="1575">
        <f t="shared" si="3"/>
        <v>1</v>
      </c>
      <c r="AB42" s="1575">
        <f t="shared" si="4"/>
        <v>1</v>
      </c>
      <c r="AC42" s="1575">
        <f t="shared" si="5"/>
        <v>1</v>
      </c>
    </row>
    <row r="43" spans="1:29" ht="27.75" thickBot="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5"/>
      <c r="Q44" s="1150">
        <f t="shared" si="11"/>
        <v>111</v>
      </c>
      <c r="R44" s="1567" t="s">
        <v>11</v>
      </c>
      <c r="S44" s="1568">
        <f t="shared" si="12"/>
        <v>100</v>
      </c>
      <c r="T44" s="1567" t="s">
        <v>11</v>
      </c>
      <c r="U44" s="1568">
        <f t="shared" si="13"/>
        <v>100</v>
      </c>
      <c r="V44" s="1567" t="s">
        <v>11</v>
      </c>
      <c r="W44" s="1568">
        <f t="shared" si="14"/>
        <v>100</v>
      </c>
      <c r="X44" s="1569"/>
      <c r="Y44" s="3425"/>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5"/>
      <c r="Q45" s="1571">
        <f t="shared" si="11"/>
        <v>111</v>
      </c>
      <c r="R45" s="1572" t="s">
        <v>11</v>
      </c>
      <c r="S45" s="1573">
        <f t="shared" si="12"/>
        <v>100</v>
      </c>
      <c r="T45" s="1572" t="s">
        <v>11</v>
      </c>
      <c r="U45" s="1573">
        <f t="shared" si="13"/>
        <v>100</v>
      </c>
      <c r="V45" s="1572" t="s">
        <v>11</v>
      </c>
      <c r="W45" s="1573">
        <f t="shared" si="14"/>
        <v>100</v>
      </c>
      <c r="X45" s="1566"/>
      <c r="Y45" s="3425"/>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1"/>
      <c r="Q46" s="1571">
        <f t="shared" si="11"/>
        <v>111</v>
      </c>
      <c r="R46" s="1572" t="s">
        <v>10</v>
      </c>
      <c r="S46" s="1573">
        <f t="shared" si="12"/>
        <v>100</v>
      </c>
      <c r="T46" s="1572" t="s">
        <v>10</v>
      </c>
      <c r="U46" s="1573">
        <f t="shared" si="13"/>
        <v>100</v>
      </c>
      <c r="V46" s="1572" t="s">
        <v>10</v>
      </c>
      <c r="W46" s="1573">
        <f t="shared" si="14"/>
        <v>100</v>
      </c>
      <c r="X46" s="1566"/>
      <c r="Y46" s="3501"/>
      <c r="Z46" s="1574">
        <f t="shared" si="15"/>
        <v>111</v>
      </c>
      <c r="AA46" s="1575">
        <f t="shared" si="3"/>
        <v>1</v>
      </c>
      <c r="AB46" s="1575">
        <f t="shared" si="4"/>
        <v>1</v>
      </c>
      <c r="AC46" s="1575">
        <f t="shared" si="5"/>
        <v>1</v>
      </c>
    </row>
    <row r="47" spans="1:29" ht="15">
      <c r="A47" s="606" t="s">
        <v>735</v>
      </c>
      <c r="B47" s="886"/>
      <c r="C47" s="2625" t="s">
        <v>9</v>
      </c>
      <c r="D47" s="2626"/>
      <c r="E47" s="2627">
        <v>9000</v>
      </c>
      <c r="F47" s="2628"/>
      <c r="G47" s="2629">
        <v>9600</v>
      </c>
      <c r="H47" s="2630"/>
      <c r="I47" s="2627">
        <v>8700</v>
      </c>
      <c r="J47" s="2630"/>
      <c r="K47" s="1605"/>
      <c r="L47" s="2142"/>
      <c r="M47" s="2143"/>
      <c r="N47" s="2132"/>
      <c r="O47" s="2143"/>
      <c r="P47" s="3387" t="str">
        <f>A47</f>
        <v>成交单价（元/平方米）</v>
      </c>
      <c r="Q47" s="3387"/>
      <c r="R47" s="3500">
        <f>E47</f>
        <v>9000</v>
      </c>
      <c r="S47" s="3500"/>
      <c r="T47" s="3500">
        <f>G47</f>
        <v>9600</v>
      </c>
      <c r="U47" s="3500"/>
      <c r="V47" s="3500">
        <f>I47</f>
        <v>8700</v>
      </c>
      <c r="W47" s="3500"/>
      <c r="X47" s="1558"/>
      <c r="Y47" s="1580"/>
      <c r="Z47" s="1558"/>
      <c r="AA47" s="1558"/>
      <c r="AB47" s="1558"/>
      <c r="AC47" s="1558"/>
    </row>
    <row r="48" spans="1:29" ht="15.75" thickBot="1">
      <c r="A48" s="614" t="s">
        <v>2758</v>
      </c>
      <c r="B48" s="887"/>
      <c r="C48" s="2631">
        <f>R49</f>
        <v>8925</v>
      </c>
      <c r="D48" s="2632"/>
      <c r="E48" s="2633">
        <f>R48</f>
        <v>9008</v>
      </c>
      <c r="F48" s="2633"/>
      <c r="G48" s="2631">
        <f>T48</f>
        <v>9320</v>
      </c>
      <c r="H48" s="2632"/>
      <c r="I48" s="2633">
        <f>V48</f>
        <v>8447</v>
      </c>
      <c r="J48" s="2632"/>
      <c r="K48" s="1606"/>
      <c r="L48" s="2142"/>
      <c r="M48" s="2143"/>
      <c r="N48" s="2143"/>
      <c r="O48" s="2143"/>
      <c r="P48" s="3387" t="str">
        <f>A48</f>
        <v>比较价格（元/平方米）</v>
      </c>
      <c r="Q48" s="3387"/>
      <c r="R48" s="3500">
        <f>IF(F1="售价",ROUND(PRODUCT(R47,AA7:AA46),0),ROUND(PRODUCT(R47,AA7:AA46),1))</f>
        <v>9008</v>
      </c>
      <c r="S48" s="3500"/>
      <c r="T48" s="3500">
        <f>IF(F1="售价",ROUND(PRODUCT(T47,AB7:AB46),0),ROUND(PRODUCT(T47,AB7:AB46),1))</f>
        <v>9320</v>
      </c>
      <c r="U48" s="3500"/>
      <c r="V48" s="3500">
        <f>IF(F1="售价",ROUND(PRODUCT(V47,AC7:AC46),0),ROUND(PRODUCT(V47,AC7:AC46),1))</f>
        <v>8447</v>
      </c>
      <c r="W48" s="3500"/>
      <c r="X48" s="1558"/>
      <c r="Y48" s="1558"/>
      <c r="Z48" s="1558"/>
      <c r="AA48" s="1558"/>
      <c r="AB48" s="1558"/>
      <c r="AC48" s="1558"/>
    </row>
    <row r="49" spans="1:29" ht="15.75" thickBot="1">
      <c r="A49" s="620" t="s">
        <v>2927</v>
      </c>
      <c r="B49" s="621"/>
      <c r="C49" s="2634">
        <f>R49</f>
        <v>8925</v>
      </c>
      <c r="D49" s="2634"/>
      <c r="E49" s="2634"/>
      <c r="F49" s="2634"/>
      <c r="G49" s="2634"/>
      <c r="H49" s="2634"/>
      <c r="I49" s="2634"/>
      <c r="J49" s="2634"/>
      <c r="K49" s="1607"/>
      <c r="L49" s="2142"/>
      <c r="M49" s="2143"/>
      <c r="N49" s="2143"/>
      <c r="O49" s="2143"/>
      <c r="P49" s="3384" t="str">
        <f>A49</f>
        <v>估价对象XX用房的比较价格（楼面单价，元/平方米）</v>
      </c>
      <c r="Q49" s="3385"/>
      <c r="R49" s="3499">
        <f>IF(F1="售价",ROUND(AVERAGE(R48:V48),0),ROUND(AVERAGE(R48:V48),1))</f>
        <v>8925</v>
      </c>
      <c r="S49" s="3499"/>
      <c r="T49" s="3499"/>
      <c r="U49" s="3499"/>
      <c r="V49" s="3499"/>
      <c r="W49" s="349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f>IF(E47&lt;E48,E48/E47-1,E47/E48-1)</f>
        <v>8.8888888888893902E-4</v>
      </c>
      <c r="F52" s="626" t="str">
        <f>IF(OR(E52&gt;=0.3,E52&lt;=-0.3),"超过30%","")</f>
        <v/>
      </c>
      <c r="G52" s="625">
        <f>IF(G47&lt;G48,G48/G47-1,G47/G48-1)</f>
        <v>3.0042918454935563E-2</v>
      </c>
      <c r="H52" s="626" t="str">
        <f>IF(OR(G52&gt;=0.3,G52&lt;=-0.3),"超过30%","")</f>
        <v/>
      </c>
      <c r="I52" s="625">
        <f>IF(I47&lt;I48,I48/I47-1,I47/I48-1)</f>
        <v>2.9951462057535183E-2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f>IF(E48&lt;G48,G48/E48-1,E48/G48-1)</f>
        <v>3.4635879218472443E-2</v>
      </c>
      <c r="F53" s="626" t="str">
        <f>IF(OR(E53&gt;=0.2,E53&lt;=-0.2),"超过20%","")</f>
        <v/>
      </c>
      <c r="G53" s="625">
        <f>IF(G48&lt;I48,I48/G48-1,G48/I48-1)</f>
        <v>0.10335030188232519</v>
      </c>
      <c r="H53" s="626" t="str">
        <f>IF(OR(G53&gt;=0.2,G53&lt;=-0.2),"超过20%","")</f>
        <v/>
      </c>
      <c r="I53" s="625">
        <f>IF(I48&lt;E48,E48/I48-1,I48/E48-1)</f>
        <v>6.6414111518882546E-2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558</v>
      </c>
      <c r="D54" s="627"/>
      <c r="E54" s="625">
        <f>IF(E47&lt;G47,G47/E47-1,E47/G47-1)</f>
        <v>6.6666666666666652E-2</v>
      </c>
      <c r="F54" s="626" t="str">
        <f>IF(OR(E54&gt;=0.3,E54&lt;=-0.3),"超过30%","")</f>
        <v/>
      </c>
      <c r="G54" s="625">
        <f>IF(G47&lt;I47,I47/G47-1,G47/I47-1)</f>
        <v>0.10344827586206895</v>
      </c>
      <c r="H54" s="626" t="str">
        <f>IF(OR(G54&gt;=0.3,G54&lt;=-0.3),"超过30%","")</f>
        <v/>
      </c>
      <c r="I54" s="625">
        <f>IF(I47&lt;E47,E47/I47-1,I47/E47-1)</f>
        <v>3.4482758620689724E-2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528</v>
      </c>
      <c r="B58" s="645"/>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576</v>
      </c>
      <c r="B63" s="664" t="s">
        <v>533</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2556</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2557</v>
      </c>
      <c r="C82" s="2596" t="s">
        <v>2558</v>
      </c>
      <c r="D82" s="2596" t="s">
        <v>2559</v>
      </c>
      <c r="E82" s="2596" t="s">
        <v>2560</v>
      </c>
      <c r="F82" s="2596" t="s">
        <v>2561</v>
      </c>
      <c r="G82" s="2596" t="s">
        <v>2562</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745</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550</v>
      </c>
      <c r="B100" s="664" t="s">
        <v>746</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3198" t="s">
        <v>3252</v>
      </c>
      <c r="D105" s="3198" t="s">
        <v>3253</v>
      </c>
      <c r="E105" s="3190" t="s">
        <v>3254</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749</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750</v>
      </c>
      <c r="C109" s="3198" t="s">
        <v>3241</v>
      </c>
      <c r="D109" s="3198" t="s">
        <v>3243</v>
      </c>
      <c r="E109" s="3198" t="s">
        <v>3244</v>
      </c>
      <c r="F109" s="3190" t="s">
        <v>3246</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2555</v>
      </c>
      <c r="C116" s="3198" t="s">
        <v>3255</v>
      </c>
      <c r="D116" s="3198" t="s">
        <v>3256</v>
      </c>
      <c r="E116" s="3198" t="s">
        <v>3257</v>
      </c>
      <c r="F116" s="3198" t="s">
        <v>3258</v>
      </c>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753</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732</v>
      </c>
      <c r="C120" s="687" t="s">
        <v>3261</v>
      </c>
      <c r="D120" s="687" t="s">
        <v>3262</v>
      </c>
      <c r="E120" s="687">
        <v>129</v>
      </c>
      <c r="F120" s="687">
        <v>136</v>
      </c>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v>100</v>
      </c>
      <c r="D121" s="670">
        <v>103</v>
      </c>
      <c r="E121" s="670">
        <v>100</v>
      </c>
      <c r="F121" s="670">
        <v>100</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3198" t="s">
        <v>3241</v>
      </c>
      <c r="D122" s="3198" t="s">
        <v>3243</v>
      </c>
      <c r="E122" s="3198" t="s">
        <v>3244</v>
      </c>
      <c r="F122" s="3190" t="s">
        <v>3246</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68"/>
      <c r="E1" s="505"/>
      <c r="F1" s="2805"/>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466</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518</v>
      </c>
      <c r="B3" s="509" t="e">
        <f>C49</f>
        <v>#DIV/0!</v>
      </c>
      <c r="C3" s="851" t="s">
        <v>721</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520</v>
      </c>
      <c r="B4" s="512"/>
      <c r="C4" s="3393" t="s">
        <v>521</v>
      </c>
      <c r="D4" s="3394"/>
      <c r="E4" s="3429" t="s">
        <v>522</v>
      </c>
      <c r="F4" s="3430"/>
      <c r="G4" s="3393" t="s">
        <v>523</v>
      </c>
      <c r="H4" s="3394"/>
      <c r="I4" s="3393" t="s">
        <v>524</v>
      </c>
      <c r="J4" s="3394"/>
      <c r="K4" s="513" t="s">
        <v>525</v>
      </c>
      <c r="L4" s="2131"/>
      <c r="M4" s="2132"/>
      <c r="N4" s="2132"/>
      <c r="O4" s="2132"/>
      <c r="P4" s="3395" t="s">
        <v>526</v>
      </c>
      <c r="Q4" s="3396"/>
      <c r="R4" s="3401" t="s">
        <v>522</v>
      </c>
      <c r="S4" s="3402"/>
      <c r="T4" s="3401" t="s">
        <v>523</v>
      </c>
      <c r="U4" s="3402"/>
      <c r="V4" s="3388" t="s">
        <v>524</v>
      </c>
      <c r="W4" s="3388"/>
      <c r="X4" s="1566"/>
      <c r="Y4" s="3401" t="s">
        <v>526</v>
      </c>
      <c r="Z4" s="3402"/>
      <c r="AA4" s="3390" t="s">
        <v>522</v>
      </c>
      <c r="AB4" s="3388" t="s">
        <v>523</v>
      </c>
      <c r="AC4" s="3390" t="s">
        <v>524</v>
      </c>
    </row>
    <row r="5" spans="1:29" ht="15">
      <c r="A5" s="514"/>
      <c r="B5" s="515"/>
      <c r="C5" s="3409" t="s">
        <v>2921</v>
      </c>
      <c r="D5" s="3410"/>
      <c r="E5" s="3431" t="s">
        <v>2922</v>
      </c>
      <c r="F5" s="3432"/>
      <c r="G5" s="3409" t="s">
        <v>2923</v>
      </c>
      <c r="H5" s="3410"/>
      <c r="I5" s="3409" t="s">
        <v>2924</v>
      </c>
      <c r="J5" s="3410"/>
      <c r="K5" s="513"/>
      <c r="L5" s="2131"/>
      <c r="M5" s="2132"/>
      <c r="N5" s="2132"/>
      <c r="O5" s="2132"/>
      <c r="P5" s="3397"/>
      <c r="Q5" s="3398"/>
      <c r="R5" s="3403"/>
      <c r="S5" s="3404"/>
      <c r="T5" s="3403"/>
      <c r="U5" s="3404"/>
      <c r="V5" s="3388"/>
      <c r="W5" s="3388"/>
      <c r="X5" s="1566"/>
      <c r="Y5" s="3403"/>
      <c r="Z5" s="3404"/>
      <c r="AA5" s="3391"/>
      <c r="AB5" s="3388"/>
      <c r="AC5" s="3391"/>
    </row>
    <row r="6" spans="1:29" ht="15.75" thickBot="1">
      <c r="A6" s="516"/>
      <c r="B6" s="517"/>
      <c r="C6" s="3426" t="s">
        <v>2925</v>
      </c>
      <c r="D6" s="3408"/>
      <c r="E6" s="3427" t="s">
        <v>2925</v>
      </c>
      <c r="F6" s="3428"/>
      <c r="G6" s="3426" t="s">
        <v>2925</v>
      </c>
      <c r="H6" s="3408"/>
      <c r="I6" s="3426" t="s">
        <v>2925</v>
      </c>
      <c r="J6" s="3408"/>
      <c r="K6" s="513" t="s">
        <v>527</v>
      </c>
      <c r="L6" s="2131"/>
      <c r="M6" s="2132"/>
      <c r="N6" s="2132"/>
      <c r="O6" s="2132"/>
      <c r="P6" s="3399"/>
      <c r="Q6" s="3400"/>
      <c r="R6" s="3403"/>
      <c r="S6" s="3404"/>
      <c r="T6" s="3405"/>
      <c r="U6" s="3406"/>
      <c r="V6" s="3388"/>
      <c r="W6" s="3388"/>
      <c r="X6" s="1566"/>
      <c r="Y6" s="3405"/>
      <c r="Z6" s="3406"/>
      <c r="AA6" s="3392"/>
      <c r="AB6" s="3388"/>
      <c r="AC6" s="3392"/>
    </row>
    <row r="7" spans="1:29" s="1219" customFormat="1" ht="15.75" thickBot="1">
      <c r="A7" s="2909"/>
      <c r="B7" s="2916" t="s">
        <v>528</v>
      </c>
      <c r="C7" s="518">
        <f>'数据-取费表'!B2</f>
        <v>43391</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9" t="s">
        <v>529</v>
      </c>
      <c r="Q7" s="3421"/>
      <c r="R7" s="1567" t="s">
        <v>8</v>
      </c>
      <c r="S7" s="1568">
        <f t="shared" ref="S7:S15" si="0">F7</f>
        <v>0</v>
      </c>
      <c r="T7" s="1567" t="s">
        <v>8</v>
      </c>
      <c r="U7" s="1568">
        <f t="shared" ref="U7:U15" si="1">H7</f>
        <v>0</v>
      </c>
      <c r="V7" s="1567" t="s">
        <v>8</v>
      </c>
      <c r="W7" s="1568">
        <f t="shared" ref="W7:W15" si="2">J7</f>
        <v>0</v>
      </c>
      <c r="X7" s="1569"/>
      <c r="Y7" s="3419" t="s">
        <v>529</v>
      </c>
      <c r="Z7" s="3420"/>
      <c r="AA7" s="1570" t="e">
        <f>D7/F7</f>
        <v>#DIV/0!</v>
      </c>
      <c r="AB7" s="1570" t="e">
        <f>D7/H7</f>
        <v>#DIV/0!</v>
      </c>
      <c r="AC7" s="1570" t="e">
        <f>D7/J7</f>
        <v>#DIV/0!</v>
      </c>
    </row>
    <row r="8" spans="1:29" s="1219" customFormat="1" ht="15.75" thickBot="1">
      <c r="A8" s="2910"/>
      <c r="B8" s="2917" t="s">
        <v>530</v>
      </c>
      <c r="C8" s="524" t="s">
        <v>575</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9" t="s">
        <v>532</v>
      </c>
      <c r="Q8" s="3420"/>
      <c r="R8" s="1567" t="s">
        <v>8</v>
      </c>
      <c r="S8" s="1568">
        <f t="shared" si="0"/>
        <v>0</v>
      </c>
      <c r="T8" s="1567" t="s">
        <v>8</v>
      </c>
      <c r="U8" s="1568">
        <f t="shared" si="1"/>
        <v>0</v>
      </c>
      <c r="V8" s="1567" t="s">
        <v>8</v>
      </c>
      <c r="W8" s="1568">
        <f t="shared" si="2"/>
        <v>0</v>
      </c>
      <c r="X8" s="1569"/>
      <c r="Y8" s="3419" t="s">
        <v>532</v>
      </c>
      <c r="Z8" s="3420"/>
      <c r="AA8" s="1570" t="e">
        <f t="shared" ref="AA8:AA46" si="3">D8/F8</f>
        <v>#DIV/0!</v>
      </c>
      <c r="AB8" s="1570" t="e">
        <f t="shared" ref="AB8:AB46" si="4">D8/H8</f>
        <v>#DIV/0!</v>
      </c>
      <c r="AC8" s="1570" t="e">
        <f t="shared" ref="AC8:AC46" si="5">D8/J8</f>
        <v>#DIV/0!</v>
      </c>
    </row>
    <row r="9" spans="1:29" s="1219" customFormat="1" ht="15">
      <c r="A9" s="2911"/>
      <c r="B9" s="2918" t="s">
        <v>2754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7" t="s">
        <v>534</v>
      </c>
      <c r="Q9" s="1150" t="str">
        <f t="shared" ref="Q9:Q15" si="6">B9</f>
        <v>用途</v>
      </c>
      <c r="R9" s="1567" t="s">
        <v>8</v>
      </c>
      <c r="S9" s="1568">
        <f t="shared" si="0"/>
        <v>100</v>
      </c>
      <c r="T9" s="1567" t="s">
        <v>8</v>
      </c>
      <c r="U9" s="1568">
        <f t="shared" si="1"/>
        <v>100</v>
      </c>
      <c r="V9" s="1567" t="s">
        <v>8</v>
      </c>
      <c r="W9" s="1568">
        <f t="shared" si="2"/>
        <v>100</v>
      </c>
      <c r="X9" s="1569"/>
      <c r="Y9" s="3333"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15">
      <c r="A15" s="2907" t="s">
        <v>2752</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22" t="s">
        <v>539</v>
      </c>
      <c r="Q15" s="1571" t="str">
        <f t="shared" si="6"/>
        <v>商业繁华度</v>
      </c>
      <c r="R15" s="1572" t="s">
        <v>8</v>
      </c>
      <c r="S15" s="1573">
        <f t="shared" si="0"/>
        <v>100</v>
      </c>
      <c r="T15" s="1572" t="s">
        <v>8</v>
      </c>
      <c r="U15" s="1573">
        <f t="shared" si="1"/>
        <v>100</v>
      </c>
      <c r="V15" s="1572" t="s">
        <v>8</v>
      </c>
      <c r="W15" s="1573">
        <f t="shared" si="2"/>
        <v>100</v>
      </c>
      <c r="X15" s="1566"/>
      <c r="Y15" s="3422" t="s">
        <v>539</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23"/>
      <c r="Q16" s="1571"/>
      <c r="R16" s="1572"/>
      <c r="S16" s="1573"/>
      <c r="T16" s="1572"/>
      <c r="U16" s="1573"/>
      <c r="V16" s="1572"/>
      <c r="W16" s="1573"/>
      <c r="X16" s="1566"/>
      <c r="Y16" s="3423"/>
      <c r="Z16" s="1574"/>
      <c r="AA16" s="1575">
        <v>1</v>
      </c>
      <c r="AB16" s="1575">
        <v>1</v>
      </c>
      <c r="AC16" s="1575">
        <v>1</v>
      </c>
    </row>
    <row r="17" spans="1:29" ht="128.25">
      <c r="A17" s="531"/>
      <c r="B17" s="870" t="s">
        <v>296</v>
      </c>
      <c r="C17" s="871" t="str">
        <f>估价对象房地状况!C6</f>
        <v>估价对象周边道路较密集，公共交通通达情况较好，有211路，泰兴1、2路等公共交通，停车较便捷，综合评价交通便捷度较好。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23"/>
      <c r="Q18" s="1571"/>
      <c r="R18" s="1572"/>
      <c r="S18" s="1573"/>
      <c r="T18" s="1572"/>
      <c r="U18" s="1573"/>
      <c r="V18" s="1572"/>
      <c r="W18" s="1573"/>
      <c r="X18" s="1566"/>
      <c r="Y18" s="3423"/>
      <c r="Z18" s="1574"/>
      <c r="AA18" s="1575">
        <v>1</v>
      </c>
      <c r="AB18" s="1575">
        <v>1</v>
      </c>
      <c r="AC18" s="1575">
        <v>1</v>
      </c>
    </row>
    <row r="19" spans="1:29" ht="185.25">
      <c r="A19" s="531"/>
      <c r="B19" s="2598" t="s">
        <v>2545</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423"/>
      <c r="Q20" s="1571"/>
      <c r="R20" s="1572"/>
      <c r="S20" s="1573"/>
      <c r="T20" s="1572"/>
      <c r="U20" s="1573"/>
      <c r="V20" s="1572"/>
      <c r="W20" s="1573"/>
      <c r="X20" s="1566"/>
      <c r="Y20" s="3423"/>
      <c r="Z20" s="1574"/>
      <c r="AA20" s="1575">
        <v>1</v>
      </c>
      <c r="AB20" s="1575">
        <v>1</v>
      </c>
      <c r="AC20" s="1575">
        <v>1</v>
      </c>
    </row>
    <row r="21" spans="1:29" ht="42.75">
      <c r="A21" s="531"/>
      <c r="B21" s="2591" t="s">
        <v>2557</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3"/>
      <c r="Q21" s="2577" t="str">
        <f>B21</f>
        <v>基础设施水平</v>
      </c>
      <c r="R21" s="1572" t="s">
        <v>8</v>
      </c>
      <c r="S21" s="1573">
        <f>F21</f>
        <v>100</v>
      </c>
      <c r="T21" s="1572" t="s">
        <v>8</v>
      </c>
      <c r="U21" s="1573">
        <f>H21</f>
        <v>100</v>
      </c>
      <c r="V21" s="1572" t="s">
        <v>8</v>
      </c>
      <c r="W21" s="1573">
        <f>J21</f>
        <v>100</v>
      </c>
      <c r="X21" s="2579"/>
      <c r="Y21" s="3423"/>
      <c r="Z21" s="2578"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0"/>
      <c r="L22" s="2140"/>
      <c r="M22" s="2132"/>
      <c r="N22" s="2132"/>
      <c r="O22" s="2139"/>
      <c r="P22" s="3423"/>
      <c r="Q22" s="2577"/>
      <c r="R22" s="1572"/>
      <c r="S22" s="1573"/>
      <c r="T22" s="1572"/>
      <c r="U22" s="1573"/>
      <c r="V22" s="1572"/>
      <c r="W22" s="1573"/>
      <c r="X22" s="2579"/>
      <c r="Y22" s="3423"/>
      <c r="Z22" s="2578"/>
      <c r="AA22" s="1575">
        <v>1</v>
      </c>
      <c r="AB22" s="1575">
        <v>1</v>
      </c>
      <c r="AC22" s="1575">
        <v>1</v>
      </c>
    </row>
    <row r="23" spans="1:29" ht="99.75">
      <c r="A23" s="531"/>
      <c r="B23" s="870" t="s">
        <v>297</v>
      </c>
      <c r="C23" s="899" t="str">
        <f>估价对象房地状况!C9</f>
        <v>区域自然环境：龙河湾公园；人文环境：无博物馆、展览馆等人文景观；综合评价环境状况一般。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423"/>
      <c r="Q24" s="1571"/>
      <c r="R24" s="1572"/>
      <c r="S24" s="1573"/>
      <c r="T24" s="1572"/>
      <c r="U24" s="1573"/>
      <c r="V24" s="1572"/>
      <c r="W24" s="1573"/>
      <c r="X24" s="1566"/>
      <c r="Y24" s="3423"/>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3"/>
      <c r="Q27" s="1150" t="str">
        <f t="shared" si="11"/>
        <v>人流量</v>
      </c>
      <c r="R27" s="1567" t="s">
        <v>8</v>
      </c>
      <c r="S27" s="1568">
        <f>F27</f>
        <v>100</v>
      </c>
      <c r="T27" s="1567" t="s">
        <v>8</v>
      </c>
      <c r="U27" s="1568">
        <f>H27</f>
        <v>100</v>
      </c>
      <c r="V27" s="1567" t="s">
        <v>8</v>
      </c>
      <c r="W27" s="1568">
        <f>J27</f>
        <v>100</v>
      </c>
      <c r="X27" s="1569"/>
      <c r="Y27" s="3423"/>
      <c r="Z27" s="1149"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905"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4" t="s">
        <v>549</v>
      </c>
      <c r="Q32" s="1571" t="str">
        <f t="shared" si="11"/>
        <v>商业类型</v>
      </c>
      <c r="R32" s="1572" t="s">
        <v>8</v>
      </c>
      <c r="S32" s="1573">
        <f t="shared" si="12"/>
        <v>100</v>
      </c>
      <c r="T32" s="1572" t="s">
        <v>8</v>
      </c>
      <c r="U32" s="1573">
        <f t="shared" si="13"/>
        <v>100</v>
      </c>
      <c r="V32" s="1572" t="s">
        <v>8</v>
      </c>
      <c r="W32" s="1573">
        <f t="shared" si="14"/>
        <v>100</v>
      </c>
      <c r="X32" s="1566"/>
      <c r="Y32" s="3425" t="s">
        <v>549</v>
      </c>
      <c r="Z32" s="1574" t="str">
        <f t="shared" si="15"/>
        <v>商业类型</v>
      </c>
      <c r="AA32" s="1575">
        <f t="shared" si="3"/>
        <v>1</v>
      </c>
      <c r="AB32" s="1575">
        <f t="shared" si="4"/>
        <v>1</v>
      </c>
      <c r="AC32" s="1575">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19" customFormat="1" ht="15">
      <c r="A37" s="599"/>
      <c r="B37" s="1893"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5"/>
      <c r="Q37" s="1150" t="str">
        <f t="shared" si="11"/>
        <v>市政基础设施</v>
      </c>
      <c r="R37" s="1567" t="s">
        <v>8</v>
      </c>
      <c r="S37" s="1568">
        <f t="shared" si="12"/>
        <v>100</v>
      </c>
      <c r="T37" s="1567" t="s">
        <v>8</v>
      </c>
      <c r="U37" s="1568">
        <f t="shared" si="13"/>
        <v>100</v>
      </c>
      <c r="V37" s="1567" t="s">
        <v>8</v>
      </c>
      <c r="W37" s="1568">
        <f t="shared" si="14"/>
        <v>100</v>
      </c>
      <c r="X37" s="1569"/>
      <c r="Y37" s="3425"/>
      <c r="Z37" s="1149"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5" t="s">
        <v>765</v>
      </c>
      <c r="Q38" s="1571" t="str">
        <f t="shared" si="11"/>
        <v>业态</v>
      </c>
      <c r="R38" s="1572" t="s">
        <v>8</v>
      </c>
      <c r="S38" s="1573">
        <f t="shared" si="12"/>
        <v>100</v>
      </c>
      <c r="T38" s="1572" t="s">
        <v>8</v>
      </c>
      <c r="U38" s="1573">
        <f t="shared" si="13"/>
        <v>100</v>
      </c>
      <c r="V38" s="1572" t="s">
        <v>8</v>
      </c>
      <c r="W38" s="1573">
        <f t="shared" si="14"/>
        <v>100</v>
      </c>
      <c r="X38" s="1566"/>
      <c r="Y38" s="3425"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5"/>
      <c r="Q44" s="1150">
        <f t="shared" si="11"/>
        <v>111</v>
      </c>
      <c r="R44" s="1567" t="s">
        <v>8</v>
      </c>
      <c r="S44" s="1568">
        <f t="shared" si="12"/>
        <v>100</v>
      </c>
      <c r="T44" s="1567" t="s">
        <v>8</v>
      </c>
      <c r="U44" s="1568">
        <f t="shared" si="13"/>
        <v>100</v>
      </c>
      <c r="V44" s="1567" t="s">
        <v>8</v>
      </c>
      <c r="W44" s="1568">
        <f t="shared" si="14"/>
        <v>100</v>
      </c>
      <c r="X44" s="1569"/>
      <c r="Y44" s="3425"/>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1"/>
      <c r="Q46" s="1571">
        <f t="shared" si="11"/>
        <v>111</v>
      </c>
      <c r="R46" s="1572" t="s">
        <v>8</v>
      </c>
      <c r="S46" s="1573">
        <f t="shared" si="12"/>
        <v>100</v>
      </c>
      <c r="T46" s="1572" t="s">
        <v>8</v>
      </c>
      <c r="U46" s="1573">
        <f t="shared" si="13"/>
        <v>100</v>
      </c>
      <c r="V46" s="1572" t="s">
        <v>8</v>
      </c>
      <c r="W46" s="1573">
        <f t="shared" si="14"/>
        <v>100</v>
      </c>
      <c r="X46" s="1566"/>
      <c r="Y46" s="3501"/>
      <c r="Z46" s="1574">
        <f t="shared" si="15"/>
        <v>111</v>
      </c>
      <c r="AA46" s="1575">
        <f t="shared" si="3"/>
        <v>1</v>
      </c>
      <c r="AB46" s="1575">
        <f t="shared" si="4"/>
        <v>1</v>
      </c>
      <c r="AC46" s="1575">
        <f t="shared" si="5"/>
        <v>1</v>
      </c>
    </row>
    <row r="47" spans="1:29" ht="15">
      <c r="A47" s="606" t="s">
        <v>735</v>
      </c>
      <c r="B47" s="886"/>
      <c r="C47" s="2625" t="s">
        <v>1</v>
      </c>
      <c r="D47" s="2626"/>
      <c r="E47" s="2627"/>
      <c r="F47" s="2628"/>
      <c r="G47" s="2629"/>
      <c r="H47" s="2630"/>
      <c r="I47" s="2627"/>
      <c r="J47" s="2630"/>
      <c r="K47" s="1610"/>
      <c r="L47" s="2142"/>
      <c r="M47" s="2143"/>
      <c r="N47" s="2132"/>
      <c r="O47" s="2143"/>
      <c r="P47" s="3387" t="str">
        <f>A47</f>
        <v>成交单价（元/平方米）</v>
      </c>
      <c r="Q47" s="3387"/>
      <c r="R47" s="3500">
        <f>E47</f>
        <v>0</v>
      </c>
      <c r="S47" s="3500"/>
      <c r="T47" s="3500">
        <f>G47</f>
        <v>0</v>
      </c>
      <c r="U47" s="3500"/>
      <c r="V47" s="3500">
        <f>I47</f>
        <v>0</v>
      </c>
      <c r="W47" s="3500"/>
      <c r="X47" s="1558"/>
      <c r="Y47" s="1580"/>
      <c r="Z47" s="1558"/>
      <c r="AA47" s="1558"/>
      <c r="AB47" s="1558"/>
      <c r="AC47" s="1558"/>
    </row>
    <row r="48" spans="1:29" ht="15.75" thickBot="1">
      <c r="A48" s="614" t="s">
        <v>2758</v>
      </c>
      <c r="B48" s="887"/>
      <c r="C48" s="2631" t="e">
        <f>R49</f>
        <v>#DIV/0!</v>
      </c>
      <c r="D48" s="2632"/>
      <c r="E48" s="2633" t="e">
        <f>R48</f>
        <v>#DIV/0!</v>
      </c>
      <c r="F48" s="2633"/>
      <c r="G48" s="2631" t="e">
        <f>T48</f>
        <v>#DIV/0!</v>
      </c>
      <c r="H48" s="2632"/>
      <c r="I48" s="2633" t="e">
        <f>V48</f>
        <v>#DIV/0!</v>
      </c>
      <c r="J48" s="2632"/>
      <c r="K48" s="1611"/>
      <c r="L48" s="2142"/>
      <c r="M48" s="2143"/>
      <c r="N48" s="2132"/>
      <c r="O48" s="2143"/>
      <c r="P48" s="3387" t="str">
        <f>A48</f>
        <v>比较价格（元/平方米）</v>
      </c>
      <c r="Q48" s="3387"/>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8"/>
      <c r="Y48" s="1558"/>
      <c r="Z48" s="1558"/>
      <c r="AA48" s="1558"/>
      <c r="AB48" s="1558"/>
      <c r="AC48" s="1558"/>
    </row>
    <row r="49" spans="1:29" ht="15.75" thickBot="1">
      <c r="A49" s="620" t="s">
        <v>2927</v>
      </c>
      <c r="B49" s="621"/>
      <c r="C49" s="2634" t="e">
        <f>R49</f>
        <v>#DIV/0!</v>
      </c>
      <c r="D49" s="2634"/>
      <c r="E49" s="2634"/>
      <c r="F49" s="2634"/>
      <c r="G49" s="2634"/>
      <c r="H49" s="2634"/>
      <c r="I49" s="2634"/>
      <c r="J49" s="2634"/>
      <c r="K49" s="1612"/>
      <c r="L49" s="2142"/>
      <c r="M49" s="2143"/>
      <c r="N49" s="2132"/>
      <c r="O49" s="2143"/>
      <c r="P49" s="3384" t="str">
        <f>A49</f>
        <v>估价对象XX用房的比较价格（楼面单价，元/平方米）</v>
      </c>
      <c r="Q49" s="3385"/>
      <c r="R49" s="3499" t="e">
        <f>IF(F1="售价",ROUND(AVERAGE(R48:V48),0),ROUND(AVERAGE(R48:V48),1))</f>
        <v>#DIV/0!</v>
      </c>
      <c r="S49" s="3499"/>
      <c r="T49" s="3499"/>
      <c r="U49" s="3499"/>
      <c r="V49" s="3499"/>
      <c r="W49" s="349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528</v>
      </c>
      <c r="B58" s="645"/>
      <c r="C58" s="2800"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576</v>
      </c>
      <c r="B63" s="664" t="s">
        <v>533</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2556</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2557</v>
      </c>
      <c r="C82" s="2596" t="s">
        <v>2558</v>
      </c>
      <c r="D82" s="2596" t="s">
        <v>2559</v>
      </c>
      <c r="E82" s="2596" t="s">
        <v>2560</v>
      </c>
      <c r="F82" s="2596" t="s">
        <v>2561</v>
      </c>
      <c r="G82" s="2596" t="s">
        <v>2562</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770</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550</v>
      </c>
      <c r="B100" s="664" t="s">
        <v>771</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2555</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773</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774</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775</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805"/>
      <c r="G1" s="1600" t="s">
        <v>720</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466</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518</v>
      </c>
      <c r="B3" s="509" t="e">
        <f>C50</f>
        <v>#DIV/0!</v>
      </c>
      <c r="C3" s="851" t="s">
        <v>721</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520</v>
      </c>
      <c r="B4" s="512"/>
      <c r="C4" s="3393" t="s">
        <v>521</v>
      </c>
      <c r="D4" s="3394"/>
      <c r="E4" s="3429" t="s">
        <v>522</v>
      </c>
      <c r="F4" s="3430"/>
      <c r="G4" s="3393" t="s">
        <v>523</v>
      </c>
      <c r="H4" s="3394"/>
      <c r="I4" s="3393" t="s">
        <v>524</v>
      </c>
      <c r="J4" s="3394"/>
      <c r="K4" s="513" t="s">
        <v>525</v>
      </c>
      <c r="L4" s="2131"/>
      <c r="M4" s="2132"/>
      <c r="N4" s="2132"/>
      <c r="O4" s="2132"/>
      <c r="P4" s="3505" t="s">
        <v>526</v>
      </c>
      <c r="Q4" s="3396"/>
      <c r="R4" s="3401" t="s">
        <v>522</v>
      </c>
      <c r="S4" s="3402"/>
      <c r="T4" s="3401" t="s">
        <v>523</v>
      </c>
      <c r="U4" s="3402"/>
      <c r="V4" s="3388" t="s">
        <v>524</v>
      </c>
      <c r="W4" s="3388"/>
      <c r="X4" s="1566"/>
      <c r="Y4" s="3401" t="s">
        <v>526</v>
      </c>
      <c r="Z4" s="3402"/>
      <c r="AA4" s="3390" t="s">
        <v>522</v>
      </c>
      <c r="AB4" s="3390" t="s">
        <v>523</v>
      </c>
      <c r="AC4" s="3390" t="s">
        <v>524</v>
      </c>
    </row>
    <row r="5" spans="1:29" ht="15">
      <c r="A5" s="514"/>
      <c r="B5" s="515"/>
      <c r="C5" s="3409" t="s">
        <v>2921</v>
      </c>
      <c r="D5" s="3410"/>
      <c r="E5" s="3431" t="s">
        <v>2922</v>
      </c>
      <c r="F5" s="3432"/>
      <c r="G5" s="3409" t="s">
        <v>2923</v>
      </c>
      <c r="H5" s="3410"/>
      <c r="I5" s="3409" t="s">
        <v>2924</v>
      </c>
      <c r="J5" s="3410"/>
      <c r="K5" s="513"/>
      <c r="L5" s="2131"/>
      <c r="M5" s="2132"/>
      <c r="N5" s="2132"/>
      <c r="O5" s="2132"/>
      <c r="P5" s="3506"/>
      <c r="Q5" s="3398"/>
      <c r="R5" s="3403"/>
      <c r="S5" s="3404"/>
      <c r="T5" s="3403"/>
      <c r="U5" s="3404"/>
      <c r="V5" s="3388"/>
      <c r="W5" s="3388"/>
      <c r="X5" s="1566"/>
      <c r="Y5" s="3403"/>
      <c r="Z5" s="3404"/>
      <c r="AA5" s="3391"/>
      <c r="AB5" s="3391"/>
      <c r="AC5" s="3391"/>
    </row>
    <row r="6" spans="1:29" ht="15.75" thickBot="1">
      <c r="A6" s="516"/>
      <c r="B6" s="517"/>
      <c r="C6" s="3426" t="s">
        <v>2925</v>
      </c>
      <c r="D6" s="3408"/>
      <c r="E6" s="3427" t="s">
        <v>2925</v>
      </c>
      <c r="F6" s="3428"/>
      <c r="G6" s="3426" t="s">
        <v>2925</v>
      </c>
      <c r="H6" s="3408"/>
      <c r="I6" s="3426" t="s">
        <v>2925</v>
      </c>
      <c r="J6" s="3408"/>
      <c r="K6" s="513" t="s">
        <v>527</v>
      </c>
      <c r="L6" s="2131"/>
      <c r="M6" s="2132"/>
      <c r="N6" s="2132"/>
      <c r="O6" s="2132"/>
      <c r="P6" s="3507"/>
      <c r="Q6" s="3400"/>
      <c r="R6" s="3403"/>
      <c r="S6" s="3404"/>
      <c r="T6" s="3405"/>
      <c r="U6" s="3406"/>
      <c r="V6" s="3388"/>
      <c r="W6" s="3388"/>
      <c r="X6" s="1566"/>
      <c r="Y6" s="3405"/>
      <c r="Z6" s="3406"/>
      <c r="AA6" s="3392"/>
      <c r="AB6" s="3392"/>
      <c r="AC6" s="3392"/>
    </row>
    <row r="7" spans="1:29" s="1219" customFormat="1" ht="15.75" thickBot="1">
      <c r="A7" s="2909"/>
      <c r="B7" s="2916" t="s">
        <v>528</v>
      </c>
      <c r="C7" s="518">
        <f>'数据-取费表'!B2</f>
        <v>43391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21" t="s">
        <v>529</v>
      </c>
      <c r="Q7" s="3421"/>
      <c r="R7" s="1567" t="s">
        <v>8</v>
      </c>
      <c r="S7" s="1568">
        <f t="shared" ref="S7:S15" si="0">F7</f>
        <v>0</v>
      </c>
      <c r="T7" s="1567" t="s">
        <v>8</v>
      </c>
      <c r="U7" s="1568">
        <f t="shared" ref="U7:U15" si="1">H7</f>
        <v>0</v>
      </c>
      <c r="V7" s="1567" t="s">
        <v>8</v>
      </c>
      <c r="W7" s="1568">
        <f t="shared" ref="W7:W15" si="2">J7</f>
        <v>0</v>
      </c>
      <c r="X7" s="1569"/>
      <c r="Y7" s="3419" t="s">
        <v>529</v>
      </c>
      <c r="Z7" s="3420"/>
      <c r="AA7" s="1570" t="e">
        <f>D7/F7</f>
        <v>#DIV/0!</v>
      </c>
      <c r="AB7" s="1570" t="e">
        <f>D7/H7</f>
        <v>#DIV/0!</v>
      </c>
      <c r="AC7" s="1570" t="e">
        <f>D7/J7</f>
        <v>#DIV/0!</v>
      </c>
    </row>
    <row r="8" spans="1:29" s="1219" customFormat="1" ht="15.75" thickBot="1">
      <c r="A8" s="2910"/>
      <c r="B8" s="2917" t="s">
        <v>530</v>
      </c>
      <c r="C8" s="524" t="s">
        <v>575</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21" t="s">
        <v>532</v>
      </c>
      <c r="Q8" s="3420"/>
      <c r="R8" s="1567" t="s">
        <v>8</v>
      </c>
      <c r="S8" s="1568">
        <f t="shared" si="0"/>
        <v>0</v>
      </c>
      <c r="T8" s="1567" t="s">
        <v>8</v>
      </c>
      <c r="U8" s="1568">
        <f t="shared" si="1"/>
        <v>0</v>
      </c>
      <c r="V8" s="1567" t="s">
        <v>8</v>
      </c>
      <c r="W8" s="1568">
        <f t="shared" si="2"/>
        <v>0</v>
      </c>
      <c r="X8" s="1569"/>
      <c r="Y8" s="3419" t="s">
        <v>532</v>
      </c>
      <c r="Z8" s="3420"/>
      <c r="AA8" s="1570" t="e">
        <f t="shared" ref="AA8:AA47" si="3">D8/F8</f>
        <v>#DIV/0!</v>
      </c>
      <c r="AB8" s="1570" t="e">
        <f t="shared" ref="AB8:AB47" si="4">D8/H8</f>
        <v>#DIV/0!</v>
      </c>
      <c r="AC8" s="1570" t="e">
        <f t="shared" ref="AC8:AC47" si="5">D8/J8</f>
        <v>#DIV/0!</v>
      </c>
    </row>
    <row r="9" spans="1:29" s="1219" customFormat="1" ht="15">
      <c r="A9" s="2911"/>
      <c r="B9" s="2918" t="s">
        <v>2754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7" t="s">
        <v>534</v>
      </c>
      <c r="Q9" s="1150" t="str">
        <f t="shared" ref="Q9:Q15" si="6">B9</f>
        <v>用途</v>
      </c>
      <c r="R9" s="1567" t="s">
        <v>8</v>
      </c>
      <c r="S9" s="1568">
        <f t="shared" si="0"/>
        <v>100</v>
      </c>
      <c r="T9" s="1567" t="s">
        <v>8</v>
      </c>
      <c r="U9" s="1568">
        <f t="shared" si="1"/>
        <v>100</v>
      </c>
      <c r="V9" s="1567" t="s">
        <v>8</v>
      </c>
      <c r="W9" s="1568">
        <f t="shared" si="2"/>
        <v>100</v>
      </c>
      <c r="X9" s="1569"/>
      <c r="Y9" s="3333"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15">
      <c r="A15" s="2907" t="s">
        <v>2752</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22" t="s">
        <v>539</v>
      </c>
      <c r="Q15" s="1571" t="str">
        <f t="shared" si="6"/>
        <v>办公集聚程度</v>
      </c>
      <c r="R15" s="1572" t="s">
        <v>8</v>
      </c>
      <c r="S15" s="1573">
        <f t="shared" si="0"/>
        <v>100</v>
      </c>
      <c r="T15" s="1572" t="s">
        <v>8</v>
      </c>
      <c r="U15" s="1573">
        <f t="shared" si="1"/>
        <v>100</v>
      </c>
      <c r="V15" s="1572" t="s">
        <v>8</v>
      </c>
      <c r="W15" s="1573">
        <f t="shared" si="2"/>
        <v>100</v>
      </c>
      <c r="X15" s="1566"/>
      <c r="Y15" s="3422"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423"/>
      <c r="Q16" s="1571"/>
      <c r="R16" s="1572"/>
      <c r="S16" s="1573"/>
      <c r="T16" s="1572"/>
      <c r="U16" s="1573"/>
      <c r="V16" s="1572"/>
      <c r="W16" s="1573"/>
      <c r="X16" s="1566"/>
      <c r="Y16" s="3423"/>
      <c r="Z16" s="1574"/>
      <c r="AA16" s="1575">
        <v>1</v>
      </c>
      <c r="AB16" s="1575">
        <v>1</v>
      </c>
      <c r="AC16" s="1575">
        <v>1</v>
      </c>
    </row>
    <row r="17" spans="1:29" ht="128.25">
      <c r="A17" s="531"/>
      <c r="B17" s="559" t="s">
        <v>296</v>
      </c>
      <c r="C17" s="572" t="str">
        <f>估价对象房地状况!C6</f>
        <v>估价对象周边道路较密集，公共交通通达情况较好，有211路，泰兴1、2路等公共交通，停车较便捷，综合评价交通便捷度较好。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423"/>
      <c r="Q18" s="1571"/>
      <c r="R18" s="1572"/>
      <c r="S18" s="1573"/>
      <c r="T18" s="1572"/>
      <c r="U18" s="1573"/>
      <c r="V18" s="1572"/>
      <c r="W18" s="1573"/>
      <c r="X18" s="1566"/>
      <c r="Y18" s="3423"/>
      <c r="Z18" s="1574"/>
      <c r="AA18" s="1575">
        <v>1</v>
      </c>
      <c r="AB18" s="1575">
        <v>1</v>
      </c>
      <c r="AC18" s="1575">
        <v>1</v>
      </c>
    </row>
    <row r="19" spans="1:29" ht="185.25">
      <c r="A19" s="531"/>
      <c r="B19" s="2601" t="s">
        <v>2545</v>
      </c>
      <c r="C19" s="572"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423"/>
      <c r="Q20" s="1571"/>
      <c r="R20" s="1572"/>
      <c r="S20" s="1573"/>
      <c r="T20" s="1572"/>
      <c r="U20" s="1573"/>
      <c r="V20" s="1572"/>
      <c r="W20" s="1573"/>
      <c r="X20" s="1566"/>
      <c r="Y20" s="3423"/>
      <c r="Z20" s="1574"/>
      <c r="AA20" s="1575">
        <v>1</v>
      </c>
      <c r="AB20" s="1575">
        <v>1</v>
      </c>
      <c r="AC20" s="1575">
        <v>1</v>
      </c>
    </row>
    <row r="21" spans="1:29" ht="42.75">
      <c r="A21" s="531"/>
      <c r="B21" s="2589" t="s">
        <v>2557</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3"/>
      <c r="Q21" s="2577" t="str">
        <f>B21</f>
        <v>基础设施水平</v>
      </c>
      <c r="R21" s="1572" t="s">
        <v>8</v>
      </c>
      <c r="S21" s="1573">
        <f>F21</f>
        <v>100</v>
      </c>
      <c r="T21" s="1572" t="s">
        <v>8</v>
      </c>
      <c r="U21" s="1573">
        <f>H21</f>
        <v>100</v>
      </c>
      <c r="V21" s="1572" t="s">
        <v>8</v>
      </c>
      <c r="W21" s="1573">
        <f>J21</f>
        <v>100</v>
      </c>
      <c r="X21" s="2579"/>
      <c r="Y21" s="3423"/>
      <c r="Z21" s="2578"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0"/>
      <c r="L22" s="2140"/>
      <c r="M22" s="2132"/>
      <c r="N22" s="2132"/>
      <c r="O22" s="2132"/>
      <c r="P22" s="3423"/>
      <c r="Q22" s="2577"/>
      <c r="R22" s="1572"/>
      <c r="S22" s="1573"/>
      <c r="T22" s="1572"/>
      <c r="U22" s="1573"/>
      <c r="V22" s="1572"/>
      <c r="W22" s="1573"/>
      <c r="X22" s="2579"/>
      <c r="Y22" s="3423"/>
      <c r="Z22" s="2578"/>
      <c r="AA22" s="1575">
        <v>1</v>
      </c>
      <c r="AB22" s="1575">
        <v>1</v>
      </c>
      <c r="AC22" s="1575">
        <v>1</v>
      </c>
    </row>
    <row r="23" spans="1:29" ht="99.75">
      <c r="A23" s="531"/>
      <c r="B23" s="559" t="s">
        <v>777</v>
      </c>
      <c r="C23" s="572" t="str">
        <f>估价对象房地状况!C9</f>
        <v>区域自然环境：龙河湾公园；人文环境：无博物馆、展览馆等人文景观；综合评价环境状况一般。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423"/>
      <c r="Q24" s="1571"/>
      <c r="R24" s="1572"/>
      <c r="S24" s="1573"/>
      <c r="T24" s="1572"/>
      <c r="U24" s="1573"/>
      <c r="V24" s="1572"/>
      <c r="W24" s="1573"/>
      <c r="X24" s="1566"/>
      <c r="Y24" s="3423"/>
      <c r="Z24" s="1574"/>
      <c r="AA24" s="1575">
        <v>1</v>
      </c>
      <c r="AB24" s="1575">
        <v>1</v>
      </c>
      <c r="AC24" s="1575">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423"/>
      <c r="Q26" s="1571"/>
      <c r="R26" s="1572"/>
      <c r="S26" s="1573"/>
      <c r="T26" s="1572"/>
      <c r="U26" s="1573"/>
      <c r="V26" s="1572"/>
      <c r="W26" s="1573"/>
      <c r="X26" s="1566"/>
      <c r="Y26" s="3423"/>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3"/>
      <c r="Q28" s="1150" t="str">
        <f t="shared" si="11"/>
        <v>朝向</v>
      </c>
      <c r="R28" s="1567" t="s">
        <v>8</v>
      </c>
      <c r="S28" s="1568">
        <f>F28</f>
        <v>100</v>
      </c>
      <c r="T28" s="1567" t="s">
        <v>8</v>
      </c>
      <c r="U28" s="1568">
        <f>H28</f>
        <v>100</v>
      </c>
      <c r="V28" s="1567" t="s">
        <v>8</v>
      </c>
      <c r="W28" s="1568">
        <f>J28</f>
        <v>100</v>
      </c>
      <c r="X28" s="1569"/>
      <c r="Y28" s="3423"/>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905"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4" t="s">
        <v>549</v>
      </c>
      <c r="Q33" s="1571" t="str">
        <f t="shared" si="11"/>
        <v>建筑类型</v>
      </c>
      <c r="R33" s="1572" t="s">
        <v>8</v>
      </c>
      <c r="S33" s="1573">
        <f t="shared" si="12"/>
        <v>100</v>
      </c>
      <c r="T33" s="1572" t="s">
        <v>8</v>
      </c>
      <c r="U33" s="1573">
        <f t="shared" si="13"/>
        <v>100</v>
      </c>
      <c r="V33" s="1572" t="s">
        <v>8</v>
      </c>
      <c r="W33" s="1573">
        <f t="shared" si="14"/>
        <v>100</v>
      </c>
      <c r="X33" s="1566"/>
      <c r="Y33" s="3425" t="s">
        <v>549</v>
      </c>
      <c r="Z33" s="1574" t="str">
        <f t="shared" si="15"/>
        <v>建筑类型</v>
      </c>
      <c r="AA33" s="1575">
        <f t="shared" si="3"/>
        <v>1</v>
      </c>
      <c r="AB33" s="1575">
        <f t="shared" si="4"/>
        <v>1</v>
      </c>
      <c r="AC33" s="1575">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5"/>
      <c r="Q34" s="1604" t="str">
        <f t="shared" si="11"/>
        <v>项目建筑规模</v>
      </c>
      <c r="R34" s="1576" t="s">
        <v>8</v>
      </c>
      <c r="S34" s="1577" t="e">
        <f t="shared" si="12"/>
        <v>#N/A</v>
      </c>
      <c r="T34" s="1576" t="s">
        <v>8</v>
      </c>
      <c r="U34" s="1577" t="e">
        <f t="shared" si="13"/>
        <v>#N/A</v>
      </c>
      <c r="V34" s="1576" t="s">
        <v>8</v>
      </c>
      <c r="W34" s="1577" t="e">
        <f t="shared" si="14"/>
        <v>#N/A</v>
      </c>
      <c r="X34" s="1578"/>
      <c r="Y34" s="3425"/>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5"/>
      <c r="Q37" s="1571" t="str">
        <f t="shared" si="11"/>
        <v>成新度</v>
      </c>
      <c r="R37" s="1572" t="s">
        <v>8</v>
      </c>
      <c r="S37" s="1573" t="e">
        <f t="shared" si="12"/>
        <v>#N/A</v>
      </c>
      <c r="T37" s="1572" t="s">
        <v>8</v>
      </c>
      <c r="U37" s="1573" t="e">
        <f t="shared" si="13"/>
        <v>#N/A</v>
      </c>
      <c r="V37" s="1572" t="s">
        <v>8</v>
      </c>
      <c r="W37" s="1573" t="e">
        <f t="shared" si="14"/>
        <v>#N/A</v>
      </c>
      <c r="X37" s="1566"/>
      <c r="Y37" s="3425"/>
      <c r="Z37" s="1574" t="str">
        <f t="shared" si="15"/>
        <v>成新度</v>
      </c>
      <c r="AA37" s="1575" t="e">
        <f t="shared" si="3"/>
        <v>#N/A</v>
      </c>
      <c r="AB37" s="1575" t="e">
        <f t="shared" si="4"/>
        <v>#N/A</v>
      </c>
      <c r="AC37" s="1575"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5"/>
      <c r="Q38" s="1150" t="str">
        <f t="shared" si="11"/>
        <v>写字楼等级</v>
      </c>
      <c r="R38" s="1567" t="s">
        <v>8</v>
      </c>
      <c r="S38" s="1568">
        <f t="shared" si="12"/>
        <v>100</v>
      </c>
      <c r="T38" s="1567" t="s">
        <v>8</v>
      </c>
      <c r="U38" s="1568">
        <f t="shared" si="13"/>
        <v>100</v>
      </c>
      <c r="V38" s="1567" t="s">
        <v>8</v>
      </c>
      <c r="W38" s="1568">
        <f t="shared" si="14"/>
        <v>100</v>
      </c>
      <c r="X38" s="1569"/>
      <c r="Y38" s="3425"/>
      <c r="Z38" s="1149"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5" t="s">
        <v>549</v>
      </c>
      <c r="Q39" s="1571" t="str">
        <f t="shared" si="11"/>
        <v>物业管理</v>
      </c>
      <c r="R39" s="1572" t="s">
        <v>8</v>
      </c>
      <c r="S39" s="1573">
        <f t="shared" si="12"/>
        <v>100</v>
      </c>
      <c r="T39" s="1572" t="s">
        <v>8</v>
      </c>
      <c r="U39" s="1573">
        <f t="shared" si="13"/>
        <v>100</v>
      </c>
      <c r="V39" s="1572" t="s">
        <v>8</v>
      </c>
      <c r="W39" s="1573">
        <f t="shared" si="14"/>
        <v>100</v>
      </c>
      <c r="X39" s="1566"/>
      <c r="Y39" s="3425" t="s">
        <v>549</v>
      </c>
      <c r="Z39" s="1574" t="str">
        <f t="shared" si="15"/>
        <v>物业管理</v>
      </c>
      <c r="AA39" s="1575">
        <f t="shared" si="3"/>
        <v>1</v>
      </c>
      <c r="AB39" s="1575">
        <f t="shared" si="4"/>
        <v>1</v>
      </c>
      <c r="AC39" s="1575">
        <f t="shared" si="5"/>
        <v>1</v>
      </c>
    </row>
    <row r="40" spans="1:29" ht="15">
      <c r="A40" s="593"/>
      <c r="B40" s="1893"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5"/>
      <c r="Q45" s="1150">
        <f t="shared" si="11"/>
        <v>111</v>
      </c>
      <c r="R45" s="1567" t="s">
        <v>8</v>
      </c>
      <c r="S45" s="1568">
        <f t="shared" si="12"/>
        <v>100</v>
      </c>
      <c r="T45" s="1567" t="s">
        <v>8</v>
      </c>
      <c r="U45" s="1568">
        <f t="shared" si="13"/>
        <v>100</v>
      </c>
      <c r="V45" s="1567" t="s">
        <v>8</v>
      </c>
      <c r="W45" s="1568">
        <f t="shared" si="14"/>
        <v>100</v>
      </c>
      <c r="X45" s="1569"/>
      <c r="Y45" s="3425"/>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1"/>
      <c r="Q47" s="1571">
        <f t="shared" si="11"/>
        <v>111</v>
      </c>
      <c r="R47" s="1572" t="s">
        <v>8</v>
      </c>
      <c r="S47" s="1573">
        <f t="shared" si="12"/>
        <v>100</v>
      </c>
      <c r="T47" s="1572" t="s">
        <v>8</v>
      </c>
      <c r="U47" s="1573">
        <f t="shared" si="13"/>
        <v>100</v>
      </c>
      <c r="V47" s="1572" t="s">
        <v>8</v>
      </c>
      <c r="W47" s="1573">
        <f t="shared" si="14"/>
        <v>100</v>
      </c>
      <c r="X47" s="1566"/>
      <c r="Y47" s="3501"/>
      <c r="Z47" s="1574">
        <f t="shared" si="15"/>
        <v>111</v>
      </c>
      <c r="AA47" s="1575">
        <f t="shared" si="3"/>
        <v>1</v>
      </c>
      <c r="AB47" s="1575">
        <f t="shared" si="4"/>
        <v>1</v>
      </c>
      <c r="AC47" s="1575">
        <f t="shared" si="5"/>
        <v>1</v>
      </c>
    </row>
    <row r="48" spans="1:29" ht="15">
      <c r="A48" s="606" t="s">
        <v>735</v>
      </c>
      <c r="B48" s="886"/>
      <c r="C48" s="2625" t="s">
        <v>1</v>
      </c>
      <c r="D48" s="2626"/>
      <c r="E48" s="2627"/>
      <c r="F48" s="2628"/>
      <c r="G48" s="2629"/>
      <c r="H48" s="2630"/>
      <c r="I48" s="2627"/>
      <c r="J48" s="2630"/>
      <c r="K48" s="1610"/>
      <c r="L48" s="2142"/>
      <c r="M48" s="2132"/>
      <c r="N48" s="2132"/>
      <c r="O48" s="2132"/>
      <c r="P48" s="3385" t="str">
        <f>A48</f>
        <v>成交单价（元/平方米）</v>
      </c>
      <c r="Q48" s="3387"/>
      <c r="R48" s="3500">
        <f>E48</f>
        <v>0</v>
      </c>
      <c r="S48" s="3500"/>
      <c r="T48" s="3500">
        <f>G48</f>
        <v>0</v>
      </c>
      <c r="U48" s="3500"/>
      <c r="V48" s="3500">
        <f>I48</f>
        <v>0</v>
      </c>
      <c r="W48" s="3500"/>
      <c r="X48" s="1558"/>
      <c r="Y48" s="1580"/>
      <c r="Z48" s="1558"/>
      <c r="AA48" s="1558"/>
      <c r="AB48" s="1558"/>
      <c r="AC48" s="1558"/>
    </row>
    <row r="49" spans="1:29" ht="15.75" thickBot="1">
      <c r="A49" s="614" t="s">
        <v>2758</v>
      </c>
      <c r="B49" s="887"/>
      <c r="C49" s="2631" t="e">
        <f>R50</f>
        <v>#DIV/0!</v>
      </c>
      <c r="D49" s="2632"/>
      <c r="E49" s="2633" t="e">
        <f>R49</f>
        <v>#DIV/0!</v>
      </c>
      <c r="F49" s="2633"/>
      <c r="G49" s="2631" t="e">
        <f>T49</f>
        <v>#DIV/0!</v>
      </c>
      <c r="H49" s="2632"/>
      <c r="I49" s="2633" t="e">
        <f>V49</f>
        <v>#DIV/0!</v>
      </c>
      <c r="J49" s="2632"/>
      <c r="K49" s="1611"/>
      <c r="L49" s="2142"/>
      <c r="M49" s="2132"/>
      <c r="N49" s="2132"/>
      <c r="O49" s="2132"/>
      <c r="P49" s="3385" t="str">
        <f>A49</f>
        <v>比较价格（元/平方米）</v>
      </c>
      <c r="Q49" s="3387"/>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8"/>
      <c r="Y49" s="1558"/>
      <c r="Z49" s="1558"/>
      <c r="AA49" s="1558"/>
      <c r="AB49" s="1558"/>
      <c r="AC49" s="1558"/>
    </row>
    <row r="50" spans="1:29" ht="15.75" thickBot="1">
      <c r="A50" s="620" t="s">
        <v>2927</v>
      </c>
      <c r="B50" s="621"/>
      <c r="C50" s="2634" t="e">
        <f>R50</f>
        <v>#DIV/0!</v>
      </c>
      <c r="D50" s="2634"/>
      <c r="E50" s="2634"/>
      <c r="F50" s="2634"/>
      <c r="G50" s="2634"/>
      <c r="H50" s="2634"/>
      <c r="I50" s="2634"/>
      <c r="J50" s="2634"/>
      <c r="K50" s="1612"/>
      <c r="L50" s="2142"/>
      <c r="M50" s="2132"/>
      <c r="N50" s="2132"/>
      <c r="O50" s="2132"/>
      <c r="P50" s="3504" t="str">
        <f>A50</f>
        <v>估价对象XX用房的比较价格（楼面单价，元/平方米）</v>
      </c>
      <c r="Q50" s="3385"/>
      <c r="R50" s="3499" t="e">
        <f>IF(F1="售价",ROUND(AVERAGE(R49:V49),0),ROUND(AVERAGE(R49:V49),1))</f>
        <v>#DIV/0!</v>
      </c>
      <c r="S50" s="3499"/>
      <c r="T50" s="3499"/>
      <c r="U50" s="3499"/>
      <c r="V50" s="3499"/>
      <c r="W50" s="3499"/>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573</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528</v>
      </c>
      <c r="B59" s="645"/>
      <c r="C59" s="2800" t="str">
        <f>YEAR(C7)&amp;"-"&amp;MONTH(C7)</f>
        <v>2018-10</v>
      </c>
      <c r="D59" s="2802">
        <f>EDATE(C59,-1)</f>
        <v>43344</v>
      </c>
      <c r="E59" s="2802">
        <f t="shared" ref="E59:O59" si="16">EDATE(D59,-1)</f>
        <v>43313</v>
      </c>
      <c r="F59" s="2802">
        <f t="shared" si="16"/>
        <v>43282</v>
      </c>
      <c r="G59" s="2802">
        <f t="shared" si="16"/>
        <v>43252</v>
      </c>
      <c r="H59" s="2802">
        <f t="shared" si="16"/>
        <v>43221</v>
      </c>
      <c r="I59" s="2802">
        <f t="shared" si="16"/>
        <v>43191</v>
      </c>
      <c r="J59" s="2802">
        <f t="shared" si="16"/>
        <v>43160</v>
      </c>
      <c r="K59" s="2802">
        <f t="shared" si="16"/>
        <v>43132</v>
      </c>
      <c r="L59" s="2802">
        <f t="shared" si="16"/>
        <v>43101</v>
      </c>
      <c r="M59" s="2802">
        <f t="shared" si="16"/>
        <v>43070</v>
      </c>
      <c r="N59" s="2802">
        <f t="shared" si="16"/>
        <v>43040</v>
      </c>
      <c r="O59" s="2802">
        <f t="shared" si="16"/>
        <v>43009</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574</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530</v>
      </c>
      <c r="B62" s="647"/>
      <c r="C62" s="659" t="s">
        <v>575</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576</v>
      </c>
      <c r="B64" s="664" t="s">
        <v>533</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538</v>
      </c>
      <c r="B77" s="664" t="s">
        <v>584</v>
      </c>
      <c r="C77" s="702" t="s">
        <v>578</v>
      </c>
      <c r="D77" s="702" t="s">
        <v>579</v>
      </c>
      <c r="E77" s="702" t="s">
        <v>580</v>
      </c>
      <c r="F77" s="702" t="s">
        <v>581</v>
      </c>
      <c r="G77" s="702" t="s">
        <v>582</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585</v>
      </c>
      <c r="C79" s="707" t="s">
        <v>578</v>
      </c>
      <c r="D79" s="707" t="s">
        <v>579</v>
      </c>
      <c r="E79" s="707" t="s">
        <v>580</v>
      </c>
      <c r="F79" s="707" t="s">
        <v>581</v>
      </c>
      <c r="G79" s="707" t="s">
        <v>582</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2556</v>
      </c>
      <c r="C81" s="707" t="s">
        <v>578</v>
      </c>
      <c r="D81" s="707" t="s">
        <v>579</v>
      </c>
      <c r="E81" s="707" t="s">
        <v>580</v>
      </c>
      <c r="F81" s="707" t="s">
        <v>581</v>
      </c>
      <c r="G81" s="707" t="s">
        <v>582</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2557</v>
      </c>
      <c r="C83" s="2596" t="s">
        <v>2558</v>
      </c>
      <c r="D83" s="2596" t="s">
        <v>2559</v>
      </c>
      <c r="E83" s="2596" t="s">
        <v>2560</v>
      </c>
      <c r="F83" s="2596" t="s">
        <v>2561</v>
      </c>
      <c r="G83" s="2596" t="s">
        <v>2562</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783</v>
      </c>
      <c r="C85" s="707" t="s">
        <v>578</v>
      </c>
      <c r="D85" s="707" t="s">
        <v>579</v>
      </c>
      <c r="E85" s="707" t="s">
        <v>580</v>
      </c>
      <c r="F85" s="707" t="s">
        <v>581</v>
      </c>
      <c r="G85" s="707" t="s">
        <v>582</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784</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550</v>
      </c>
      <c r="B101" s="664" t="s">
        <v>746</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748</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750</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785</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752</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2555</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786</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774</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754</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805"/>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466</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518</v>
      </c>
      <c r="B3" s="509" t="e">
        <f>C43</f>
        <v>#DIV/0!</v>
      </c>
      <c r="C3" s="851" t="s">
        <v>721</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520</v>
      </c>
      <c r="B4" s="512"/>
      <c r="C4" s="3393" t="s">
        <v>521</v>
      </c>
      <c r="D4" s="3394"/>
      <c r="E4" s="3429" t="s">
        <v>522</v>
      </c>
      <c r="F4" s="3430"/>
      <c r="G4" s="3393" t="s">
        <v>523</v>
      </c>
      <c r="H4" s="3394"/>
      <c r="I4" s="3393" t="s">
        <v>524</v>
      </c>
      <c r="J4" s="3394"/>
      <c r="K4" s="513" t="s">
        <v>525</v>
      </c>
      <c r="L4" s="2131"/>
      <c r="M4" s="2132"/>
      <c r="N4" s="2132"/>
      <c r="O4" s="2132"/>
      <c r="P4" s="3395" t="s">
        <v>526</v>
      </c>
      <c r="Q4" s="3396"/>
      <c r="R4" s="3401" t="s">
        <v>522</v>
      </c>
      <c r="S4" s="3402"/>
      <c r="T4" s="3401" t="s">
        <v>523</v>
      </c>
      <c r="U4" s="3402"/>
      <c r="V4" s="3388" t="s">
        <v>524</v>
      </c>
      <c r="W4" s="3388"/>
      <c r="X4" s="1566"/>
      <c r="Y4" s="3401" t="s">
        <v>526</v>
      </c>
      <c r="Z4" s="3402"/>
      <c r="AA4" s="3390" t="s">
        <v>522</v>
      </c>
      <c r="AB4" s="3391" t="s">
        <v>523</v>
      </c>
      <c r="AC4" s="3390" t="s">
        <v>524</v>
      </c>
    </row>
    <row r="5" spans="1:29" ht="15">
      <c r="A5" s="514"/>
      <c r="B5" s="515"/>
      <c r="C5" s="3409" t="s">
        <v>2921</v>
      </c>
      <c r="D5" s="3410"/>
      <c r="E5" s="3431" t="s">
        <v>2922</v>
      </c>
      <c r="F5" s="3432"/>
      <c r="G5" s="3409" t="s">
        <v>2923</v>
      </c>
      <c r="H5" s="3410"/>
      <c r="I5" s="3409" t="s">
        <v>2924</v>
      </c>
      <c r="J5" s="3410"/>
      <c r="K5" s="513"/>
      <c r="L5" s="2131"/>
      <c r="M5" s="2132"/>
      <c r="N5" s="2132"/>
      <c r="O5" s="2132"/>
      <c r="P5" s="3397"/>
      <c r="Q5" s="3398"/>
      <c r="R5" s="3403"/>
      <c r="S5" s="3404"/>
      <c r="T5" s="3403"/>
      <c r="U5" s="3404"/>
      <c r="V5" s="3388"/>
      <c r="W5" s="3388"/>
      <c r="X5" s="1566"/>
      <c r="Y5" s="3403"/>
      <c r="Z5" s="3404"/>
      <c r="AA5" s="3391"/>
      <c r="AB5" s="3391"/>
      <c r="AC5" s="3391"/>
    </row>
    <row r="6" spans="1:29" ht="15.75" thickBot="1">
      <c r="A6" s="516"/>
      <c r="B6" s="517"/>
      <c r="C6" s="3426" t="s">
        <v>2925</v>
      </c>
      <c r="D6" s="3408"/>
      <c r="E6" s="3427" t="s">
        <v>2925</v>
      </c>
      <c r="F6" s="3428"/>
      <c r="G6" s="3426" t="s">
        <v>2925</v>
      </c>
      <c r="H6" s="3408"/>
      <c r="I6" s="3426" t="s">
        <v>2925</v>
      </c>
      <c r="J6" s="3408"/>
      <c r="K6" s="513" t="s">
        <v>527</v>
      </c>
      <c r="L6" s="2131"/>
      <c r="M6" s="2132"/>
      <c r="N6" s="2132"/>
      <c r="O6" s="2132"/>
      <c r="P6" s="3399"/>
      <c r="Q6" s="3400"/>
      <c r="R6" s="3403"/>
      <c r="S6" s="3404"/>
      <c r="T6" s="3405"/>
      <c r="U6" s="3406"/>
      <c r="V6" s="3388"/>
      <c r="W6" s="3388"/>
      <c r="X6" s="1566"/>
      <c r="Y6" s="3405"/>
      <c r="Z6" s="3406"/>
      <c r="AA6" s="3392"/>
      <c r="AB6" s="3392"/>
      <c r="AC6" s="3392"/>
    </row>
    <row r="7" spans="1:29" s="1219" customFormat="1" ht="15.75" thickBot="1">
      <c r="A7" s="2909"/>
      <c r="B7" s="2916" t="s">
        <v>528</v>
      </c>
      <c r="C7" s="518">
        <f>'数据-取费表'!B2</f>
        <v>43391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9" t="s">
        <v>529</v>
      </c>
      <c r="Q7" s="3421"/>
      <c r="R7" s="1567" t="s">
        <v>8</v>
      </c>
      <c r="S7" s="1568">
        <f t="shared" ref="S7:S15" si="0">F7</f>
        <v>0</v>
      </c>
      <c r="T7" s="1567" t="s">
        <v>8</v>
      </c>
      <c r="U7" s="1568">
        <f t="shared" ref="U7:U15" si="1">H7</f>
        <v>0</v>
      </c>
      <c r="V7" s="1567" t="s">
        <v>8</v>
      </c>
      <c r="W7" s="1568">
        <f t="shared" ref="W7:W15" si="2">J7</f>
        <v>0</v>
      </c>
      <c r="X7" s="1569"/>
      <c r="Y7" s="3419" t="s">
        <v>529</v>
      </c>
      <c r="Z7" s="3420"/>
      <c r="AA7" s="1570" t="e">
        <f>D7/F7</f>
        <v>#DIV/0!</v>
      </c>
      <c r="AB7" s="1570" t="e">
        <f>D7/H7</f>
        <v>#DIV/0!</v>
      </c>
      <c r="AC7" s="1570" t="e">
        <f>D7/J7</f>
        <v>#DIV/0!</v>
      </c>
    </row>
    <row r="8" spans="1:29" s="1219" customFormat="1" ht="15.75" thickBot="1">
      <c r="A8" s="2910"/>
      <c r="B8" s="2917" t="s">
        <v>530</v>
      </c>
      <c r="C8" s="524" t="s">
        <v>575</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9" t="s">
        <v>532</v>
      </c>
      <c r="Q8" s="3420"/>
      <c r="R8" s="1567" t="s">
        <v>8</v>
      </c>
      <c r="S8" s="1568">
        <f t="shared" si="0"/>
        <v>0</v>
      </c>
      <c r="T8" s="1567" t="s">
        <v>8</v>
      </c>
      <c r="U8" s="1568">
        <f t="shared" si="1"/>
        <v>0</v>
      </c>
      <c r="V8" s="1567" t="s">
        <v>8</v>
      </c>
      <c r="W8" s="1568">
        <f t="shared" si="2"/>
        <v>0</v>
      </c>
      <c r="X8" s="1569"/>
      <c r="Y8" s="3419" t="s">
        <v>532</v>
      </c>
      <c r="Z8" s="3420"/>
      <c r="AA8" s="1570" t="e">
        <f t="shared" ref="AA8:AA40" si="3">D8/F8</f>
        <v>#DIV/0!</v>
      </c>
      <c r="AB8" s="1570" t="e">
        <f t="shared" ref="AB8:AB40" si="4">D8/H8</f>
        <v>#DIV/0!</v>
      </c>
      <c r="AC8" s="1570" t="e">
        <f t="shared" ref="AC8:AC40" si="5">D8/J8</f>
        <v>#DIV/0!</v>
      </c>
    </row>
    <row r="9" spans="1:29" s="1219" customFormat="1" ht="15">
      <c r="A9" s="2911"/>
      <c r="B9" s="2918" t="s">
        <v>2754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7" t="s">
        <v>534</v>
      </c>
      <c r="Q9" s="1150" t="str">
        <f t="shared" ref="Q9:Q15" si="6">B9</f>
        <v>用途</v>
      </c>
      <c r="R9" s="1567" t="s">
        <v>8</v>
      </c>
      <c r="S9" s="1568">
        <f t="shared" si="0"/>
        <v>100</v>
      </c>
      <c r="T9" s="1567" t="s">
        <v>8</v>
      </c>
      <c r="U9" s="1568">
        <f t="shared" si="1"/>
        <v>100</v>
      </c>
      <c r="V9" s="1567" t="s">
        <v>8</v>
      </c>
      <c r="W9" s="1568">
        <f t="shared" si="2"/>
        <v>100</v>
      </c>
      <c r="X9" s="1569"/>
      <c r="Y9" s="3333"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57">
      <c r="A15" s="2907"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22" t="s">
        <v>539</v>
      </c>
      <c r="Q15" s="1571" t="str">
        <f t="shared" si="6"/>
        <v>产业集聚程度</v>
      </c>
      <c r="R15" s="1572" t="s">
        <v>8</v>
      </c>
      <c r="S15" s="1573">
        <f t="shared" si="0"/>
        <v>100</v>
      </c>
      <c r="T15" s="1572" t="s">
        <v>8</v>
      </c>
      <c r="U15" s="1573">
        <f t="shared" si="1"/>
        <v>100</v>
      </c>
      <c r="V15" s="1572" t="s">
        <v>8</v>
      </c>
      <c r="W15" s="1573">
        <f t="shared" si="2"/>
        <v>100</v>
      </c>
      <c r="X15" s="1566"/>
      <c r="Y15" s="3422"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23"/>
      <c r="Q16" s="1571"/>
      <c r="R16" s="1572"/>
      <c r="S16" s="1573"/>
      <c r="T16" s="1572"/>
      <c r="U16" s="1573"/>
      <c r="V16" s="1572"/>
      <c r="W16" s="1573"/>
      <c r="X16" s="1566"/>
      <c r="Y16" s="3423"/>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23"/>
      <c r="Q18" s="1571"/>
      <c r="R18" s="1572"/>
      <c r="S18" s="1573"/>
      <c r="T18" s="1572"/>
      <c r="U18" s="1573"/>
      <c r="V18" s="1572"/>
      <c r="W18" s="1573"/>
      <c r="X18" s="1566"/>
      <c r="Y18" s="3423"/>
      <c r="Z18" s="1574"/>
      <c r="AA18" s="1575">
        <v>1</v>
      </c>
      <c r="AB18" s="1575">
        <v>1</v>
      </c>
      <c r="AC18" s="1575">
        <v>1</v>
      </c>
    </row>
    <row r="19" spans="1:29" ht="42.75">
      <c r="A19" s="531"/>
      <c r="B19" s="2601"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423"/>
      <c r="Q20" s="1571"/>
      <c r="R20" s="1572"/>
      <c r="S20" s="1573"/>
      <c r="T20" s="1572"/>
      <c r="U20" s="1573"/>
      <c r="V20" s="1572"/>
      <c r="W20" s="1573"/>
      <c r="X20" s="1566"/>
      <c r="Y20" s="3423"/>
      <c r="Z20" s="1574"/>
      <c r="AA20" s="1575">
        <v>1</v>
      </c>
      <c r="AB20" s="1575">
        <v>1</v>
      </c>
      <c r="AC20" s="1575">
        <v>1</v>
      </c>
    </row>
    <row r="21" spans="1:29" ht="28.5">
      <c r="A21" s="531"/>
      <c r="B21" s="2589"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3"/>
      <c r="Q21" s="2577" t="str">
        <f>B21</f>
        <v>基础设施水平</v>
      </c>
      <c r="R21" s="1572" t="s">
        <v>8</v>
      </c>
      <c r="S21" s="1573">
        <f>F21</f>
        <v>100</v>
      </c>
      <c r="T21" s="1572" t="s">
        <v>8</v>
      </c>
      <c r="U21" s="1573">
        <f>H21</f>
        <v>100</v>
      </c>
      <c r="V21" s="1572" t="s">
        <v>8</v>
      </c>
      <c r="W21" s="1573">
        <f>J21</f>
        <v>100</v>
      </c>
      <c r="X21" s="2579"/>
      <c r="Y21" s="3423"/>
      <c r="Z21" s="2578"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0"/>
      <c r="L22" s="2140"/>
      <c r="M22" s="2132"/>
      <c r="N22" s="2132"/>
      <c r="O22" s="2139"/>
      <c r="P22" s="3423"/>
      <c r="Q22" s="2577"/>
      <c r="R22" s="1572"/>
      <c r="S22" s="1573"/>
      <c r="T22" s="1572"/>
      <c r="U22" s="1573"/>
      <c r="V22" s="1572"/>
      <c r="W22" s="1573"/>
      <c r="X22" s="2579"/>
      <c r="Y22" s="3423"/>
      <c r="Z22" s="2578"/>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423"/>
      <c r="Q24" s="1571"/>
      <c r="R24" s="1572"/>
      <c r="S24" s="1573"/>
      <c r="T24" s="1572"/>
      <c r="U24" s="1573"/>
      <c r="V24" s="1572"/>
      <c r="W24" s="1573"/>
      <c r="X24" s="1566"/>
      <c r="Y24" s="342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3"/>
      <c r="Q27" s="1150">
        <f t="shared" si="11"/>
        <v>111</v>
      </c>
      <c r="R27" s="1567" t="s">
        <v>8</v>
      </c>
      <c r="S27" s="1568">
        <f>F27</f>
        <v>100</v>
      </c>
      <c r="T27" s="1567" t="s">
        <v>8</v>
      </c>
      <c r="U27" s="1568">
        <f>H27</f>
        <v>100</v>
      </c>
      <c r="V27" s="1567" t="s">
        <v>8</v>
      </c>
      <c r="W27" s="1568">
        <f>J27</f>
        <v>100</v>
      </c>
      <c r="X27" s="1569"/>
      <c r="Y27" s="3423"/>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905"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4" t="s">
        <v>549</v>
      </c>
      <c r="Q29" s="1571" t="str">
        <f t="shared" si="11"/>
        <v>建筑类型</v>
      </c>
      <c r="R29" s="1572" t="s">
        <v>8</v>
      </c>
      <c r="S29" s="1573">
        <f t="shared" si="12"/>
        <v>100</v>
      </c>
      <c r="T29" s="1572" t="s">
        <v>8</v>
      </c>
      <c r="U29" s="1573">
        <f t="shared" si="13"/>
        <v>100</v>
      </c>
      <c r="V29" s="1572" t="s">
        <v>8</v>
      </c>
      <c r="W29" s="1573">
        <f t="shared" si="14"/>
        <v>100</v>
      </c>
      <c r="X29" s="1566"/>
      <c r="Y29" s="3425" t="s">
        <v>549</v>
      </c>
      <c r="Z29" s="1574" t="str">
        <f t="shared" si="15"/>
        <v>建筑类型</v>
      </c>
      <c r="AA29" s="1575">
        <f t="shared" si="3"/>
        <v>1</v>
      </c>
      <c r="AB29" s="1575">
        <f t="shared" si="4"/>
        <v>1</v>
      </c>
      <c r="AC29" s="1575">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5"/>
      <c r="Q34" s="1150" t="str">
        <f t="shared" si="11"/>
        <v>物业管理</v>
      </c>
      <c r="R34" s="1567" t="s">
        <v>8</v>
      </c>
      <c r="S34" s="1568">
        <f t="shared" si="12"/>
        <v>100</v>
      </c>
      <c r="T34" s="1567" t="s">
        <v>8</v>
      </c>
      <c r="U34" s="1568">
        <f t="shared" si="13"/>
        <v>100</v>
      </c>
      <c r="V34" s="1567" t="s">
        <v>8</v>
      </c>
      <c r="W34" s="1568">
        <f t="shared" si="14"/>
        <v>100</v>
      </c>
      <c r="X34" s="1569"/>
      <c r="Y34" s="3425"/>
      <c r="Z34" s="1149" t="str">
        <f t="shared" si="15"/>
        <v>物业管理</v>
      </c>
      <c r="AA34" s="1570">
        <f t="shared" si="3"/>
        <v>1</v>
      </c>
      <c r="AB34" s="1570">
        <f t="shared" si="4"/>
        <v>1</v>
      </c>
      <c r="AC34" s="1570">
        <f t="shared" si="5"/>
        <v>1</v>
      </c>
    </row>
    <row r="35" spans="1:29" ht="15">
      <c r="A35" s="593"/>
      <c r="B35" s="1893"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5" t="s">
        <v>549</v>
      </c>
      <c r="Q35" s="1571" t="str">
        <f t="shared" si="11"/>
        <v>市政基础设施</v>
      </c>
      <c r="R35" s="1572" t="s">
        <v>8</v>
      </c>
      <c r="S35" s="1573">
        <f t="shared" si="12"/>
        <v>100</v>
      </c>
      <c r="T35" s="1572" t="s">
        <v>8</v>
      </c>
      <c r="U35" s="1573">
        <f t="shared" si="13"/>
        <v>100</v>
      </c>
      <c r="V35" s="1572" t="s">
        <v>8</v>
      </c>
      <c r="W35" s="1573">
        <f t="shared" si="14"/>
        <v>100</v>
      </c>
      <c r="X35" s="1566"/>
      <c r="Y35" s="3425"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1"/>
      <c r="Q40" s="1571">
        <f t="shared" si="11"/>
        <v>111</v>
      </c>
      <c r="R40" s="1572" t="s">
        <v>8</v>
      </c>
      <c r="S40" s="1573">
        <f t="shared" si="12"/>
        <v>100</v>
      </c>
      <c r="T40" s="1572" t="s">
        <v>8</v>
      </c>
      <c r="U40" s="1573">
        <f t="shared" si="13"/>
        <v>100</v>
      </c>
      <c r="V40" s="1572" t="s">
        <v>8</v>
      </c>
      <c r="W40" s="1573">
        <f t="shared" si="14"/>
        <v>100</v>
      </c>
      <c r="X40" s="1566"/>
      <c r="Y40" s="3501"/>
      <c r="Z40" s="1574">
        <f t="shared" si="15"/>
        <v>111</v>
      </c>
      <c r="AA40" s="1575">
        <f t="shared" si="3"/>
        <v>1</v>
      </c>
      <c r="AB40" s="1575">
        <f t="shared" si="4"/>
        <v>1</v>
      </c>
      <c r="AC40" s="1575">
        <f t="shared" si="5"/>
        <v>1</v>
      </c>
    </row>
    <row r="41" spans="1:29" ht="15">
      <c r="A41" s="606" t="s">
        <v>735</v>
      </c>
      <c r="B41" s="886"/>
      <c r="C41" s="2625" t="s">
        <v>1</v>
      </c>
      <c r="D41" s="2626"/>
      <c r="E41" s="2627"/>
      <c r="F41" s="2628"/>
      <c r="G41" s="2629"/>
      <c r="H41" s="2630"/>
      <c r="I41" s="2627"/>
      <c r="J41" s="2630"/>
      <c r="K41" s="1610"/>
      <c r="L41" s="2142"/>
      <c r="M41" s="2143"/>
      <c r="N41" s="2132"/>
      <c r="O41" s="2143"/>
      <c r="P41" s="3387" t="str">
        <f>A41</f>
        <v>成交单价（元/平方米）</v>
      </c>
      <c r="Q41" s="3387"/>
      <c r="R41" s="3500">
        <f>E41</f>
        <v>0</v>
      </c>
      <c r="S41" s="3500"/>
      <c r="T41" s="3500">
        <f>G41</f>
        <v>0</v>
      </c>
      <c r="U41" s="3500"/>
      <c r="V41" s="3500">
        <f>I41</f>
        <v>0</v>
      </c>
      <c r="W41" s="3500"/>
      <c r="X41" s="1558"/>
      <c r="Y41" s="1580"/>
      <c r="Z41" s="1558"/>
      <c r="AA41" s="1558"/>
      <c r="AB41" s="1558"/>
      <c r="AC41" s="1558"/>
    </row>
    <row r="42" spans="1:29" ht="15.75" thickBot="1">
      <c r="A42" s="614" t="s">
        <v>2758</v>
      </c>
      <c r="B42" s="887"/>
      <c r="C42" s="2631" t="e">
        <f>R43</f>
        <v>#DIV/0!</v>
      </c>
      <c r="D42" s="2632"/>
      <c r="E42" s="2633" t="e">
        <f>R42</f>
        <v>#DIV/0!</v>
      </c>
      <c r="F42" s="2633"/>
      <c r="G42" s="2631" t="e">
        <f>T42</f>
        <v>#DIV/0!</v>
      </c>
      <c r="H42" s="2632"/>
      <c r="I42" s="2633" t="e">
        <f>V42</f>
        <v>#DIV/0!</v>
      </c>
      <c r="J42" s="2632"/>
      <c r="K42" s="1611"/>
      <c r="L42" s="2142"/>
      <c r="M42" s="2143"/>
      <c r="N42" s="2132"/>
      <c r="O42" s="2143"/>
      <c r="P42" s="3387" t="str">
        <f>A42</f>
        <v>比较价格（元/平方米）</v>
      </c>
      <c r="Q42" s="3387"/>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8"/>
      <c r="Y42" s="1558"/>
      <c r="Z42" s="1558"/>
      <c r="AA42" s="1558"/>
      <c r="AB42" s="1558"/>
      <c r="AC42" s="1558"/>
    </row>
    <row r="43" spans="1:29" ht="15.75" thickBot="1">
      <c r="A43" s="620" t="s">
        <v>2927</v>
      </c>
      <c r="B43" s="621"/>
      <c r="C43" s="2634" t="e">
        <f>R43</f>
        <v>#DIV/0!</v>
      </c>
      <c r="D43" s="2634"/>
      <c r="E43" s="2634"/>
      <c r="F43" s="2634"/>
      <c r="G43" s="2634"/>
      <c r="H43" s="2634"/>
      <c r="I43" s="2634"/>
      <c r="J43" s="2634"/>
      <c r="K43" s="1612"/>
      <c r="L43" s="2142"/>
      <c r="M43" s="2143"/>
      <c r="N43" s="2143"/>
      <c r="O43" s="2143"/>
      <c r="P43" s="3384" t="str">
        <f>A43</f>
        <v>估价对象XX用房的比较价格（楼面单价，元/平方米）</v>
      </c>
      <c r="Q43" s="3385"/>
      <c r="R43" s="3499" t="e">
        <f>IF(F1="售价",ROUND(AVERAGE(R42:V42),0),ROUND(AVERAGE(R42:V42),1))</f>
        <v>#DIV/0!</v>
      </c>
      <c r="S43" s="3499"/>
      <c r="T43" s="3499"/>
      <c r="U43" s="3499"/>
      <c r="V43" s="3499"/>
      <c r="W43" s="3499"/>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573</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528</v>
      </c>
      <c r="B52" s="645"/>
      <c r="C52" s="2800" t="str">
        <f>YEAR(C7)&amp;"-"&amp;MONTH(C7)</f>
        <v>2018-10</v>
      </c>
      <c r="D52" s="2802">
        <f>EDATE(C52,-1)</f>
        <v>43344</v>
      </c>
      <c r="E52" s="2802">
        <f t="shared" ref="E52:O52" si="16">EDATE(D52,-1)</f>
        <v>43313</v>
      </c>
      <c r="F52" s="2802">
        <f t="shared" si="16"/>
        <v>43282</v>
      </c>
      <c r="G52" s="2802">
        <f t="shared" si="16"/>
        <v>43252</v>
      </c>
      <c r="H52" s="2802">
        <f t="shared" si="16"/>
        <v>43221</v>
      </c>
      <c r="I52" s="2802">
        <f t="shared" si="16"/>
        <v>43191</v>
      </c>
      <c r="J52" s="2802">
        <f t="shared" si="16"/>
        <v>43160</v>
      </c>
      <c r="K52" s="2802">
        <f t="shared" si="16"/>
        <v>43132</v>
      </c>
      <c r="L52" s="2802">
        <f t="shared" si="16"/>
        <v>43101</v>
      </c>
      <c r="M52" s="2802">
        <f t="shared" si="16"/>
        <v>43070</v>
      </c>
      <c r="N52" s="2802">
        <f t="shared" si="16"/>
        <v>43040</v>
      </c>
      <c r="O52" s="2802">
        <f t="shared" si="16"/>
        <v>43009</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574</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530</v>
      </c>
      <c r="B55" s="647"/>
      <c r="C55" s="659" t="s">
        <v>575</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576</v>
      </c>
      <c r="B57" s="664" t="s">
        <v>533</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538</v>
      </c>
      <c r="B70" s="664" t="s">
        <v>584</v>
      </c>
      <c r="C70" s="702" t="s">
        <v>578</v>
      </c>
      <c r="D70" s="702" t="s">
        <v>579</v>
      </c>
      <c r="E70" s="702" t="s">
        <v>580</v>
      </c>
      <c r="F70" s="702" t="s">
        <v>581</v>
      </c>
      <c r="G70" s="702" t="s">
        <v>582</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585</v>
      </c>
      <c r="C72" s="707" t="s">
        <v>578</v>
      </c>
      <c r="D72" s="707" t="s">
        <v>579</v>
      </c>
      <c r="E72" s="707" t="s">
        <v>580</v>
      </c>
      <c r="F72" s="707" t="s">
        <v>581</v>
      </c>
      <c r="G72" s="707" t="s">
        <v>582</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2556</v>
      </c>
      <c r="C74" s="707" t="s">
        <v>578</v>
      </c>
      <c r="D74" s="707" t="s">
        <v>579</v>
      </c>
      <c r="E74" s="707" t="s">
        <v>580</v>
      </c>
      <c r="F74" s="707" t="s">
        <v>581</v>
      </c>
      <c r="G74" s="707" t="s">
        <v>582</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2557</v>
      </c>
      <c r="C76" s="2596" t="s">
        <v>2558</v>
      </c>
      <c r="D76" s="2596" t="s">
        <v>2559</v>
      </c>
      <c r="E76" s="2596" t="s">
        <v>2560</v>
      </c>
      <c r="F76" s="2596" t="s">
        <v>2561</v>
      </c>
      <c r="G76" s="2596" t="s">
        <v>2562</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783</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550</v>
      </c>
      <c r="B88" s="664" t="s">
        <v>746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750</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752</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2555</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754</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794</v>
      </c>
      <c r="B3" s="509" t="e">
        <f>IF(B37="元/平方米",C39,ROUND(B2*10000/D3,0))</f>
        <v>#DIV/0!</v>
      </c>
      <c r="C3" s="851" t="s">
        <v>795</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393" t="s">
        <v>797</v>
      </c>
      <c r="D4" s="3394"/>
      <c r="E4" s="3393" t="s">
        <v>798</v>
      </c>
      <c r="F4" s="3394"/>
      <c r="G4" s="3393" t="s">
        <v>799</v>
      </c>
      <c r="H4" s="3394"/>
      <c r="I4" s="3393" t="s">
        <v>800</v>
      </c>
      <c r="J4" s="3394"/>
      <c r="K4" s="513" t="s">
        <v>801</v>
      </c>
      <c r="L4" s="2131"/>
      <c r="M4" s="2132"/>
      <c r="N4" s="2132"/>
      <c r="O4" s="2132"/>
      <c r="P4" s="3395" t="s">
        <v>802</v>
      </c>
      <c r="Q4" s="3396"/>
      <c r="R4" s="3401" t="s">
        <v>798</v>
      </c>
      <c r="S4" s="3402"/>
      <c r="T4" s="3401" t="s">
        <v>799</v>
      </c>
      <c r="U4" s="3402"/>
      <c r="V4" s="3388" t="s">
        <v>800</v>
      </c>
      <c r="W4" s="3388"/>
      <c r="X4" s="1566"/>
      <c r="Y4" s="3401" t="s">
        <v>802</v>
      </c>
      <c r="Z4" s="3402"/>
      <c r="AA4" s="3390" t="s">
        <v>798</v>
      </c>
      <c r="AB4" s="3391" t="s">
        <v>799</v>
      </c>
      <c r="AC4" s="3390" t="s">
        <v>800</v>
      </c>
    </row>
    <row r="5" spans="1:29" ht="15">
      <c r="A5" s="514"/>
      <c r="B5" s="515"/>
      <c r="C5" s="3409" t="s">
        <v>2921</v>
      </c>
      <c r="D5" s="3410"/>
      <c r="E5" s="3409" t="s">
        <v>2922</v>
      </c>
      <c r="F5" s="3410"/>
      <c r="G5" s="3409" t="s">
        <v>2923</v>
      </c>
      <c r="H5" s="3410"/>
      <c r="I5" s="3409" t="s">
        <v>2924</v>
      </c>
      <c r="J5" s="3410"/>
      <c r="K5" s="513"/>
      <c r="L5" s="2131"/>
      <c r="M5" s="2132"/>
      <c r="N5" s="2132"/>
      <c r="O5" s="2132"/>
      <c r="P5" s="3397"/>
      <c r="Q5" s="3398"/>
      <c r="R5" s="3403"/>
      <c r="S5" s="3404"/>
      <c r="T5" s="3403"/>
      <c r="U5" s="3404"/>
      <c r="V5" s="3388"/>
      <c r="W5" s="3388"/>
      <c r="X5" s="1566"/>
      <c r="Y5" s="3403"/>
      <c r="Z5" s="3404"/>
      <c r="AA5" s="3391"/>
      <c r="AB5" s="3391"/>
      <c r="AC5" s="3391"/>
    </row>
    <row r="6" spans="1:29" ht="15.75" thickBot="1">
      <c r="A6" s="516"/>
      <c r="B6" s="517"/>
      <c r="C6" s="3426" t="s">
        <v>2925</v>
      </c>
      <c r="D6" s="3408"/>
      <c r="E6" s="3508" t="s">
        <v>2925</v>
      </c>
      <c r="F6" s="3413"/>
      <c r="G6" s="3426" t="s">
        <v>2925</v>
      </c>
      <c r="H6" s="3408"/>
      <c r="I6" s="3426" t="s">
        <v>2925</v>
      </c>
      <c r="J6" s="3408"/>
      <c r="K6" s="513" t="s">
        <v>527</v>
      </c>
      <c r="L6" s="2131"/>
      <c r="M6" s="2132"/>
      <c r="N6" s="2132"/>
      <c r="O6" s="2132"/>
      <c r="P6" s="3399"/>
      <c r="Q6" s="3400"/>
      <c r="R6" s="3403"/>
      <c r="S6" s="3404"/>
      <c r="T6" s="3405"/>
      <c r="U6" s="3406"/>
      <c r="V6" s="3388"/>
      <c r="W6" s="3388"/>
      <c r="X6" s="1566"/>
      <c r="Y6" s="3405"/>
      <c r="Z6" s="3406"/>
      <c r="AA6" s="3392"/>
      <c r="AB6" s="3392"/>
      <c r="AC6" s="3392"/>
    </row>
    <row r="7" spans="1:29" s="1219" customFormat="1" ht="15.75" thickBot="1">
      <c r="A7" s="2909"/>
      <c r="B7" s="2916" t="s">
        <v>528</v>
      </c>
      <c r="C7" s="518">
        <f>'数据-取费表'!B2</f>
        <v>43391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9" t="s">
        <v>529</v>
      </c>
      <c r="Q7" s="3421"/>
      <c r="R7" s="1567" t="s">
        <v>8</v>
      </c>
      <c r="S7" s="1568">
        <f t="shared" ref="S7:S14" si="0">F7</f>
        <v>0</v>
      </c>
      <c r="T7" s="1567" t="s">
        <v>8</v>
      </c>
      <c r="U7" s="1568">
        <f t="shared" ref="U7:U14" si="1">H7</f>
        <v>0</v>
      </c>
      <c r="V7" s="1567" t="s">
        <v>8</v>
      </c>
      <c r="W7" s="1568">
        <f t="shared" ref="W7:W14" si="2">J7</f>
        <v>0</v>
      </c>
      <c r="X7" s="1569"/>
      <c r="Y7" s="3419" t="s">
        <v>529</v>
      </c>
      <c r="Z7" s="3420"/>
      <c r="AA7" s="1570" t="e">
        <f>D7/F7</f>
        <v>#DIV/0!</v>
      </c>
      <c r="AB7" s="1570" t="e">
        <f>D7/H7</f>
        <v>#DIV/0!</v>
      </c>
      <c r="AC7" s="1570" t="e">
        <f>D7/J7</f>
        <v>#DIV/0!</v>
      </c>
    </row>
    <row r="8" spans="1:29" s="1219" customFormat="1" ht="15.75" thickBot="1">
      <c r="A8" s="2910"/>
      <c r="B8" s="2917" t="s">
        <v>530</v>
      </c>
      <c r="C8" s="524" t="s">
        <v>575</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9" t="s">
        <v>532</v>
      </c>
      <c r="Q8" s="3420"/>
      <c r="R8" s="1567" t="s">
        <v>8</v>
      </c>
      <c r="S8" s="1568">
        <f t="shared" si="0"/>
        <v>0</v>
      </c>
      <c r="T8" s="1567" t="s">
        <v>8</v>
      </c>
      <c r="U8" s="1568">
        <f t="shared" si="1"/>
        <v>0</v>
      </c>
      <c r="V8" s="1567" t="s">
        <v>8</v>
      </c>
      <c r="W8" s="1568">
        <f t="shared" si="2"/>
        <v>0</v>
      </c>
      <c r="X8" s="1569"/>
      <c r="Y8" s="3419" t="s">
        <v>532</v>
      </c>
      <c r="Z8" s="3420"/>
      <c r="AA8" s="1570" t="e">
        <f t="shared" ref="AA8:AA36" si="3">D8/F8</f>
        <v>#DIV/0!</v>
      </c>
      <c r="AB8" s="1570" t="e">
        <f t="shared" ref="AB8:AB36" si="4">D8/H8</f>
        <v>#DIV/0!</v>
      </c>
      <c r="AC8" s="1570" t="e">
        <f t="shared" ref="AC8:AC36" si="5">D8/J8</f>
        <v>#DIV/0!</v>
      </c>
    </row>
    <row r="9" spans="1:29" s="1219" customFormat="1" ht="15">
      <c r="A9" s="2911"/>
      <c r="B9" s="2918" t="s">
        <v>2754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7" t="s">
        <v>534</v>
      </c>
      <c r="Q9" s="1150" t="str">
        <f t="shared" ref="Q9:Q14" si="6">B9</f>
        <v>用途</v>
      </c>
      <c r="R9" s="1567" t="s">
        <v>8</v>
      </c>
      <c r="S9" s="1568">
        <f t="shared" si="0"/>
        <v>100</v>
      </c>
      <c r="T9" s="1567" t="s">
        <v>8</v>
      </c>
      <c r="U9" s="1568">
        <f t="shared" si="1"/>
        <v>100</v>
      </c>
      <c r="V9" s="1567" t="s">
        <v>8</v>
      </c>
      <c r="W9" s="1568">
        <f t="shared" si="2"/>
        <v>100</v>
      </c>
      <c r="X9" s="1569"/>
      <c r="Y9" s="3333" t="s">
        <v>535</v>
      </c>
      <c r="Z9" s="1149" t="str">
        <f t="shared" ref="Z9:Z14" si="7">Q9</f>
        <v>用途</v>
      </c>
      <c r="AA9" s="1570">
        <f t="shared" si="3"/>
        <v>1</v>
      </c>
      <c r="AB9" s="1570">
        <f t="shared" si="4"/>
        <v>1</v>
      </c>
      <c r="AC9" s="1570">
        <f t="shared" si="5"/>
        <v>1</v>
      </c>
    </row>
    <row r="10" spans="1:29" s="1337" customFormat="1" ht="27">
      <c r="A10" s="2912"/>
      <c r="B10" s="2917" t="s">
        <v>2755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7"/>
      <c r="Q11" s="1150">
        <f t="shared" si="6"/>
        <v>111</v>
      </c>
      <c r="R11" s="1567" t="s">
        <v>8</v>
      </c>
      <c r="S11" s="1568">
        <f t="shared" si="0"/>
        <v>100</v>
      </c>
      <c r="T11" s="1567" t="s">
        <v>8</v>
      </c>
      <c r="U11" s="1568">
        <f t="shared" si="1"/>
        <v>100</v>
      </c>
      <c r="V11" s="1567" t="s">
        <v>8</v>
      </c>
      <c r="W11" s="1568">
        <f t="shared" si="2"/>
        <v>100</v>
      </c>
      <c r="X11" s="1569"/>
      <c r="Y11" s="3333"/>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28.25">
      <c r="A14" s="2907" t="s">
        <v>2752</v>
      </c>
      <c r="B14" s="546" t="s">
        <v>542</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423"/>
      <c r="Q15" s="1571"/>
      <c r="R15" s="1572"/>
      <c r="S15" s="1573"/>
      <c r="T15" s="1572"/>
      <c r="U15" s="1573"/>
      <c r="V15" s="1572"/>
      <c r="W15" s="1573"/>
      <c r="X15" s="1566"/>
      <c r="Y15" s="3423"/>
      <c r="Z15" s="1574"/>
      <c r="AA15" s="1575">
        <v>1</v>
      </c>
      <c r="AB15" s="1575">
        <v>1</v>
      </c>
      <c r="AC15" s="1575">
        <v>1</v>
      </c>
    </row>
    <row r="16" spans="1:29" ht="185.25">
      <c r="A16" s="514"/>
      <c r="B16" s="2601" t="s">
        <v>2545</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423"/>
      <c r="Q17" s="1571"/>
      <c r="R17" s="1572"/>
      <c r="S17" s="1573"/>
      <c r="T17" s="1572"/>
      <c r="U17" s="1573"/>
      <c r="V17" s="1572"/>
      <c r="W17" s="1573"/>
      <c r="X17" s="1566"/>
      <c r="Y17" s="3423"/>
      <c r="Z17" s="1574"/>
      <c r="AA17" s="1575">
        <v>1</v>
      </c>
      <c r="AB17" s="1575">
        <v>1</v>
      </c>
      <c r="AC17" s="1575">
        <v>1</v>
      </c>
    </row>
    <row r="18" spans="1:29" ht="42.75">
      <c r="A18" s="514"/>
      <c r="B18" s="2589" t="s">
        <v>2557</v>
      </c>
      <c r="C18" s="871" t="str">
        <f>IF(B1="工业",估价对象房地状况!G6,估价对象房地状况!C8)</f>
        <v>估价对象所在区域基础设施水平达到“六通”。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23"/>
      <c r="Q18" s="2577" t="str">
        <f>B18</f>
        <v>基础设施水平</v>
      </c>
      <c r="R18" s="1572" t="s">
        <v>8</v>
      </c>
      <c r="S18" s="1573">
        <f>F18</f>
        <v>100</v>
      </c>
      <c r="T18" s="1572" t="s">
        <v>8</v>
      </c>
      <c r="U18" s="1573">
        <f>H18</f>
        <v>100</v>
      </c>
      <c r="V18" s="1572" t="s">
        <v>8</v>
      </c>
      <c r="W18" s="1573">
        <f>J18</f>
        <v>100</v>
      </c>
      <c r="X18" s="2579"/>
      <c r="Y18" s="3423"/>
      <c r="Z18" s="2578"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0"/>
      <c r="L19" s="2140"/>
      <c r="M19" s="2132"/>
      <c r="N19" s="2132"/>
      <c r="O19" s="2139"/>
      <c r="P19" s="3423"/>
      <c r="Q19" s="2577"/>
      <c r="R19" s="1572"/>
      <c r="S19" s="1573"/>
      <c r="T19" s="1572"/>
      <c r="U19" s="1573"/>
      <c r="V19" s="1572"/>
      <c r="W19" s="1573"/>
      <c r="X19" s="2579"/>
      <c r="Y19" s="3423"/>
      <c r="Z19" s="2578"/>
      <c r="AA19" s="1575">
        <v>1</v>
      </c>
      <c r="AB19" s="1575">
        <v>1</v>
      </c>
      <c r="AC19" s="1575">
        <v>1</v>
      </c>
    </row>
    <row r="20" spans="1:29" ht="99.75">
      <c r="A20" s="514"/>
      <c r="B20" s="559" t="s">
        <v>803</v>
      </c>
      <c r="C20" s="871" t="str">
        <f>IF(B1="工业",估价对象房地状况!G7,估价对象房地状况!C9)</f>
        <v>区域自然环境：龙河湾公园；人文环境：无博物馆、展览馆等人文景观；综合评价环境状况一般。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423"/>
      <c r="Q21" s="1571"/>
      <c r="R21" s="1572"/>
      <c r="S21" s="1573"/>
      <c r="T21" s="1572"/>
      <c r="U21" s="1573"/>
      <c r="V21" s="1572"/>
      <c r="W21" s="1573"/>
      <c r="X21" s="1566"/>
      <c r="Y21" s="3423"/>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3"/>
      <c r="Q25" s="1150">
        <f t="shared" si="11"/>
        <v>111</v>
      </c>
      <c r="R25" s="1567" t="s">
        <v>8</v>
      </c>
      <c r="S25" s="1568">
        <f>F25</f>
        <v>100</v>
      </c>
      <c r="T25" s="1567" t="s">
        <v>8</v>
      </c>
      <c r="U25" s="1568">
        <f>H25</f>
        <v>100</v>
      </c>
      <c r="V25" s="1567" t="s">
        <v>8</v>
      </c>
      <c r="W25" s="1568">
        <f>J25</f>
        <v>100</v>
      </c>
      <c r="X25" s="1569"/>
      <c r="Y25" s="3423"/>
      <c r="Z25" s="1149">
        <f>Q25</f>
        <v>111</v>
      </c>
      <c r="AA25" s="1575">
        <f>D25/F25</f>
        <v>1</v>
      </c>
      <c r="AB25" s="1575">
        <f>D25/H25</f>
        <v>1</v>
      </c>
      <c r="AC25" s="1575">
        <f>D25/J25</f>
        <v>1</v>
      </c>
    </row>
    <row r="26" spans="1:29" ht="15">
      <c r="A26" s="2905"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2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549</v>
      </c>
      <c r="Z26" s="1574" t="str">
        <f t="shared" ref="Z26:Z36" si="15">Q26</f>
        <v>配套类型</v>
      </c>
      <c r="AA26" s="1575">
        <f t="shared" si="3"/>
        <v>1</v>
      </c>
      <c r="AB26" s="1575">
        <f t="shared" si="4"/>
        <v>1</v>
      </c>
      <c r="AC26" s="1575">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5"/>
      <c r="Q31" s="1150" t="str">
        <f t="shared" si="11"/>
        <v>停车位面积</v>
      </c>
      <c r="R31" s="1567" t="s">
        <v>8</v>
      </c>
      <c r="S31" s="1568" t="e">
        <f t="shared" si="12"/>
        <v>#N/A</v>
      </c>
      <c r="T31" s="1567" t="s">
        <v>8</v>
      </c>
      <c r="U31" s="1568" t="e">
        <f t="shared" si="13"/>
        <v>#N/A</v>
      </c>
      <c r="V31" s="1567" t="s">
        <v>8</v>
      </c>
      <c r="W31" s="1568" t="e">
        <f t="shared" si="14"/>
        <v>#N/A</v>
      </c>
      <c r="X31" s="1569"/>
      <c r="Y31" s="3425"/>
      <c r="Z31" s="1149" t="str">
        <f t="shared" si="15"/>
        <v>停车位面积</v>
      </c>
      <c r="AA31" s="1570" t="e">
        <f t="shared" si="3"/>
        <v>#N/A</v>
      </c>
      <c r="AB31" s="1570" t="e">
        <f t="shared" si="4"/>
        <v>#N/A</v>
      </c>
      <c r="AC31" s="1570"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5" t="s">
        <v>549</v>
      </c>
      <c r="Q32" s="1571" t="str">
        <f t="shared" si="11"/>
        <v>车位类型</v>
      </c>
      <c r="R32" s="1572" t="s">
        <v>8</v>
      </c>
      <c r="S32" s="1573">
        <f t="shared" si="12"/>
        <v>100</v>
      </c>
      <c r="T32" s="1572" t="s">
        <v>8</v>
      </c>
      <c r="U32" s="1573">
        <f t="shared" si="13"/>
        <v>100</v>
      </c>
      <c r="V32" s="1572" t="s">
        <v>8</v>
      </c>
      <c r="W32" s="1573">
        <f t="shared" si="14"/>
        <v>100</v>
      </c>
      <c r="X32" s="1566"/>
      <c r="Y32" s="3425" t="s">
        <v>549</v>
      </c>
      <c r="Z32" s="1574" t="str">
        <f t="shared" si="15"/>
        <v>车位类型</v>
      </c>
      <c r="AA32" s="1575">
        <f t="shared" si="3"/>
        <v>1</v>
      </c>
      <c r="AB32" s="1575">
        <f t="shared" si="4"/>
        <v>1</v>
      </c>
      <c r="AC32" s="1575">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5">
      <c r="A37" s="1844" t="s">
        <v>2078</v>
      </c>
      <c r="B37" s="1845" t="s">
        <v>2079</v>
      </c>
      <c r="C37" s="2625" t="s">
        <v>1</v>
      </c>
      <c r="D37" s="2626"/>
      <c r="E37" s="2627"/>
      <c r="F37" s="2628"/>
      <c r="G37" s="2629"/>
      <c r="H37" s="2630"/>
      <c r="I37" s="2627"/>
      <c r="J37" s="2630"/>
      <c r="K37" s="1610"/>
      <c r="L37" s="2142"/>
      <c r="M37" s="2143"/>
      <c r="N37" s="2132"/>
      <c r="O37" s="2143"/>
      <c r="P37" s="3387" t="str">
        <f>A37</f>
        <v>成交单价</v>
      </c>
      <c r="Q37" s="3387"/>
      <c r="R37" s="3500">
        <f>E37</f>
        <v>0</v>
      </c>
      <c r="S37" s="3500"/>
      <c r="T37" s="3500">
        <f>G37</f>
        <v>0</v>
      </c>
      <c r="U37" s="3500"/>
      <c r="V37" s="3500">
        <f>I37</f>
        <v>0</v>
      </c>
      <c r="W37" s="3500"/>
      <c r="X37" s="1558"/>
      <c r="Y37" s="1580"/>
      <c r="Z37" s="1558"/>
      <c r="AA37" s="1558"/>
      <c r="AB37" s="1558"/>
      <c r="AC37" s="1558"/>
    </row>
    <row r="38" spans="1:29" ht="15.75" thickBot="1">
      <c r="A38" s="614" t="s">
        <v>2758</v>
      </c>
      <c r="B38" s="887"/>
      <c r="C38" s="2631" t="e">
        <f>R39</f>
        <v>#DIV/0!</v>
      </c>
      <c r="D38" s="2632"/>
      <c r="E38" s="2633" t="e">
        <f>R38</f>
        <v>#DIV/0!</v>
      </c>
      <c r="F38" s="2633"/>
      <c r="G38" s="2631" t="e">
        <f>T38</f>
        <v>#DIV/0!</v>
      </c>
      <c r="H38" s="2632"/>
      <c r="I38" s="2633" t="e">
        <f>V38</f>
        <v>#DIV/0!</v>
      </c>
      <c r="J38" s="2632"/>
      <c r="K38" s="1611"/>
      <c r="L38" s="2142"/>
      <c r="M38" s="2143"/>
      <c r="N38" s="2143"/>
      <c r="O38" s="2143"/>
      <c r="P38" s="3387" t="str">
        <f>A38</f>
        <v>比较价格（元/平方米）</v>
      </c>
      <c r="Q38" s="3387"/>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8"/>
      <c r="Y38" s="1558"/>
      <c r="Z38" s="1558"/>
      <c r="AA38" s="1558"/>
      <c r="AB38" s="1558"/>
      <c r="AC38" s="1558"/>
    </row>
    <row r="39" spans="1:29" ht="15.75" thickBot="1">
      <c r="A39" s="620" t="s">
        <v>2927</v>
      </c>
      <c r="B39" s="621"/>
      <c r="C39" s="2634" t="e">
        <f>R39</f>
        <v>#DIV/0!</v>
      </c>
      <c r="D39" s="2634"/>
      <c r="E39" s="2634"/>
      <c r="F39" s="2634"/>
      <c r="G39" s="2634"/>
      <c r="H39" s="2634"/>
      <c r="I39" s="2634"/>
      <c r="J39" s="2634"/>
      <c r="K39" s="1612"/>
      <c r="L39" s="2142"/>
      <c r="M39" s="2143"/>
      <c r="N39" s="2143"/>
      <c r="O39" s="2143"/>
      <c r="P39" s="3384" t="str">
        <f>A39</f>
        <v>估价对象XX用房的比较价格（楼面单价，元/平方米）</v>
      </c>
      <c r="Q39" s="3385"/>
      <c r="R39" s="3499" t="e">
        <f>IF(F1="售价",ROUND(AVERAGE(R38:V38),0),ROUND(AVERAGE(R38:V38),1))</f>
        <v>#DIV/0!</v>
      </c>
      <c r="S39" s="3499"/>
      <c r="T39" s="3499"/>
      <c r="U39" s="3499"/>
      <c r="V39" s="3499"/>
      <c r="W39" s="3499"/>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573</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528</v>
      </c>
      <c r="B48" s="645"/>
      <c r="C48" s="2800" t="str">
        <f>YEAR(C7)&amp;"-"&amp;MONTH(C7)</f>
        <v>2018-10</v>
      </c>
      <c r="D48" s="2802">
        <f>EDATE(C48,-1)</f>
        <v>43344</v>
      </c>
      <c r="E48" s="2802">
        <f t="shared" ref="E48:O48" si="16">EDATE(D48,-1)</f>
        <v>43313</v>
      </c>
      <c r="F48" s="2802">
        <f t="shared" si="16"/>
        <v>43282</v>
      </c>
      <c r="G48" s="2802">
        <f t="shared" si="16"/>
        <v>43252</v>
      </c>
      <c r="H48" s="2802">
        <f t="shared" si="16"/>
        <v>43221</v>
      </c>
      <c r="I48" s="2802">
        <f t="shared" si="16"/>
        <v>43191</v>
      </c>
      <c r="J48" s="2802">
        <f t="shared" si="16"/>
        <v>43160</v>
      </c>
      <c r="K48" s="2802">
        <f t="shared" si="16"/>
        <v>43132</v>
      </c>
      <c r="L48" s="2802">
        <f t="shared" si="16"/>
        <v>43101</v>
      </c>
      <c r="M48" s="2802">
        <f t="shared" si="16"/>
        <v>43070</v>
      </c>
      <c r="N48" s="2802">
        <f t="shared" si="16"/>
        <v>43040</v>
      </c>
      <c r="O48" s="2802">
        <f t="shared" si="16"/>
        <v>43009</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574</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530</v>
      </c>
      <c r="B51" s="647"/>
      <c r="C51" s="659" t="s">
        <v>575</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576</v>
      </c>
      <c r="B53" s="664" t="s">
        <v>533</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2556</v>
      </c>
      <c r="C65" s="707" t="s">
        <v>578</v>
      </c>
      <c r="D65" s="707" t="s">
        <v>579</v>
      </c>
      <c r="E65" s="707" t="s">
        <v>580</v>
      </c>
      <c r="F65" s="707" t="s">
        <v>581</v>
      </c>
      <c r="G65" s="707" t="s">
        <v>582</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2557</v>
      </c>
      <c r="C67" s="2596" t="s">
        <v>2558</v>
      </c>
      <c r="D67" s="2596" t="s">
        <v>2559</v>
      </c>
      <c r="E67" s="2596" t="s">
        <v>2560</v>
      </c>
      <c r="F67" s="2596" t="s">
        <v>2561</v>
      </c>
      <c r="G67" s="2596" t="s">
        <v>2562</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743</v>
      </c>
      <c r="C69" s="707" t="s">
        <v>578</v>
      </c>
      <c r="D69" s="707" t="s">
        <v>579</v>
      </c>
      <c r="E69" s="707" t="s">
        <v>580</v>
      </c>
      <c r="F69" s="707" t="s">
        <v>581</v>
      </c>
      <c r="G69" s="707" t="s">
        <v>582</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744</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550</v>
      </c>
      <c r="B79" s="664" t="s">
        <v>813</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814</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750</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819</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794</v>
      </c>
      <c r="B3" s="509" t="e">
        <f>C37</f>
        <v>#DIV/0!</v>
      </c>
      <c r="C3" s="851" t="s">
        <v>795</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393" t="s">
        <v>797</v>
      </c>
      <c r="D4" s="3394"/>
      <c r="E4" s="3429" t="s">
        <v>798</v>
      </c>
      <c r="F4" s="3430"/>
      <c r="G4" s="3393" t="s">
        <v>799</v>
      </c>
      <c r="H4" s="3394"/>
      <c r="I4" s="3393" t="s">
        <v>800</v>
      </c>
      <c r="J4" s="3394"/>
      <c r="K4" s="513" t="s">
        <v>801</v>
      </c>
      <c r="L4" s="2131"/>
      <c r="M4" s="2132"/>
      <c r="N4" s="2132"/>
      <c r="O4" s="2132"/>
      <c r="P4" s="3395" t="s">
        <v>802</v>
      </c>
      <c r="Q4" s="3396"/>
      <c r="R4" s="3401" t="s">
        <v>798</v>
      </c>
      <c r="S4" s="3402"/>
      <c r="T4" s="3401" t="s">
        <v>799</v>
      </c>
      <c r="U4" s="3402"/>
      <c r="V4" s="3388" t="s">
        <v>800</v>
      </c>
      <c r="W4" s="3388"/>
      <c r="X4" s="1566"/>
      <c r="Y4" s="3401" t="s">
        <v>802</v>
      </c>
      <c r="Z4" s="3402"/>
      <c r="AA4" s="3390" t="s">
        <v>798</v>
      </c>
      <c r="AB4" s="3391" t="s">
        <v>799</v>
      </c>
      <c r="AC4" s="3390" t="s">
        <v>800</v>
      </c>
    </row>
    <row r="5" spans="1:29" ht="15">
      <c r="A5" s="514"/>
      <c r="B5" s="515"/>
      <c r="C5" s="3409" t="s">
        <v>2921</v>
      </c>
      <c r="D5" s="3410"/>
      <c r="E5" s="3431" t="s">
        <v>2922</v>
      </c>
      <c r="F5" s="3432"/>
      <c r="G5" s="3409" t="s">
        <v>2923</v>
      </c>
      <c r="H5" s="3410"/>
      <c r="I5" s="3409" t="s">
        <v>2924</v>
      </c>
      <c r="J5" s="3410"/>
      <c r="K5" s="513"/>
      <c r="L5" s="2131"/>
      <c r="M5" s="2132"/>
      <c r="N5" s="2132"/>
      <c r="O5" s="2132"/>
      <c r="P5" s="3397"/>
      <c r="Q5" s="3398"/>
      <c r="R5" s="3403"/>
      <c r="S5" s="3404"/>
      <c r="T5" s="3403"/>
      <c r="U5" s="3404"/>
      <c r="V5" s="3388"/>
      <c r="W5" s="3388"/>
      <c r="X5" s="1566"/>
      <c r="Y5" s="3403"/>
      <c r="Z5" s="3404"/>
      <c r="AA5" s="3391"/>
      <c r="AB5" s="3391"/>
      <c r="AC5" s="3391"/>
    </row>
    <row r="6" spans="1:29" ht="15.75" thickBot="1">
      <c r="A6" s="516"/>
      <c r="B6" s="517"/>
      <c r="C6" s="3426" t="s">
        <v>2925</v>
      </c>
      <c r="D6" s="3408"/>
      <c r="E6" s="3427" t="s">
        <v>2925</v>
      </c>
      <c r="F6" s="3428"/>
      <c r="G6" s="3426" t="s">
        <v>2925</v>
      </c>
      <c r="H6" s="3408"/>
      <c r="I6" s="3426" t="s">
        <v>2925</v>
      </c>
      <c r="J6" s="3408"/>
      <c r="K6" s="513" t="s">
        <v>527</v>
      </c>
      <c r="L6" s="2131"/>
      <c r="M6" s="2132"/>
      <c r="N6" s="2132"/>
      <c r="O6" s="2132"/>
      <c r="P6" s="3399"/>
      <c r="Q6" s="3400"/>
      <c r="R6" s="3403"/>
      <c r="S6" s="3404"/>
      <c r="T6" s="3405"/>
      <c r="U6" s="3406"/>
      <c r="V6" s="3388"/>
      <c r="W6" s="3388"/>
      <c r="X6" s="1566"/>
      <c r="Y6" s="3405"/>
      <c r="Z6" s="3406"/>
      <c r="AA6" s="3392"/>
      <c r="AB6" s="3392"/>
      <c r="AC6" s="3392"/>
    </row>
    <row r="7" spans="1:29" s="1219" customFormat="1" ht="15.75" thickBot="1">
      <c r="A7" s="2909"/>
      <c r="B7" s="2916" t="s">
        <v>528</v>
      </c>
      <c r="C7" s="518">
        <f>'数据-取费表'!B2</f>
        <v>43391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9" t="s">
        <v>529</v>
      </c>
      <c r="Q7" s="3421"/>
      <c r="R7" s="1567" t="s">
        <v>8</v>
      </c>
      <c r="S7" s="1568">
        <f t="shared" ref="S7:S14" si="0">F7</f>
        <v>0</v>
      </c>
      <c r="T7" s="1567" t="s">
        <v>8</v>
      </c>
      <c r="U7" s="1568">
        <f t="shared" ref="U7:U14" si="1">H7</f>
        <v>0</v>
      </c>
      <c r="V7" s="1567" t="s">
        <v>8</v>
      </c>
      <c r="W7" s="1568">
        <f t="shared" ref="W7:W14" si="2">J7</f>
        <v>0</v>
      </c>
      <c r="X7" s="1569"/>
      <c r="Y7" s="3419" t="s">
        <v>529</v>
      </c>
      <c r="Z7" s="3420"/>
      <c r="AA7" s="1570" t="e">
        <f>D7/F7</f>
        <v>#DIV/0!</v>
      </c>
      <c r="AB7" s="1570" t="e">
        <f>D7/H7</f>
        <v>#DIV/0!</v>
      </c>
      <c r="AC7" s="1570" t="e">
        <f>D7/J7</f>
        <v>#DIV/0!</v>
      </c>
    </row>
    <row r="8" spans="1:29" s="1219" customFormat="1" ht="15.75" thickBot="1">
      <c r="A8" s="2910"/>
      <c r="B8" s="2917" t="s">
        <v>530</v>
      </c>
      <c r="C8" s="524" t="s">
        <v>575</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9" t="s">
        <v>532</v>
      </c>
      <c r="Q8" s="3420"/>
      <c r="R8" s="1567" t="s">
        <v>8</v>
      </c>
      <c r="S8" s="1568">
        <f t="shared" si="0"/>
        <v>0</v>
      </c>
      <c r="T8" s="1567" t="s">
        <v>8</v>
      </c>
      <c r="U8" s="1568">
        <f t="shared" si="1"/>
        <v>0</v>
      </c>
      <c r="V8" s="1567" t="s">
        <v>8</v>
      </c>
      <c r="W8" s="1568">
        <f t="shared" si="2"/>
        <v>0</v>
      </c>
      <c r="X8" s="1569"/>
      <c r="Y8" s="3419" t="s">
        <v>532</v>
      </c>
      <c r="Z8" s="3420"/>
      <c r="AA8" s="1570" t="e">
        <f t="shared" ref="AA8:AA34" si="3">D8/F8</f>
        <v>#DIV/0!</v>
      </c>
      <c r="AB8" s="1570" t="e">
        <f t="shared" ref="AB8:AB34" si="4">D8/H8</f>
        <v>#DIV/0!</v>
      </c>
      <c r="AC8" s="1570" t="e">
        <f t="shared" ref="AC8:AC34" si="5">D8/J8</f>
        <v>#DIV/0!</v>
      </c>
    </row>
    <row r="9" spans="1:29" s="1219" customFormat="1" ht="15">
      <c r="A9" s="2911"/>
      <c r="B9" s="2918" t="s">
        <v>2754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7" t="s">
        <v>534</v>
      </c>
      <c r="Q9" s="1150" t="str">
        <f t="shared" ref="Q9:Q14" si="6">B9</f>
        <v>用途</v>
      </c>
      <c r="R9" s="1567" t="s">
        <v>8</v>
      </c>
      <c r="S9" s="1568">
        <f t="shared" si="0"/>
        <v>100</v>
      </c>
      <c r="T9" s="1567" t="s">
        <v>8</v>
      </c>
      <c r="U9" s="1568">
        <f t="shared" si="1"/>
        <v>100</v>
      </c>
      <c r="V9" s="1567" t="s">
        <v>8</v>
      </c>
      <c r="W9" s="1568">
        <f t="shared" si="2"/>
        <v>100</v>
      </c>
      <c r="X9" s="1569"/>
      <c r="Y9" s="3333" t="s">
        <v>535</v>
      </c>
      <c r="Z9" s="1149" t="str">
        <f t="shared" ref="Z9:Z14" si="7">Q9</f>
        <v>用途</v>
      </c>
      <c r="AA9" s="1570">
        <f t="shared" si="3"/>
        <v>1</v>
      </c>
      <c r="AB9" s="1570">
        <f t="shared" si="4"/>
        <v>1</v>
      </c>
      <c r="AC9" s="1570">
        <f t="shared" si="5"/>
        <v>1</v>
      </c>
    </row>
    <row r="10" spans="1:29" s="1337" customFormat="1" ht="27">
      <c r="A10" s="2912"/>
      <c r="B10" s="2917" t="s">
        <v>2755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7"/>
      <c r="Q11" s="1150">
        <f t="shared" si="6"/>
        <v>111</v>
      </c>
      <c r="R11" s="1567" t="s">
        <v>8</v>
      </c>
      <c r="S11" s="1568">
        <f t="shared" si="0"/>
        <v>100</v>
      </c>
      <c r="T11" s="1567" t="s">
        <v>8</v>
      </c>
      <c r="U11" s="1568">
        <f t="shared" si="1"/>
        <v>100</v>
      </c>
      <c r="V11" s="1567" t="s">
        <v>8</v>
      </c>
      <c r="W11" s="1568">
        <f t="shared" si="2"/>
        <v>100</v>
      </c>
      <c r="X11" s="1569"/>
      <c r="Y11" s="3333"/>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28.25">
      <c r="A14" s="2907" t="s">
        <v>2752</v>
      </c>
      <c r="B14" s="166" t="s">
        <v>542</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423"/>
      <c r="Q15" s="1571"/>
      <c r="R15" s="1572"/>
      <c r="S15" s="1573"/>
      <c r="T15" s="1572"/>
      <c r="U15" s="1573"/>
      <c r="V15" s="1572"/>
      <c r="W15" s="1573"/>
      <c r="X15" s="1566"/>
      <c r="Y15" s="3423"/>
      <c r="Z15" s="1574"/>
      <c r="AA15" s="1575">
        <v>1</v>
      </c>
      <c r="AB15" s="1575">
        <v>1</v>
      </c>
      <c r="AC15" s="1575">
        <v>1</v>
      </c>
    </row>
    <row r="16" spans="1:29" ht="185.25">
      <c r="A16" s="531"/>
      <c r="B16" s="2601" t="s">
        <v>2545</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423"/>
      <c r="Q17" s="1571"/>
      <c r="R17" s="1572"/>
      <c r="S17" s="1573"/>
      <c r="T17" s="1572"/>
      <c r="U17" s="1573"/>
      <c r="V17" s="1572"/>
      <c r="W17" s="1573"/>
      <c r="X17" s="1566"/>
      <c r="Y17" s="3423"/>
      <c r="Z17" s="1574"/>
      <c r="AA17" s="1575">
        <v>1</v>
      </c>
      <c r="AB17" s="1575">
        <v>1</v>
      </c>
      <c r="AC17" s="1575">
        <v>1</v>
      </c>
    </row>
    <row r="18" spans="1:29" ht="42.75">
      <c r="A18" s="531"/>
      <c r="B18" s="2589" t="s">
        <v>2557</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3"/>
      <c r="Q18" s="2577" t="str">
        <f>B18</f>
        <v>基础设施水平</v>
      </c>
      <c r="R18" s="1572" t="s">
        <v>8</v>
      </c>
      <c r="S18" s="1573">
        <f>F18</f>
        <v>100</v>
      </c>
      <c r="T18" s="1572" t="s">
        <v>8</v>
      </c>
      <c r="U18" s="1573">
        <f>H18</f>
        <v>100</v>
      </c>
      <c r="V18" s="1572" t="s">
        <v>8</v>
      </c>
      <c r="W18" s="1573">
        <f>J18</f>
        <v>100</v>
      </c>
      <c r="X18" s="2579"/>
      <c r="Y18" s="3423"/>
      <c r="Z18" s="2578"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0"/>
      <c r="L19" s="2140"/>
      <c r="M19" s="2132"/>
      <c r="N19" s="2132"/>
      <c r="O19" s="2139"/>
      <c r="P19" s="3423"/>
      <c r="Q19" s="2577"/>
      <c r="R19" s="1572"/>
      <c r="S19" s="1573"/>
      <c r="T19" s="1572"/>
      <c r="U19" s="1573"/>
      <c r="V19" s="1572"/>
      <c r="W19" s="1573"/>
      <c r="X19" s="2579"/>
      <c r="Y19" s="3423"/>
      <c r="Z19" s="2578"/>
      <c r="AA19" s="1575">
        <v>1</v>
      </c>
      <c r="AB19" s="1575">
        <v>1</v>
      </c>
      <c r="AC19" s="1575">
        <v>1</v>
      </c>
    </row>
    <row r="20" spans="1:29" ht="99.75">
      <c r="A20" s="531"/>
      <c r="B20" s="870" t="s">
        <v>803</v>
      </c>
      <c r="C20" s="871" t="str">
        <f>IF(B1="工业",估价对象房地状况!G7,估价对象房地状况!C9)</f>
        <v>区域自然环境：龙河湾公园；人文环境：无博物馆、展览馆等人文景观；综合评价环境状况一般。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423"/>
      <c r="Q21" s="1571"/>
      <c r="R21" s="1572"/>
      <c r="S21" s="1573"/>
      <c r="T21" s="1572"/>
      <c r="U21" s="1573"/>
      <c r="V21" s="1572"/>
      <c r="W21" s="1573"/>
      <c r="X21" s="1566"/>
      <c r="Y21" s="3423"/>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3"/>
      <c r="Q25" s="1150">
        <f t="shared" si="11"/>
        <v>111</v>
      </c>
      <c r="R25" s="1567" t="s">
        <v>8</v>
      </c>
      <c r="S25" s="1568">
        <f>F25</f>
        <v>100</v>
      </c>
      <c r="T25" s="1567" t="s">
        <v>8</v>
      </c>
      <c r="U25" s="1568">
        <f>H25</f>
        <v>100</v>
      </c>
      <c r="V25" s="1567" t="s">
        <v>8</v>
      </c>
      <c r="W25" s="1568">
        <f>J25</f>
        <v>100</v>
      </c>
      <c r="X25" s="1569"/>
      <c r="Y25" s="3423"/>
      <c r="Z25" s="1149">
        <f>Q25</f>
        <v>111</v>
      </c>
      <c r="AA25" s="1575">
        <f>D25/F25</f>
        <v>1</v>
      </c>
      <c r="AB25" s="1575">
        <f>D25/H25</f>
        <v>1</v>
      </c>
      <c r="AC25" s="1575">
        <f>D25/J25</f>
        <v>1</v>
      </c>
    </row>
    <row r="26" spans="1:29" ht="15">
      <c r="A26" s="2905"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820</v>
      </c>
      <c r="Z26" s="1574" t="str">
        <f t="shared" ref="Z26:Z34" si="15">Q26</f>
        <v>公共部分装修</v>
      </c>
      <c r="AA26" s="1575">
        <f t="shared" si="3"/>
        <v>1</v>
      </c>
      <c r="AB26" s="1575">
        <f t="shared" si="4"/>
        <v>1</v>
      </c>
      <c r="AC26" s="1575">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5"/>
      <c r="Q31" s="1150" t="str">
        <f t="shared" si="11"/>
        <v>是否封闭</v>
      </c>
      <c r="R31" s="1567" t="s">
        <v>8</v>
      </c>
      <c r="S31" s="1568">
        <f t="shared" si="12"/>
        <v>100</v>
      </c>
      <c r="T31" s="1567" t="s">
        <v>8</v>
      </c>
      <c r="U31" s="1568">
        <f t="shared" si="13"/>
        <v>100</v>
      </c>
      <c r="V31" s="1567" t="s">
        <v>8</v>
      </c>
      <c r="W31" s="1568">
        <f t="shared" si="14"/>
        <v>100</v>
      </c>
      <c r="X31" s="1569"/>
      <c r="Y31" s="3425"/>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5" t="s">
        <v>549</v>
      </c>
      <c r="Q32" s="1571">
        <f t="shared" si="11"/>
        <v>111</v>
      </c>
      <c r="R32" s="1572" t="s">
        <v>8</v>
      </c>
      <c r="S32" s="1573">
        <f t="shared" si="12"/>
        <v>100</v>
      </c>
      <c r="T32" s="1572" t="s">
        <v>8</v>
      </c>
      <c r="U32" s="1573">
        <f t="shared" si="13"/>
        <v>100</v>
      </c>
      <c r="V32" s="1572" t="s">
        <v>8</v>
      </c>
      <c r="W32" s="1573">
        <f t="shared" si="14"/>
        <v>100</v>
      </c>
      <c r="X32" s="1566"/>
      <c r="Y32" s="3425"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5">
      <c r="A35" s="606" t="s">
        <v>735</v>
      </c>
      <c r="B35" s="886"/>
      <c r="C35" s="2625" t="s">
        <v>1</v>
      </c>
      <c r="D35" s="2626"/>
      <c r="E35" s="2627"/>
      <c r="F35" s="2628"/>
      <c r="G35" s="2629"/>
      <c r="H35" s="2630"/>
      <c r="I35" s="2627"/>
      <c r="J35" s="2630"/>
      <c r="K35" s="1610"/>
      <c r="L35" s="2142"/>
      <c r="M35" s="2143"/>
      <c r="N35" s="2132"/>
      <c r="O35" s="2143"/>
      <c r="P35" s="3387" t="str">
        <f>A35</f>
        <v>成交单价（元/平方米）</v>
      </c>
      <c r="Q35" s="3387"/>
      <c r="R35" s="3500">
        <f>E35</f>
        <v>0</v>
      </c>
      <c r="S35" s="3500"/>
      <c r="T35" s="3500">
        <f>G35</f>
        <v>0</v>
      </c>
      <c r="U35" s="3500"/>
      <c r="V35" s="3500">
        <f>I35</f>
        <v>0</v>
      </c>
      <c r="W35" s="3500"/>
      <c r="X35" s="1558"/>
      <c r="Y35" s="1580"/>
      <c r="Z35" s="1558"/>
      <c r="AA35" s="1558"/>
      <c r="AB35" s="1558"/>
      <c r="AC35" s="1558"/>
    </row>
    <row r="36" spans="1:29" ht="15.75" thickBot="1">
      <c r="A36" s="614" t="s">
        <v>2758</v>
      </c>
      <c r="B36" s="887"/>
      <c r="C36" s="2631" t="e">
        <f>R37</f>
        <v>#DIV/0!</v>
      </c>
      <c r="D36" s="2632"/>
      <c r="E36" s="2633" t="e">
        <f>R36</f>
        <v>#DIV/0!</v>
      </c>
      <c r="F36" s="2633"/>
      <c r="G36" s="2631" t="e">
        <f>T36</f>
        <v>#DIV/0!</v>
      </c>
      <c r="H36" s="2632"/>
      <c r="I36" s="2633" t="e">
        <f>V36</f>
        <v>#DIV/0!</v>
      </c>
      <c r="J36" s="2632"/>
      <c r="K36" s="1611"/>
      <c r="L36" s="2142"/>
      <c r="M36" s="2143"/>
      <c r="N36" s="2132"/>
      <c r="O36" s="2143"/>
      <c r="P36" s="3387" t="str">
        <f>A36</f>
        <v>比较价格（元/平方米）</v>
      </c>
      <c r="Q36" s="3387"/>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8"/>
      <c r="Y36" s="1558"/>
      <c r="Z36" s="1558"/>
      <c r="AA36" s="1558"/>
      <c r="AB36" s="1558"/>
      <c r="AC36" s="1558"/>
    </row>
    <row r="37" spans="1:29" ht="15.75" thickBot="1">
      <c r="A37" s="620" t="s">
        <v>2927</v>
      </c>
      <c r="B37" s="621"/>
      <c r="C37" s="2634" t="e">
        <f>R37</f>
        <v>#DIV/0!</v>
      </c>
      <c r="D37" s="2634"/>
      <c r="E37" s="2634"/>
      <c r="F37" s="2634"/>
      <c r="G37" s="2634"/>
      <c r="H37" s="2634"/>
      <c r="I37" s="2634"/>
      <c r="J37" s="2634"/>
      <c r="K37" s="1612"/>
      <c r="L37" s="2142"/>
      <c r="M37" s="2143"/>
      <c r="N37" s="2143"/>
      <c r="O37" s="2143"/>
      <c r="P37" s="3384" t="str">
        <f>A37</f>
        <v>估价对象XX用房的比较价格（楼面单价，元/平方米）</v>
      </c>
      <c r="Q37" s="3385"/>
      <c r="R37" s="3499" t="e">
        <f>IF(F1="售价",ROUND(AVERAGE(R36:V36),0),ROUND(AVERAGE(R36:V36),1))</f>
        <v>#DIV/0!</v>
      </c>
      <c r="S37" s="3499"/>
      <c r="T37" s="3499"/>
      <c r="U37" s="3499"/>
      <c r="V37" s="3499"/>
      <c r="W37" s="3499"/>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573</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528</v>
      </c>
      <c r="B46" s="645"/>
      <c r="C46" s="2800" t="str">
        <f>YEAR(C7)&amp;"-"&amp;MONTH(C7)</f>
        <v>2018-10</v>
      </c>
      <c r="D46" s="2802">
        <f>EDATE(C46,-1)</f>
        <v>43344</v>
      </c>
      <c r="E46" s="2802">
        <f t="shared" ref="E46:O46" si="16">EDATE(D46,-1)</f>
        <v>43313</v>
      </c>
      <c r="F46" s="2802">
        <f t="shared" si="16"/>
        <v>43282</v>
      </c>
      <c r="G46" s="2802">
        <f t="shared" si="16"/>
        <v>43252</v>
      </c>
      <c r="H46" s="2802">
        <f t="shared" si="16"/>
        <v>43221</v>
      </c>
      <c r="I46" s="2802">
        <f t="shared" si="16"/>
        <v>43191</v>
      </c>
      <c r="J46" s="2802">
        <f t="shared" si="16"/>
        <v>43160</v>
      </c>
      <c r="K46" s="2802">
        <f t="shared" si="16"/>
        <v>43132</v>
      </c>
      <c r="L46" s="2802">
        <f t="shared" si="16"/>
        <v>43101</v>
      </c>
      <c r="M46" s="2802">
        <f t="shared" si="16"/>
        <v>43070</v>
      </c>
      <c r="N46" s="2802">
        <f t="shared" si="16"/>
        <v>43040</v>
      </c>
      <c r="O46" s="2802">
        <f t="shared" si="16"/>
        <v>43009</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574</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530</v>
      </c>
      <c r="B49" s="647"/>
      <c r="C49" s="659" t="s">
        <v>575</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576</v>
      </c>
      <c r="B51" s="664" t="s">
        <v>533</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2556</v>
      </c>
      <c r="C63" s="707" t="s">
        <v>578</v>
      </c>
      <c r="D63" s="707" t="s">
        <v>579</v>
      </c>
      <c r="E63" s="707" t="s">
        <v>580</v>
      </c>
      <c r="F63" s="707" t="s">
        <v>581</v>
      </c>
      <c r="G63" s="707" t="s">
        <v>582</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2557</v>
      </c>
      <c r="C65" s="2596" t="s">
        <v>2558</v>
      </c>
      <c r="D65" s="2596" t="s">
        <v>2559</v>
      </c>
      <c r="E65" s="2596" t="s">
        <v>2560</v>
      </c>
      <c r="F65" s="2596" t="s">
        <v>2561</v>
      </c>
      <c r="G65" s="2596" t="s">
        <v>2562</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743</v>
      </c>
      <c r="C67" s="707" t="s">
        <v>578</v>
      </c>
      <c r="D67" s="707" t="s">
        <v>579</v>
      </c>
      <c r="E67" s="707" t="s">
        <v>580</v>
      </c>
      <c r="F67" s="707" t="s">
        <v>581</v>
      </c>
      <c r="G67" s="707" t="s">
        <v>582</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550</v>
      </c>
      <c r="B77" s="664" t="s">
        <v>750</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816</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824</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826</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2304</v>
      </c>
      <c r="C1" s="3512" t="s">
        <v>2305</v>
      </c>
      <c r="D1" s="3513"/>
      <c r="E1" s="3513"/>
      <c r="F1" s="3513"/>
      <c r="G1" s="3513"/>
      <c r="H1" s="3513"/>
      <c r="I1" s="3513"/>
      <c r="J1" s="3513"/>
      <c r="K1" s="3513"/>
      <c r="L1" s="3513"/>
      <c r="M1" s="3513"/>
      <c r="N1" s="3513"/>
      <c r="O1" s="3513"/>
      <c r="P1" s="3513"/>
      <c r="Q1" s="3513"/>
      <c r="R1" s="3513"/>
      <c r="S1" s="3514"/>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3" t="s">
        <v>2920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5" t="s">
        <v>2919</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5" t="s">
        <v>2918</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3" t="s">
        <v>2933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3"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3"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827</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828</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829</v>
      </c>
      <c r="B22" s="53">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2786</v>
      </c>
      <c r="C1" s="3001">
        <f>项目基本情况!D3</f>
        <v>43391</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2817</v>
      </c>
      <c r="C2" s="3002">
        <f>'数据-取费表'!B22</f>
        <v>2</v>
      </c>
      <c r="D2" s="2997" t="s">
        <v>2787</v>
      </c>
      <c r="E2" s="3000">
        <f ca="1">INDIRECT("I"&amp;$I$1)/100</f>
        <v>4.7500000000000001E-2</v>
      </c>
      <c r="G2" s="2937"/>
      <c r="H2" s="2937"/>
      <c r="I2" s="2937" t="s">
        <v>2788</v>
      </c>
      <c r="K2" s="2937"/>
      <c r="L2" s="2937"/>
      <c r="M2" s="2937"/>
      <c r="N2" s="2937" t="s">
        <v>2789</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2819</v>
      </c>
      <c r="C3" s="2999">
        <f>'数据-取费表'!B19</f>
        <v>0</v>
      </c>
      <c r="D3" s="2997" t="s">
        <v>2787</v>
      </c>
      <c r="E3" s="3000">
        <f ca="1">INDIRECT("J"&amp;$J$1)/100</f>
        <v>0</v>
      </c>
      <c r="G3" s="2939" t="s">
        <v>2790</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2818</v>
      </c>
      <c r="C4" s="3000">
        <f ca="1">N4/100</f>
        <v>1.4999999999999999E-2</v>
      </c>
      <c r="G4" s="2945" t="s">
        <v>2791</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2792</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2793</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2794</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2795</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2796</v>
      </c>
      <c r="C10" s="2964"/>
      <c r="D10" s="2964"/>
      <c r="E10" s="2964"/>
      <c r="F10" s="2964"/>
      <c r="G10" s="2964"/>
      <c r="H10" s="2964"/>
      <c r="I10" s="2938"/>
      <c r="J10" s="2938"/>
      <c r="K10" s="2964"/>
      <c r="L10" s="2965" t="s">
        <v>2797</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2798</v>
      </c>
      <c r="C11" s="2969" t="s">
        <v>2799</v>
      </c>
      <c r="D11" s="2970" t="s">
        <v>2800</v>
      </c>
      <c r="E11" s="2971"/>
      <c r="F11" s="2970" t="s">
        <v>2801</v>
      </c>
      <c r="G11" s="2972"/>
      <c r="H11" s="2971"/>
      <c r="I11" s="2970" t="s">
        <v>2802</v>
      </c>
      <c r="J11" s="2971"/>
      <c r="K11" s="2967"/>
      <c r="L11" s="2968" t="s">
        <v>2798</v>
      </c>
      <c r="M11" s="2969" t="s">
        <v>2799</v>
      </c>
      <c r="N11" s="2968" t="s">
        <v>2803</v>
      </c>
      <c r="O11" s="2970" t="s">
        <v>2804</v>
      </c>
      <c r="P11" s="2972"/>
      <c r="Q11" s="2972"/>
      <c r="R11" s="2972"/>
      <c r="S11" s="2972"/>
      <c r="T11" s="2971"/>
      <c r="U11" s="2970" t="s">
        <v>2805</v>
      </c>
      <c r="V11" s="2972"/>
      <c r="W11" s="2971"/>
      <c r="X11" s="2968" t="s">
        <v>2806</v>
      </c>
      <c r="Y11" s="2968" t="s">
        <v>2807</v>
      </c>
      <c r="Z11" s="2968" t="s">
        <v>2808</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2809</v>
      </c>
      <c r="E12" s="2977" t="s">
        <v>2810</v>
      </c>
      <c r="F12" s="2977" t="s">
        <v>2811</v>
      </c>
      <c r="G12" s="2977" t="s">
        <v>2812</v>
      </c>
      <c r="H12" s="2977" t="s">
        <v>2794</v>
      </c>
      <c r="I12" s="2978" t="s">
        <v>2813</v>
      </c>
      <c r="J12" s="2978" t="s">
        <v>2813</v>
      </c>
      <c r="K12" s="2974"/>
      <c r="L12" s="2975"/>
      <c r="M12" s="2976"/>
      <c r="N12" s="2975"/>
      <c r="O12" s="2978" t="s">
        <v>2814</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2815</v>
      </c>
      <c r="C13" s="2982">
        <v>42301</v>
      </c>
      <c r="D13" s="2983">
        <v>4.3499999999999996</v>
      </c>
      <c r="E13" s="2983">
        <v>4.3499999999999996</v>
      </c>
      <c r="F13" s="2983">
        <v>4.75</v>
      </c>
      <c r="G13" s="2983">
        <v>4.75</v>
      </c>
      <c r="H13" s="2983">
        <v>4.9000000000000004</v>
      </c>
      <c r="I13" s="2983">
        <v>2.75</v>
      </c>
      <c r="J13" s="2983">
        <v>3.25</v>
      </c>
      <c r="K13" s="2980"/>
      <c r="L13" s="2981" t="s">
        <v>2815</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2816</v>
      </c>
      <c r="Y42" s="2987" t="s">
        <v>2816</v>
      </c>
      <c r="Z42" s="2987" t="s">
        <v>2816</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2816</v>
      </c>
      <c r="Y43" s="2987" t="s">
        <v>2816</v>
      </c>
      <c r="Z43" s="2987" t="s">
        <v>2816</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2816</v>
      </c>
      <c r="Y44" s="2987" t="s">
        <v>2816</v>
      </c>
      <c r="Z44" s="2987" t="s">
        <v>2816</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2816</v>
      </c>
      <c r="Y45" s="2987" t="s">
        <v>2816</v>
      </c>
      <c r="Z45" s="2987" t="s">
        <v>2816</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2816</v>
      </c>
      <c r="Y46" s="2987" t="s">
        <v>2816</v>
      </c>
      <c r="Z46" s="2987" t="s">
        <v>2816</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2816</v>
      </c>
      <c r="Y47" s="2987" t="s">
        <v>2816</v>
      </c>
      <c r="Z47" s="2987" t="s">
        <v>2816</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2816</v>
      </c>
      <c r="Y48" s="2987" t="s">
        <v>2816</v>
      </c>
      <c r="Z48" s="2987" t="s">
        <v>2816</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2816</v>
      </c>
      <c r="Y49" s="2987" t="s">
        <v>2816</v>
      </c>
      <c r="Z49" s="2987" t="s">
        <v>2816</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2816</v>
      </c>
      <c r="Y50" s="2987" t="s">
        <v>2816</v>
      </c>
      <c r="Z50" s="2987" t="s">
        <v>2816</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2816</v>
      </c>
      <c r="V51" s="2987" t="s">
        <v>2816</v>
      </c>
      <c r="W51" s="2987" t="s">
        <v>2816</v>
      </c>
      <c r="X51" s="2987" t="s">
        <v>2816</v>
      </c>
      <c r="Y51" s="2987" t="s">
        <v>2816</v>
      </c>
      <c r="Z51" s="2987" t="s">
        <v>2816</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2816</v>
      </c>
      <c r="J55" s="2987" t="s">
        <v>2816</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93.75">
      <c r="A7" s="2871" t="s">
        <v>2746</v>
      </c>
    </row>
    <row r="8" spans="1:4" ht="18.75">
      <c r="A8" s="1792" t="s">
        <v>1906</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2018年10月18日（评估专业人员勘察现场之日）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73" t="s">
        <v>2747</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6" sqref="D3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35</v>
      </c>
      <c r="D1" s="3119" t="s">
        <v>3203</v>
      </c>
      <c r="E1" s="2385" t="s">
        <v>2374</v>
      </c>
      <c r="F1" s="2386">
        <f ca="1">J53</f>
        <v>47.93</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7096</v>
      </c>
      <c r="C2" s="2055"/>
      <c r="D2" s="2053"/>
      <c r="E2" s="2054"/>
      <c r="F2" s="2054"/>
      <c r="G2" s="1589"/>
      <c r="H2" s="2055"/>
      <c r="I2" s="2055"/>
      <c r="J2" s="2055"/>
      <c r="K2" s="2056"/>
      <c r="L2" s="2055"/>
      <c r="M2" s="2055"/>
    </row>
    <row r="3" spans="1:33" ht="18" customHeight="1" thickBot="1">
      <c r="A3" s="832" t="s">
        <v>1727</v>
      </c>
      <c r="B3" s="833">
        <f ca="1">IF(ISERROR(B2*10000/F43),0,ROUND(B2*10000/F43,0))</f>
        <v>2027</v>
      </c>
      <c r="C3" s="2055"/>
      <c r="D3" s="2053"/>
      <c r="E3" s="2054"/>
      <c r="F3" s="2054"/>
      <c r="G3" s="1589"/>
      <c r="H3" s="775" t="s">
        <v>694</v>
      </c>
      <c r="I3" s="1362"/>
      <c r="J3" s="1362"/>
      <c r="K3" s="1590"/>
      <c r="L3" s="1362"/>
      <c r="M3" s="1362"/>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2457</v>
      </c>
      <c r="C5" s="55">
        <f ca="1">C6+C10+C12</f>
        <v>527</v>
      </c>
      <c r="D5" s="2494" t="s">
        <v>2460</v>
      </c>
      <c r="E5" s="2488"/>
      <c r="F5" s="2489"/>
      <c r="G5" s="1591"/>
      <c r="H5" s="780">
        <v>1</v>
      </c>
      <c r="I5" s="781" t="s">
        <v>2457</v>
      </c>
      <c r="J5" s="55">
        <f ca="1">J6+J10+J12</f>
        <v>0</v>
      </c>
      <c r="K5" s="2494" t="s">
        <v>2460</v>
      </c>
      <c r="L5" s="2488"/>
      <c r="M5" s="2489"/>
    </row>
    <row r="6" spans="1:33" ht="18" customHeight="1">
      <c r="A6" s="1828" t="s">
        <v>1824</v>
      </c>
      <c r="B6" s="3462" t="s">
        <v>2462</v>
      </c>
      <c r="C6" s="782">
        <f ca="1">ROUND(F6*F8*F7*(1-F9)/10000,0)</f>
        <v>527</v>
      </c>
      <c r="D6" s="2495" t="s">
        <v>2461</v>
      </c>
      <c r="E6" s="783" t="s">
        <v>1738</v>
      </c>
      <c r="F6" s="784">
        <f ca="1">INDIRECT("'数据-取费表'!u"&amp;$G$1)</f>
        <v>500</v>
      </c>
      <c r="G6" s="1591"/>
      <c r="H6" s="2502" t="s">
        <v>2467</v>
      </c>
      <c r="I6" s="3462" t="s">
        <v>2462</v>
      </c>
      <c r="J6" s="782">
        <f ca="1">ROUND(M6*M8*M7*(1-M9)/10000,0)</f>
        <v>0</v>
      </c>
      <c r="K6" s="340" t="s">
        <v>1737</v>
      </c>
      <c r="L6" s="783" t="s">
        <v>1738</v>
      </c>
      <c r="M6" s="784">
        <f ca="1">INDIRECT("'数据-取费表'!z"&amp;$G$1)</f>
        <v>0</v>
      </c>
    </row>
    <row r="7" spans="1:33" ht="18" customHeight="1">
      <c r="A7" s="2498"/>
      <c r="B7" s="3463"/>
      <c r="C7" s="787"/>
      <c r="D7" s="788"/>
      <c r="E7" s="783" t="s">
        <v>1739</v>
      </c>
      <c r="F7" s="784">
        <f ca="1">IF(INDIRECT("'数据-取费表'!ah"&amp;$G$1)="",INDIRECT("'数据-取费表'!k"&amp;$G$1),INDIRECT("'数据-取费表'!ah"&amp;$G$1))</f>
        <v>924</v>
      </c>
      <c r="G7" s="1591"/>
      <c r="H7" s="2487"/>
      <c r="I7" s="3463"/>
      <c r="J7" s="787"/>
      <c r="K7" s="788"/>
      <c r="L7" s="783" t="s">
        <v>1739</v>
      </c>
      <c r="M7" s="784">
        <f ca="1">F7</f>
        <v>924</v>
      </c>
    </row>
    <row r="8" spans="1:33" ht="18" customHeight="1">
      <c r="A8" s="2491"/>
      <c r="B8" s="3464"/>
      <c r="C8" s="787"/>
      <c r="D8" s="788"/>
      <c r="E8" s="783" t="s">
        <v>1740</v>
      </c>
      <c r="F8" s="784">
        <f ca="1">INDIRECT("'数据-取费表'!ai"&amp;$G$1)</f>
        <v>12</v>
      </c>
      <c r="G8" s="1591"/>
      <c r="H8" s="2487"/>
      <c r="I8" s="3464"/>
      <c r="J8" s="787"/>
      <c r="K8" s="788"/>
      <c r="L8" s="783" t="s">
        <v>1740</v>
      </c>
      <c r="M8" s="784">
        <f ca="1">INDIRECT("'数据-取费表'!ai"&amp;$G$1)</f>
        <v>12</v>
      </c>
    </row>
    <row r="9" spans="1:33" ht="18" customHeight="1">
      <c r="A9" s="785"/>
      <c r="B9" s="3465"/>
      <c r="C9" s="787"/>
      <c r="D9" s="788"/>
      <c r="E9" s="783" t="s">
        <v>1741</v>
      </c>
      <c r="F9" s="793">
        <f ca="1">INDIRECT("'数据-取费表'!w"&amp;$G$1)</f>
        <v>0.05</v>
      </c>
      <c r="G9" s="1591"/>
      <c r="H9" s="2503"/>
      <c r="I9" s="3464"/>
      <c r="J9" s="787"/>
      <c r="K9" s="788"/>
      <c r="L9" s="794" t="s">
        <v>1741</v>
      </c>
      <c r="M9" s="795">
        <f ca="1">INDIRECT("'数据-取费表'!ab"&amp;$G$1)</f>
        <v>0</v>
      </c>
    </row>
    <row r="10" spans="1:33" ht="18" customHeight="1">
      <c r="A10" s="1828" t="s">
        <v>2465</v>
      </c>
      <c r="B10" s="2492" t="s">
        <v>2458</v>
      </c>
      <c r="C10" s="798">
        <f ca="1">ROUND(IF(F10="押一",C6/12*F11,IF(F10="押二",C6/12*2*F11,IF(F10="押三",C6/12*3*F11,C11*F11))),0)</f>
        <v>0</v>
      </c>
      <c r="D10" s="2499" t="s">
        <v>2968</v>
      </c>
      <c r="E10" s="2496" t="s">
        <v>2463</v>
      </c>
      <c r="F10" s="2619" t="s">
        <v>3301</v>
      </c>
      <c r="G10" s="1591"/>
      <c r="H10" s="2559" t="s">
        <v>2468</v>
      </c>
      <c r="I10" s="2564" t="s">
        <v>2458</v>
      </c>
      <c r="J10" s="782">
        <f ca="1">ROUND(IF(M10="押一",J6/12*M11,IF(M10="押二",J6/12*2*M11,IF(M10="押三",J6/12*3*M11,J11*M11))),0)</f>
        <v>0</v>
      </c>
      <c r="K10" s="2499" t="s">
        <v>2968</v>
      </c>
      <c r="L10" s="2496" t="s">
        <v>2463</v>
      </c>
      <c r="M10" s="2619"/>
    </row>
    <row r="11" spans="1:33" ht="18" customHeight="1">
      <c r="A11" s="789"/>
      <c r="B11" s="2493" t="s">
        <v>2572</v>
      </c>
      <c r="C11" s="2497"/>
      <c r="D11" s="788"/>
      <c r="E11" s="2496" t="s">
        <v>2464</v>
      </c>
      <c r="F11" s="795">
        <f ca="1">'数据-取费表'!B39</f>
        <v>1.4999999999999999E-2</v>
      </c>
      <c r="G11" s="1591"/>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1"/>
      <c r="H12" s="2549" t="s">
        <v>2469</v>
      </c>
      <c r="I12" s="2562" t="s">
        <v>2459</v>
      </c>
      <c r="J12" s="2563"/>
      <c r="K12" s="2538"/>
      <c r="L12" s="2539"/>
      <c r="M12" s="2552"/>
    </row>
    <row r="13" spans="1:33" ht="18" customHeight="1" thickTop="1">
      <c r="A13" s="1827">
        <v>2</v>
      </c>
      <c r="B13" s="1825" t="s">
        <v>1742</v>
      </c>
      <c r="C13" s="791">
        <f ca="1">ROUND(C29*F13,0)</f>
        <v>9777</v>
      </c>
      <c r="D13" s="1832" t="s">
        <v>2298</v>
      </c>
      <c r="E13" s="1832" t="s">
        <v>1744</v>
      </c>
      <c r="F13" s="2534">
        <f ca="1">INDIRECT("'数据-取费表'!y"&amp;$G$1)</f>
        <v>1</v>
      </c>
      <c r="G13" s="1591"/>
      <c r="H13" s="1827">
        <v>2</v>
      </c>
      <c r="I13" s="1825" t="s">
        <v>1742</v>
      </c>
      <c r="J13" s="1817">
        <f ca="1">ROUND(J14*J15,0)</f>
        <v>0</v>
      </c>
      <c r="K13" s="1819" t="s">
        <v>1743</v>
      </c>
      <c r="L13" s="2550"/>
      <c r="M13" s="2551"/>
    </row>
    <row r="14" spans="1:33" ht="18" customHeight="1">
      <c r="A14" s="1647" t="s">
        <v>1884</v>
      </c>
      <c r="B14" s="783" t="s">
        <v>644</v>
      </c>
      <c r="C14" s="803">
        <f ca="1">INDIRECT("'数据-取费表'!m"&amp;$G$1)+INDIRECT("'数据-取费表'!t"&amp;$G$1)</f>
        <v>7101</v>
      </c>
      <c r="D14" s="1977" t="s">
        <v>1745</v>
      </c>
      <c r="E14" s="1978"/>
      <c r="F14" s="804"/>
      <c r="G14" s="1591"/>
      <c r="H14" s="1648" t="s">
        <v>1830</v>
      </c>
      <c r="I14" s="2229" t="s">
        <v>2824</v>
      </c>
      <c r="J14" s="53">
        <f ca="1">C29</f>
        <v>9777</v>
      </c>
      <c r="K14" s="26"/>
      <c r="L14" s="800"/>
      <c r="M14" s="801"/>
    </row>
    <row r="15" spans="1:33" s="2062" customFormat="1" ht="18" customHeight="1" thickBot="1">
      <c r="A15" s="1647" t="s">
        <v>1885</v>
      </c>
      <c r="B15" s="783" t="s">
        <v>646</v>
      </c>
      <c r="C15" s="53">
        <f ca="1">ROUND(C14*F15,0)</f>
        <v>213</v>
      </c>
      <c r="D15" s="805" t="s">
        <v>1746</v>
      </c>
      <c r="E15" s="805" t="s">
        <v>1747</v>
      </c>
      <c r="F15" s="806">
        <f>'数据-取费表'!B33</f>
        <v>0.03</v>
      </c>
      <c r="G15" s="1592"/>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649</v>
      </c>
      <c r="C16" s="53">
        <f ca="1">ROUND(INDIRECT("'数据-取费表'!m"&amp;$G$1)*F16,0)</f>
        <v>0</v>
      </c>
      <c r="D16" s="783" t="s">
        <v>1746</v>
      </c>
      <c r="E16" s="783" t="s">
        <v>1747</v>
      </c>
      <c r="F16" s="808">
        <f ca="1">IF(INDIRECT("'数据-取费表'!c"&amp;$G$1)="住宅",'数据-取费表'!B34,0)</f>
        <v>0</v>
      </c>
      <c r="G16" s="1591"/>
      <c r="H16" s="1827" t="s">
        <v>1748</v>
      </c>
      <c r="I16" s="1825" t="s">
        <v>1749</v>
      </c>
      <c r="J16" s="791">
        <f ca="1">ROUND(J17+J22+J23+J24,0)</f>
        <v>979</v>
      </c>
      <c r="K16" s="1819" t="s">
        <v>1750</v>
      </c>
      <c r="L16" s="2484"/>
      <c r="M16" s="2489"/>
    </row>
    <row r="17" spans="1:33" s="2062" customFormat="1" ht="18" customHeight="1">
      <c r="A17" s="1647" t="s">
        <v>1887</v>
      </c>
      <c r="B17" s="783" t="s">
        <v>652</v>
      </c>
      <c r="C17" s="53">
        <f ca="1">ROUND(F17*(F43+INDIRECT("'数据-取费表'!S"&amp;$G$1))/10000,0)</f>
        <v>710</v>
      </c>
      <c r="D17" s="783" t="s">
        <v>1751</v>
      </c>
      <c r="E17" s="783" t="s">
        <v>1752</v>
      </c>
      <c r="F17" s="56">
        <f>'数据-取费表'!B35</f>
        <v>200</v>
      </c>
      <c r="G17" s="1592"/>
      <c r="H17" s="1648" t="s">
        <v>1830</v>
      </c>
      <c r="I17" s="783" t="s">
        <v>655</v>
      </c>
      <c r="J17" s="53">
        <f ca="1">ROUND(IF(项目基本情况!B11="自然人",J5*M17,J18+J19+J20),0)</f>
        <v>832</v>
      </c>
      <c r="K17" s="2483" t="s">
        <v>1753</v>
      </c>
      <c r="L17" s="2482" t="s">
        <v>1754</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658</v>
      </c>
      <c r="C18" s="53">
        <f ca="1">ROUND(C14*F18,0)</f>
        <v>107</v>
      </c>
      <c r="D18" s="783" t="s">
        <v>1746</v>
      </c>
      <c r="E18" s="783" t="s">
        <v>1747</v>
      </c>
      <c r="F18" s="808">
        <f>'数据-取费表'!B36</f>
        <v>1.4999999999999999E-2</v>
      </c>
      <c r="G18" s="1592"/>
      <c r="H18" s="1647" t="s">
        <v>1884</v>
      </c>
      <c r="I18" s="783" t="s">
        <v>1755</v>
      </c>
      <c r="J18" s="53">
        <f ca="1">ROUND(J5*M18/1.05,1)</f>
        <v>0</v>
      </c>
      <c r="K18" s="2482" t="s">
        <v>1756</v>
      </c>
      <c r="L18" s="783" t="s">
        <v>1747</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661</v>
      </c>
      <c r="C19" s="53">
        <f ca="1">SUM(C14:C18)</f>
        <v>8131</v>
      </c>
      <c r="D19" s="260" t="s">
        <v>1757</v>
      </c>
      <c r="E19" s="1980"/>
      <c r="F19" s="56"/>
      <c r="G19" s="1591"/>
      <c r="H19" s="1647" t="s">
        <v>1885</v>
      </c>
      <c r="I19" s="783" t="s">
        <v>1758</v>
      </c>
      <c r="J19" s="53">
        <f ca="1">IF(K19="按租金收入计税",ROUND(J5*M19,1),ROUND(C29*F33*0.7,1))</f>
        <v>821.3</v>
      </c>
      <c r="K19" s="810" t="s">
        <v>664</v>
      </c>
      <c r="L19" s="783" t="s">
        <v>1747</v>
      </c>
      <c r="M19" s="808">
        <f>IF(K19="按租金收入计税",'数据-取费表'!B51,'数据-取费表'!B50)</f>
        <v>1.2E-2</v>
      </c>
    </row>
    <row r="20" spans="1:33" s="2062" customFormat="1" ht="18" customHeight="1">
      <c r="A20" s="1648" t="s">
        <v>1889</v>
      </c>
      <c r="B20" s="783" t="s">
        <v>665</v>
      </c>
      <c r="C20" s="53">
        <f ca="1">ROUND(C19*F20,0)</f>
        <v>163</v>
      </c>
      <c r="D20" s="811" t="s">
        <v>1759</v>
      </c>
      <c r="E20" s="783" t="s">
        <v>1747</v>
      </c>
      <c r="F20" s="808">
        <f>'数据-取费表'!B37</f>
        <v>0.02</v>
      </c>
      <c r="G20" s="1592"/>
      <c r="H20" s="1650" t="s">
        <v>1880</v>
      </c>
      <c r="I20" s="340" t="s">
        <v>1760</v>
      </c>
      <c r="J20" s="54">
        <f ca="1">ROUND(M20*M21/10000,0)</f>
        <v>11</v>
      </c>
      <c r="K20" s="813" t="s">
        <v>1761</v>
      </c>
      <c r="L20" s="783" t="s">
        <v>1762</v>
      </c>
      <c r="M20" s="639">
        <f>'数据-取费表'!B52</f>
        <v>8</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3" t="s">
        <v>1764</v>
      </c>
      <c r="D21" s="811" t="s">
        <v>2299</v>
      </c>
      <c r="E21" s="783" t="s">
        <v>1765</v>
      </c>
      <c r="F21" s="808">
        <f>'数据-取费表'!B38</f>
        <v>1.4999999999999999E-2</v>
      </c>
      <c r="G21" s="1592"/>
      <c r="H21" s="2504"/>
      <c r="I21" s="792"/>
      <c r="J21" s="69"/>
      <c r="K21" s="815"/>
      <c r="L21" s="783" t="s">
        <v>1766</v>
      </c>
      <c r="M21" s="784">
        <f ca="1">INDIRECT("'数据-取费表'!r"&amp;$G$1)</f>
        <v>13583.78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3"/>
      <c r="D22" s="2570" t="str">
        <f>IF(F23&lt;=1,"单利计息。","复利计息。")&amp;"建造成本、管理费用、销售费用产生的利息。"</f>
        <v>复利计息。建造成本、管理费用、销售费用产生的利息。</v>
      </c>
      <c r="E22" s="1980"/>
      <c r="F22" s="56"/>
      <c r="G22" s="1591"/>
      <c r="H22" s="1648" t="s">
        <v>1889</v>
      </c>
      <c r="I22" s="783" t="s">
        <v>1768</v>
      </c>
      <c r="J22" s="53">
        <f ca="1">ROUND(J14*M22,0)</f>
        <v>147</v>
      </c>
      <c r="K22" s="2482" t="s">
        <v>1769</v>
      </c>
      <c r="L22" s="783" t="s">
        <v>1747</v>
      </c>
      <c r="M22" s="816">
        <f ca="1">INDIRECT("'数据-取费表'!Ak"&amp;$G$1)</f>
        <v>1.4999999999999999E-2</v>
      </c>
    </row>
    <row r="23" spans="1:33" s="2062" customFormat="1" ht="18" customHeight="1">
      <c r="A23" s="1647" t="s">
        <v>1831</v>
      </c>
      <c r="B23" s="783" t="s">
        <v>2534</v>
      </c>
      <c r="C23" s="53">
        <f ca="1">ROUND(IF('数据-取费表'!B22&lt;=1,(C19+C20)*F24*F23/2,(C19+C20)*(POWER((1+F24),F23/2)-1)),0)</f>
        <v>394</v>
      </c>
      <c r="D23" s="2569"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3">
        <f ca="1">ROUND(J13*M23,0)</f>
        <v>0</v>
      </c>
      <c r="K23" s="2482" t="s">
        <v>1771</v>
      </c>
      <c r="L23" s="783" t="s">
        <v>1747</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3">
        <f ca="1">ROUND(IF('数据-取费表'!B22&lt;=1,F21*F24*F23/2,F21*(POWER((1+F24),F23/2)-1)),4)</f>
        <v>6.9999999999999999E-4</v>
      </c>
      <c r="D24" s="2569" t="str">
        <f>IF(F23&lt;=1,"销售费用×利率×(建设周期÷2)","销售费用×((1+利率)^(建设周期÷2)-1)")</f>
        <v>销售费用×((1+利率)^(建设周期÷2)-1)</v>
      </c>
      <c r="E24" s="783" t="s">
        <v>1773</v>
      </c>
      <c r="F24" s="818">
        <f ca="1">'数据-取费表'!B40</f>
        <v>4.7500000000000001E-2</v>
      </c>
      <c r="G24" s="1592"/>
      <c r="H24" s="2549" t="s">
        <v>1891</v>
      </c>
      <c r="I24" s="2544" t="s">
        <v>665</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683</v>
      </c>
      <c r="C25" s="53"/>
      <c r="D25" s="260" t="s">
        <v>1775</v>
      </c>
      <c r="E25" s="1980"/>
      <c r="F25" s="56"/>
      <c r="G25" s="1591"/>
      <c r="H25" s="1827" t="s">
        <v>1776</v>
      </c>
      <c r="I25" s="3007" t="s">
        <v>2820</v>
      </c>
      <c r="J25" s="791">
        <f ca="1">J5-J16</f>
        <v>-979</v>
      </c>
      <c r="K25" s="2546" t="s">
        <v>1777</v>
      </c>
      <c r="L25" s="2547"/>
      <c r="M25" s="2548"/>
    </row>
    <row r="26" spans="1:33" ht="18" customHeight="1">
      <c r="A26" s="1647" t="s">
        <v>1831</v>
      </c>
      <c r="B26" s="783" t="s">
        <v>2438</v>
      </c>
      <c r="C26" s="53">
        <f ca="1">ROUND((C19+C20)*F26,0)</f>
        <v>415</v>
      </c>
      <c r="D26" s="811" t="s">
        <v>1778</v>
      </c>
      <c r="E26" s="794" t="s">
        <v>1779</v>
      </c>
      <c r="F26" s="793">
        <f ca="1">INDIRECT("'数据-取费表'!q"&amp;$G$1)</f>
        <v>0.05</v>
      </c>
      <c r="G26" s="1591"/>
      <c r="H26" s="2500" t="s">
        <v>1780</v>
      </c>
      <c r="I26" s="2230" t="s">
        <v>2825</v>
      </c>
      <c r="J26" s="782">
        <f ca="1">IF(J5&lt;&gt;0,ROUND(J25*(1-((1+M28)/(1+M26))^M27)/(M26-M28),0),0)</f>
        <v>0</v>
      </c>
      <c r="K26" s="813" t="s">
        <v>1781</v>
      </c>
      <c r="L26" s="783" t="s">
        <v>2419</v>
      </c>
      <c r="M26" s="793">
        <f ca="1">INDIRECT("'数据-取费表'!I"&amp;$G$1)</f>
        <v>0.05</v>
      </c>
    </row>
    <row r="27" spans="1:33" ht="18" customHeight="1">
      <c r="A27" s="1647" t="s">
        <v>1832</v>
      </c>
      <c r="B27" s="783" t="s">
        <v>685</v>
      </c>
      <c r="C27" s="53">
        <f ca="1">ROUND(F21*F26,4)</f>
        <v>8.0000000000000004E-4</v>
      </c>
      <c r="D27" s="811" t="s">
        <v>1782</v>
      </c>
      <c r="E27" s="805"/>
      <c r="F27" s="806"/>
      <c r="G27" s="1591"/>
      <c r="H27" s="2501"/>
      <c r="I27" s="786"/>
      <c r="J27" s="787"/>
      <c r="K27" s="820" t="s">
        <v>1783</v>
      </c>
      <c r="L27" s="783" t="s">
        <v>1784</v>
      </c>
      <c r="M27" s="821">
        <f ca="1">INDIRECT("'数据-取费表'!ag"&amp;$G$1)</f>
        <v>0</v>
      </c>
    </row>
    <row r="28" spans="1:33" s="2062" customFormat="1" ht="18" customHeight="1">
      <c r="A28" s="1649" t="s">
        <v>1841</v>
      </c>
      <c r="B28" s="783" t="s">
        <v>686</v>
      </c>
      <c r="C28" s="53">
        <f>ROUND(F28/(1+'数据-取费表'!C42),4)</f>
        <v>5.2400000000000002E-2</v>
      </c>
      <c r="D28" s="811" t="s">
        <v>2300</v>
      </c>
      <c r="E28" s="783" t="s">
        <v>1785</v>
      </c>
      <c r="F28" s="808">
        <f>'数据-取费表'!B41</f>
        <v>5.5000000000000007E-2</v>
      </c>
      <c r="G28" s="1592"/>
      <c r="H28" s="1827"/>
      <c r="I28" s="790"/>
      <c r="J28" s="791"/>
      <c r="K28" s="815"/>
      <c r="L28" s="783" t="s">
        <v>1786</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2301</v>
      </c>
      <c r="C29" s="2542">
        <f ca="1">ROUND((C19+C20+C23+C26)/(1-F21-C24-C27-C28),0)</f>
        <v>9777</v>
      </c>
      <c r="D29" s="2543"/>
      <c r="E29" s="2544"/>
      <c r="F29" s="2545"/>
      <c r="G29" s="1592"/>
      <c r="H29" s="822" t="s">
        <v>1787</v>
      </c>
      <c r="I29" s="823" t="s">
        <v>1788</v>
      </c>
      <c r="J29" s="824">
        <f ca="1">ROUND(J26/(1+F40)^F41,0)</f>
        <v>0</v>
      </c>
      <c r="K29" s="825" t="s">
        <v>1789</v>
      </c>
      <c r="L29" s="826"/>
      <c r="M29" s="827">
        <f ca="1">INDIRECT("'数据-取费表'!k"&amp;$G$1)</f>
        <v>35012</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268</v>
      </c>
      <c r="D30" s="1819" t="s">
        <v>1791</v>
      </c>
      <c r="E30" s="2484"/>
      <c r="F30" s="2489"/>
      <c r="G30" s="2060"/>
      <c r="H30" s="2063"/>
      <c r="I30" s="2064"/>
      <c r="J30" s="2065"/>
      <c r="K30" s="2066"/>
      <c r="L30" s="2067"/>
      <c r="M30" s="2068"/>
    </row>
    <row r="31" spans="1:33" ht="18" customHeight="1">
      <c r="A31" s="1648" t="s">
        <v>1830</v>
      </c>
      <c r="B31" s="783" t="s">
        <v>655</v>
      </c>
      <c r="C31" s="53">
        <f ca="1">ROUND(IF(项目基本情况!B11="自然人",C5*F31,C32+C33+C34),1)</f>
        <v>101.7</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3">
        <f ca="1">ROUND(C5*F32/1.05,1)</f>
        <v>27.6</v>
      </c>
      <c r="D32" s="1975"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3">
        <f ca="1">IF(D33="按租金收入计税",ROUND(C5*F33,1),IF(D33="按房产原值计税",ROUND(C29*F33*0.7,1),INDIRECT("'数据-取费表'!Aj"&amp;$G$1)))</f>
        <v>63.2</v>
      </c>
      <c r="D33" s="810" t="s">
        <v>3205</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4">
        <f ca="1">ROUND(F34*F35/10000,1)</f>
        <v>10.9</v>
      </c>
      <c r="D34" s="813" t="s">
        <v>1799</v>
      </c>
      <c r="E34" s="783" t="s">
        <v>1800</v>
      </c>
      <c r="F34" s="639">
        <f>'数据-取费表'!B52</f>
        <v>8</v>
      </c>
      <c r="G34" s="2060"/>
      <c r="H34" s="2063"/>
      <c r="I34" s="834" t="s">
        <v>1813</v>
      </c>
      <c r="J34" s="835"/>
      <c r="K34" s="2078"/>
      <c r="L34" s="2077"/>
      <c r="M34" s="2077"/>
    </row>
    <row r="35" spans="1:18" ht="18" customHeight="1">
      <c r="A35" s="814"/>
      <c r="B35" s="792"/>
      <c r="C35" s="69"/>
      <c r="D35" s="815"/>
      <c r="E35" s="783" t="s">
        <v>1801</v>
      </c>
      <c r="F35" s="784">
        <f ca="1">INDIRECT("'数据-取费表'!r"&amp;$G$1)</f>
        <v>13583.78</v>
      </c>
      <c r="G35" s="2060"/>
      <c r="H35" s="2063"/>
      <c r="I35" s="836" t="s">
        <v>1814</v>
      </c>
      <c r="J35" s="837">
        <f ca="1">ROUND(C13*J36,0)</f>
        <v>831</v>
      </c>
      <c r="K35" s="2076"/>
      <c r="L35" s="2075"/>
      <c r="M35" s="2075"/>
    </row>
    <row r="36" spans="1:18" ht="18" customHeight="1">
      <c r="A36" s="1648" t="s">
        <v>1889</v>
      </c>
      <c r="B36" s="783" t="s">
        <v>1802</v>
      </c>
      <c r="C36" s="53">
        <f ca="1">ROUND(C29*F36,1)</f>
        <v>146.69999999999999</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678</v>
      </c>
      <c r="C37" s="53">
        <f ca="1">ROUND(C13*F37,1)</f>
        <v>14.7</v>
      </c>
      <c r="D37" s="1975" t="s">
        <v>1804</v>
      </c>
      <c r="E37" s="783" t="s">
        <v>1796</v>
      </c>
      <c r="F37" s="817">
        <f ca="1">INDIRECT("'数据-取费表'!Al"&amp;$G$1)</f>
        <v>1.5E-3</v>
      </c>
      <c r="G37" s="2060"/>
      <c r="H37" s="2075"/>
      <c r="I37" s="840" t="s">
        <v>1816</v>
      </c>
      <c r="J37" s="841"/>
      <c r="K37" s="2080"/>
      <c r="L37" s="2075"/>
      <c r="M37" s="2075"/>
    </row>
    <row r="38" spans="1:18" ht="18" customHeight="1" thickBot="1">
      <c r="A38" s="2549" t="s">
        <v>1891</v>
      </c>
      <c r="B38" s="2544" t="s">
        <v>665</v>
      </c>
      <c r="C38" s="2542">
        <f ca="1">ROUND(C5*F38,1)</f>
        <v>5.3</v>
      </c>
      <c r="D38" s="2543" t="s">
        <v>1805</v>
      </c>
      <c r="E38" s="2544" t="s">
        <v>1796</v>
      </c>
      <c r="F38" s="2540">
        <f ca="1">INDIRECT("'数据-取费表'!Am"&amp;$G$1)</f>
        <v>0.01</v>
      </c>
      <c r="G38" s="2060"/>
      <c r="H38" s="2075"/>
      <c r="I38" s="842" t="s">
        <v>1817</v>
      </c>
      <c r="J38" s="843"/>
      <c r="K38" s="2081"/>
      <c r="L38" s="2075"/>
      <c r="M38" s="2075"/>
    </row>
    <row r="39" spans="1:18" ht="24.6" customHeight="1" thickTop="1">
      <c r="A39" s="1827" t="s">
        <v>1894</v>
      </c>
      <c r="B39" s="3007" t="s">
        <v>2820</v>
      </c>
      <c r="C39" s="791">
        <f ca="1">C5-C30</f>
        <v>259</v>
      </c>
      <c r="D39" s="2546" t="s">
        <v>1806</v>
      </c>
      <c r="E39" s="2547"/>
      <c r="F39" s="2548"/>
      <c r="G39" s="2060"/>
      <c r="H39" s="2075"/>
      <c r="I39" s="836" t="s">
        <v>1818</v>
      </c>
      <c r="J39" s="844">
        <f ca="1">ROUND(J35/C39,3)</f>
        <v>3.2080000000000002</v>
      </c>
      <c r="K39" s="2081"/>
      <c r="L39" s="2075"/>
      <c r="M39" s="2075"/>
    </row>
    <row r="40" spans="1:18" ht="18" customHeight="1">
      <c r="A40" s="780" t="s">
        <v>1895</v>
      </c>
      <c r="B40" s="2230" t="s">
        <v>2302</v>
      </c>
      <c r="C40" s="782">
        <f ca="1">ROUND(C39*(1-((1+F42)/(1+F40))^F41)/(F40-F42),0)</f>
        <v>7096</v>
      </c>
      <c r="D40" s="813" t="s">
        <v>1807</v>
      </c>
      <c r="E40" s="783" t="s">
        <v>2419</v>
      </c>
      <c r="F40" s="793">
        <f ca="1">INDIRECT("'数据-取费表'!I"&amp;$G$1)</f>
        <v>0.05</v>
      </c>
      <c r="G40" s="2060"/>
      <c r="H40" s="2060"/>
      <c r="I40" s="836" t="s">
        <v>1819</v>
      </c>
      <c r="J40" s="844">
        <f ca="1">1-J39</f>
        <v>-2.2080000000000002</v>
      </c>
      <c r="K40" s="2081"/>
      <c r="L40" s="2060"/>
      <c r="M40" s="2060"/>
    </row>
    <row r="41" spans="1:18" ht="18" customHeight="1">
      <c r="A41" s="785"/>
      <c r="B41" s="786"/>
      <c r="C41" s="787"/>
      <c r="D41" s="820" t="s">
        <v>1808</v>
      </c>
      <c r="E41" s="783" t="s">
        <v>2958</v>
      </c>
      <c r="F41" s="821">
        <f ca="1">IF(INDIRECT("'数据-取费表'!af"&amp;$G$1)=0,INDIRECT("'数据-取费表'!ae"&amp;$G$1),INDIRECT("'数据-取费表'!af"&amp;$G$1))</f>
        <v>47.93</v>
      </c>
      <c r="G41" s="2060"/>
      <c r="H41" s="1986"/>
      <c r="I41" s="842" t="s">
        <v>1820</v>
      </c>
      <c r="J41" s="845"/>
      <c r="K41" s="2080"/>
      <c r="L41" s="1986"/>
      <c r="M41" s="1986"/>
    </row>
    <row r="42" spans="1:18" ht="18" customHeight="1">
      <c r="A42" s="789"/>
      <c r="B42" s="790"/>
      <c r="C42" s="791"/>
      <c r="D42" s="815"/>
      <c r="E42" s="783" t="s">
        <v>1809</v>
      </c>
      <c r="F42" s="793">
        <f ca="1">INDIRECT("'数据-取费表'!v"&amp;$G$1)</f>
        <v>2.5000000000000001E-2</v>
      </c>
      <c r="G42" s="2060"/>
      <c r="H42" s="1986"/>
      <c r="I42" s="846" t="s">
        <v>1821</v>
      </c>
      <c r="J42" s="844">
        <f ca="1">ROUND(C13/C40,3)</f>
        <v>1.3779999999999999</v>
      </c>
      <c r="K42" s="2080"/>
      <c r="L42" s="1986"/>
      <c r="M42" s="1986"/>
    </row>
    <row r="43" spans="1:18" ht="18" customHeight="1" thickBot="1">
      <c r="A43" s="822" t="s">
        <v>1787</v>
      </c>
      <c r="B43" s="823" t="s">
        <v>1810</v>
      </c>
      <c r="C43" s="824">
        <f ca="1">ROUND(C40*10000/F43,0)</f>
        <v>2027</v>
      </c>
      <c r="D43" s="825" t="s">
        <v>1811</v>
      </c>
      <c r="E43" s="826" t="s">
        <v>1812</v>
      </c>
      <c r="F43" s="827">
        <f ca="1">INDIRECT("'数据-取费表'!k"&amp;$G$1)</f>
        <v>35012</v>
      </c>
      <c r="G43" s="2060"/>
      <c r="H43" s="1986"/>
      <c r="I43" s="846" t="s">
        <v>1822</v>
      </c>
      <c r="J43" s="847">
        <f ca="1">1-J42</f>
        <v>-0.37799999999999989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-10204</v>
      </c>
      <c r="D46" s="2083"/>
      <c r="E46" s="2083"/>
      <c r="F46" s="2083"/>
      <c r="I46" s="2376" t="s">
        <v>2343</v>
      </c>
      <c r="J46" s="2377"/>
      <c r="K46" s="2378"/>
      <c r="L46" s="3154">
        <f>IF(OR(M47="住宅",D1="土地（套用方法）"),0,IF(L48&gt;J51,L60,J60))</f>
        <v>0</v>
      </c>
      <c r="O46" s="2392" t="s">
        <v>2410</v>
      </c>
      <c r="P46" s="1591"/>
      <c r="Q46" s="1603"/>
      <c r="R46" s="1591"/>
    </row>
    <row r="47" spans="1:18" s="2057" customFormat="1" ht="18" customHeight="1" thickBot="1">
      <c r="A47" s="2370">
        <v>1</v>
      </c>
      <c r="B47" s="2371" t="s">
        <v>634</v>
      </c>
      <c r="C47" s="2572">
        <f ca="1">C48+C52+C54</f>
        <v>0</v>
      </c>
      <c r="D47" s="2083"/>
      <c r="E47" s="2083"/>
      <c r="F47" s="2083"/>
      <c r="I47" s="3144" t="s">
        <v>2344</v>
      </c>
      <c r="J47" s="2379" t="s">
        <v>3204</v>
      </c>
      <c r="K47" s="3151" t="s">
        <v>2349</v>
      </c>
      <c r="L47" s="3155">
        <f ca="1">INDIRECT("'数据-取费表'!d"&amp;$G$1)</f>
        <v>50</v>
      </c>
      <c r="M47" s="1603" t="str">
        <f>IF(ISNUMBER(FIND("住宅",C1)),"住宅","非住宅")</f>
        <v>非住宅</v>
      </c>
      <c r="O47" s="2393" t="s">
        <v>2375</v>
      </c>
      <c r="P47" s="2394" t="s">
        <v>2376</v>
      </c>
      <c r="Q47" s="2395" t="s">
        <v>2377</v>
      </c>
      <c r="R47" s="2394" t="s">
        <v>2378</v>
      </c>
    </row>
    <row r="48" spans="1:18" s="2057" customFormat="1" ht="18" customHeight="1" thickBot="1">
      <c r="A48" s="2640" t="s">
        <v>2536</v>
      </c>
      <c r="B48" s="2641" t="s">
        <v>2537</v>
      </c>
      <c r="C48" s="2372">
        <f ca="1">ROUND(F48*F50*F49*(1-F51)/10000,0)</f>
        <v>0</v>
      </c>
      <c r="D48" s="2373" t="s">
        <v>635</v>
      </c>
      <c r="E48" s="2374" t="s">
        <v>2297</v>
      </c>
      <c r="F48" s="2375"/>
      <c r="G48" s="2088"/>
      <c r="I48" s="3120" t="s">
        <v>2345</v>
      </c>
      <c r="J48" s="2380" t="s">
        <v>2350</v>
      </c>
      <c r="K48" s="3152" t="s">
        <v>2351</v>
      </c>
      <c r="L48" s="1906">
        <f ca="1">INDIRECT("'数据-取费表'!f"&amp;$G$1)</f>
        <v>49.93</v>
      </c>
      <c r="O48" s="2396" t="s">
        <v>2379</v>
      </c>
      <c r="P48" s="2397" t="s">
        <v>2405</v>
      </c>
      <c r="Q48" s="2398">
        <f ca="1">C40+J29</f>
        <v>7096</v>
      </c>
      <c r="R48" s="2397" t="s">
        <v>2380</v>
      </c>
    </row>
    <row r="49" spans="1:18" s="2057" customFormat="1" ht="18" customHeight="1" thickBot="1">
      <c r="A49" s="785"/>
      <c r="B49" s="786"/>
      <c r="C49" s="787"/>
      <c r="D49" s="788"/>
      <c r="E49" s="783" t="s">
        <v>1739</v>
      </c>
      <c r="F49" s="784">
        <f ca="1">F7</f>
        <v>924</v>
      </c>
      <c r="G49" s="2088"/>
      <c r="H49" s="2091"/>
      <c r="I49" s="3120" t="s">
        <v>2346</v>
      </c>
      <c r="J49" s="2381">
        <v>2018</v>
      </c>
      <c r="K49" s="3153" t="s">
        <v>2352</v>
      </c>
      <c r="L49" s="2382"/>
      <c r="O49" s="2396" t="s">
        <v>2381</v>
      </c>
      <c r="P49" s="2397" t="s">
        <v>2406</v>
      </c>
      <c r="Q49" s="2398" t="str">
        <f ca="1">J60</f>
        <v>0</v>
      </c>
      <c r="R49" s="2397" t="s">
        <v>2382</v>
      </c>
    </row>
    <row r="50" spans="1:18" s="2057" customFormat="1" ht="18" customHeight="1" thickBot="1">
      <c r="A50" s="785"/>
      <c r="B50" s="786"/>
      <c r="C50" s="787"/>
      <c r="D50" s="788"/>
      <c r="E50" s="783" t="s">
        <v>1740</v>
      </c>
      <c r="F50" s="784">
        <f ca="1">F8</f>
        <v>12</v>
      </c>
      <c r="G50" s="2093"/>
      <c r="H50" s="2091"/>
      <c r="I50" s="3120" t="s">
        <v>2347</v>
      </c>
      <c r="J50" s="3148">
        <f>SUMPRODUCT((I63:I65=J47)*(J62:L62=J48)*(J63:L65))</f>
        <v>60</v>
      </c>
      <c r="K50" s="3153" t="s">
        <v>2353</v>
      </c>
      <c r="L50" s="2382"/>
      <c r="O50" s="2399" t="s">
        <v>2383</v>
      </c>
      <c r="P50" s="2397" t="s">
        <v>2407</v>
      </c>
      <c r="Q50" s="2398">
        <f ca="1">C29</f>
        <v>9777</v>
      </c>
      <c r="R50" s="2397" t="s">
        <v>2380</v>
      </c>
    </row>
    <row r="51" spans="1:18" s="2057" customFormat="1" ht="18" customHeight="1" thickBot="1">
      <c r="A51" s="785"/>
      <c r="B51" s="786"/>
      <c r="C51" s="787"/>
      <c r="D51" s="788"/>
      <c r="E51" s="783" t="s">
        <v>639</v>
      </c>
      <c r="F51" s="2369"/>
      <c r="H51" s="2091"/>
      <c r="I51" s="3145" t="s">
        <v>2348</v>
      </c>
      <c r="J51" s="3149">
        <f>IF(J49="",J50,J49+J50-YEAR('数据-取费表'!B2))</f>
        <v>60</v>
      </c>
      <c r="K51" s="3120" t="s">
        <v>2354</v>
      </c>
      <c r="L51" s="3156">
        <f ca="1">ROUND(-PV(INDIRECT("'数据-取费表'!h"&amp;$G$1),L48,(C39-C13*J36),0),0)</f>
        <v>-11300</v>
      </c>
      <c r="O51" s="2399" t="s">
        <v>2384</v>
      </c>
      <c r="P51" s="2397" t="s">
        <v>2385</v>
      </c>
      <c r="Q51" s="2400" t="e">
        <f ca="1">J58</f>
        <v>#VALUE!</v>
      </c>
      <c r="R51" s="2401"/>
    </row>
    <row r="52" spans="1:18" s="2057" customFormat="1" ht="18" customHeight="1" thickBot="1">
      <c r="A52" s="780" t="s">
        <v>2535</v>
      </c>
      <c r="B52" s="2492" t="s">
        <v>2458</v>
      </c>
      <c r="C52" s="798">
        <f ca="1">ROUND(IF(F52="押一",C48/12*F11,IF(F52="押二",C48/12*2*F11,IF(F52="押三",C48/12*3*F11,C53*F11))),0)</f>
        <v>0</v>
      </c>
      <c r="D52" s="2499" t="s">
        <v>2969</v>
      </c>
      <c r="E52" s="2496" t="s">
        <v>2463</v>
      </c>
      <c r="F52" s="2619"/>
      <c r="I52" s="3146" t="s">
        <v>2421</v>
      </c>
      <c r="J52" s="2383">
        <v>0.09</v>
      </c>
      <c r="K52" s="3146" t="s">
        <v>2420</v>
      </c>
      <c r="L52" s="2383"/>
      <c r="O52" s="2399" t="s">
        <v>2386</v>
      </c>
      <c r="P52" s="2397" t="s">
        <v>2387</v>
      </c>
      <c r="Q52" s="2400">
        <f>J52</f>
        <v>0.09</v>
      </c>
      <c r="R52" s="2401"/>
    </row>
    <row r="53" spans="1:18" s="2057" customFormat="1" ht="39.75" customHeight="1" thickBot="1">
      <c r="A53" s="785"/>
      <c r="B53" s="2493" t="s">
        <v>2572</v>
      </c>
      <c r="C53" s="2497"/>
      <c r="D53" s="2499"/>
      <c r="E53" s="2496"/>
      <c r="F53" s="799"/>
      <c r="I53" s="3147" t="s">
        <v>2973</v>
      </c>
      <c r="J53" s="3150">
        <f ca="1">IF(M47="住宅",IF(D1="——",MAX(J51,L48),MAX(J51,L48-'数据-取费表'!B20)),IF(D1="——",MIN(J51,L48),MIN(J51,L48-'数据-取费表'!B20)))</f>
        <v>47.93</v>
      </c>
      <c r="K53" s="3515" t="s">
        <v>2960</v>
      </c>
      <c r="L53" s="3516"/>
      <c r="O53" s="2399" t="s">
        <v>2388</v>
      </c>
      <c r="P53" s="2397" t="s">
        <v>2389</v>
      </c>
      <c r="Q53" s="2398">
        <f ca="1">J53</f>
        <v>47.93</v>
      </c>
      <c r="R53" s="2397" t="s">
        <v>2390</v>
      </c>
    </row>
    <row r="54" spans="1:18" s="2057" customFormat="1" ht="18" customHeight="1" thickBot="1">
      <c r="A54" s="2535" t="s">
        <v>2466</v>
      </c>
      <c r="B54" s="2536" t="s">
        <v>2459</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7096</v>
      </c>
      <c r="R54" s="2401" t="s">
        <v>2392</v>
      </c>
    </row>
    <row r="55" spans="1:18" s="2057" customFormat="1" ht="18" customHeight="1" thickTop="1" thickBot="1">
      <c r="A55" s="796">
        <v>2</v>
      </c>
      <c r="B55" s="797" t="s">
        <v>643</v>
      </c>
      <c r="C55" s="798">
        <f ca="1">C13</f>
        <v>9777</v>
      </c>
      <c r="D55" s="794"/>
      <c r="E55" s="794"/>
      <c r="F55" s="799"/>
      <c r="I55" s="3159" t="s">
        <v>2355</v>
      </c>
      <c r="J55" s="3095" t="e">
        <f ca="1">ROUND(IF(J47="钢混",J57/J50,1-(1-2%)*(J50-J57)/J50),3)</f>
        <v>#VALUE!</v>
      </c>
      <c r="K55" s="3160" t="s">
        <v>2356</v>
      </c>
      <c r="L55" s="2384"/>
      <c r="O55" s="2402" t="s">
        <v>2411</v>
      </c>
      <c r="P55" s="1591"/>
      <c r="Q55" s="1603"/>
      <c r="R55" s="1591"/>
    </row>
    <row r="56" spans="1:18" s="2057" customFormat="1" ht="42.75" customHeight="1" thickBot="1">
      <c r="A56" s="1649"/>
      <c r="B56" s="2229" t="s">
        <v>2303</v>
      </c>
      <c r="C56" s="53">
        <f ca="1">C29</f>
        <v>9777</v>
      </c>
      <c r="D56" s="2637"/>
      <c r="E56" s="783"/>
      <c r="F56" s="808"/>
      <c r="I56" s="3161" t="s">
        <v>2357</v>
      </c>
      <c r="J56" s="3171" t="s">
        <v>1678</v>
      </c>
      <c r="K56" s="3120" t="s">
        <v>2362</v>
      </c>
      <c r="L56" s="1906" t="str">
        <f ca="1">IF(L48&lt;J51,"——",L48-J51)</f>
        <v>——</v>
      </c>
      <c r="O56" s="2393" t="s">
        <v>2375</v>
      </c>
      <c r="P56" s="2394" t="s">
        <v>2376</v>
      </c>
      <c r="Q56" s="2395" t="s">
        <v>2377</v>
      </c>
      <c r="R56" s="2394" t="s">
        <v>2378</v>
      </c>
    </row>
    <row r="57" spans="1:18" s="2057" customFormat="1" ht="28.5" customHeight="1" thickBot="1">
      <c r="A57" s="796" t="s">
        <v>1748</v>
      </c>
      <c r="B57" s="797" t="s">
        <v>650</v>
      </c>
      <c r="C57" s="798">
        <f ca="1">ROUND(C58+C63+C64+C65,0)</f>
        <v>172</v>
      </c>
      <c r="D57" s="26" t="s">
        <v>1750</v>
      </c>
      <c r="E57" s="2638"/>
      <c r="F57" s="56"/>
      <c r="I57" s="3162" t="s">
        <v>2358</v>
      </c>
      <c r="J57" s="3163" t="str">
        <f ca="1">IF(OR(M47="住宅",J51&lt;L48,J56="是"),"——",J51-L48)</f>
        <v>——</v>
      </c>
      <c r="K57" s="3120" t="s">
        <v>2363</v>
      </c>
      <c r="L57" s="1906" t="str">
        <f ca="1">IF(L48&lt;J51,"——",IF(L55="比较法",L49,IF(L55="基准地价",L50,L51)))</f>
        <v>——</v>
      </c>
      <c r="O57" s="2396" t="s">
        <v>2379</v>
      </c>
      <c r="P57" s="2397" t="s">
        <v>2409</v>
      </c>
      <c r="Q57" s="2398">
        <f ca="1">C40+J29</f>
        <v>7096</v>
      </c>
      <c r="R57" s="2397" t="s">
        <v>2380</v>
      </c>
    </row>
    <row r="58" spans="1:18" s="2057" customFormat="1" ht="28.5" customHeight="1" thickBot="1">
      <c r="A58" s="1648" t="s">
        <v>1824</v>
      </c>
      <c r="B58" s="783" t="s">
        <v>655</v>
      </c>
      <c r="C58" s="53">
        <f ca="1">ROUND(IF(项目基本情况!B11="自然人",C47*F58,C59+C60+C61),1)</f>
        <v>10.9</v>
      </c>
      <c r="D58" s="2636" t="s">
        <v>656</v>
      </c>
      <c r="E58" s="2637" t="s">
        <v>689</v>
      </c>
      <c r="F58" s="809" t="str">
        <f ca="1">IF(项目基本情况!B11="企业","",IF(INDIRECT("'数据-取费表'!c"&amp;$G$1)="住宅",5%,IF(F48*F49*F50/12/(1+'数据-取费表'!C42)&gt;20000,12%,7%)))</f>
        <v/>
      </c>
      <c r="I58" s="3162" t="s">
        <v>2359</v>
      </c>
      <c r="J58" s="3096" t="e">
        <f ca="1">IF(J55&lt;0.4,0.4,J55)</f>
        <v>#VALUE!</v>
      </c>
      <c r="K58" s="3120" t="s">
        <v>2364</v>
      </c>
      <c r="L58" s="1906" t="e">
        <f ca="1">ROUND(POWER(1+L52,L47-L48)*(POWER(1+L52,L48)-1)/(POWER(1+L52,L47)-1),4)</f>
        <v>#DIV/0!</v>
      </c>
      <c r="O58" s="2396" t="s">
        <v>2381</v>
      </c>
      <c r="P58" s="2397" t="s">
        <v>2412</v>
      </c>
      <c r="Q58" s="2398">
        <f ca="1">L60</f>
        <v>0</v>
      </c>
      <c r="R58" s="2401" t="s">
        <v>2414</v>
      </c>
    </row>
    <row r="59" spans="1:18" s="2057" customFormat="1" ht="28.5" customHeight="1" thickBot="1">
      <c r="A59" s="1647" t="s">
        <v>1831</v>
      </c>
      <c r="B59" s="783" t="s">
        <v>659</v>
      </c>
      <c r="C59" s="53">
        <f ca="1">ROUND(C47*F59/1.05,1)</f>
        <v>0</v>
      </c>
      <c r="D59" s="2637" t="s">
        <v>1756</v>
      </c>
      <c r="E59" s="783" t="s">
        <v>1747</v>
      </c>
      <c r="F59" s="808">
        <f t="shared" ref="F59:F65" si="0">F32</f>
        <v>5.5000000000000007E-2</v>
      </c>
      <c r="I59" s="3162" t="s">
        <v>2360</v>
      </c>
      <c r="J59" s="3163" t="str">
        <f ca="1">IF(OR(M47="住宅",J51&lt;L48,J56="是"),"——",ROUND(C29*J58,0))</f>
        <v>——</v>
      </c>
      <c r="K59" s="312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7" t="s">
        <v>1832</v>
      </c>
      <c r="B60" s="783" t="s">
        <v>1758</v>
      </c>
      <c r="C60" s="53">
        <f ca="1">IF(D60="按租金收入计税",ROUND(C47*F60,1),IF(D60="按房产原值计税",ROUND(C56*F60*0.7,1),INDIRECT("'数据-取费表'!Aj"&amp;$G$1)))</f>
        <v>0</v>
      </c>
      <c r="D60" s="2637" t="str">
        <f>D33</f>
        <v>按租金收入计税</v>
      </c>
      <c r="E60" s="783" t="s">
        <v>1747</v>
      </c>
      <c r="F60" s="808">
        <f t="shared" si="0"/>
        <v>0.12</v>
      </c>
      <c r="I60" s="3164" t="s">
        <v>2361</v>
      </c>
      <c r="J60" s="3165" t="str">
        <f ca="1">IF(OR(M47="住宅",J51&lt;L48,J56="是"),"0",ROUND(J59/(1+J52)^J53,0))</f>
        <v>0</v>
      </c>
      <c r="K60" s="3166" t="s">
        <v>2366</v>
      </c>
      <c r="L60" s="3165">
        <f ca="1">IF(OR(M47="住宅",L48&lt;J51),0,ROUND(L57*(L58/L59-1),0))</f>
        <v>0</v>
      </c>
      <c r="O60" s="2399" t="s">
        <v>2384</v>
      </c>
      <c r="P60" s="2397" t="s">
        <v>2393</v>
      </c>
      <c r="Q60" s="2400">
        <f>L52</f>
        <v>0</v>
      </c>
      <c r="R60" s="2401"/>
    </row>
    <row r="61" spans="1:18" s="2057" customFormat="1" ht="18" customHeight="1" thickBot="1">
      <c r="A61" s="1650" t="s">
        <v>1833</v>
      </c>
      <c r="B61" s="340" t="s">
        <v>667</v>
      </c>
      <c r="C61" s="54">
        <f ca="1">ROUND(F61*F62/10000,1)</f>
        <v>10.9</v>
      </c>
      <c r="D61" s="813" t="s">
        <v>668</v>
      </c>
      <c r="E61" s="783" t="s">
        <v>669</v>
      </c>
      <c r="F61" s="639">
        <f t="shared" si="0"/>
        <v>8</v>
      </c>
      <c r="K61" s="2084"/>
      <c r="O61" s="2399" t="s">
        <v>2386</v>
      </c>
      <c r="P61" s="2397" t="s">
        <v>2394</v>
      </c>
      <c r="Q61" s="2398" t="e">
        <f ca="1">L58</f>
        <v>#DIV/0!</v>
      </c>
      <c r="R61" s="2401" t="s">
        <v>2395</v>
      </c>
    </row>
    <row r="62" spans="1:18" s="2057" customFormat="1" ht="15.75" thickBot="1">
      <c r="A62" s="814"/>
      <c r="B62" s="792"/>
      <c r="C62" s="69"/>
      <c r="D62" s="815"/>
      <c r="E62" s="783" t="s">
        <v>673</v>
      </c>
      <c r="F62" s="784">
        <f t="shared" ca="1" si="0"/>
        <v>13583.78</v>
      </c>
      <c r="I62" s="3167" t="s">
        <v>2367</v>
      </c>
      <c r="J62" s="3168" t="s">
        <v>2368</v>
      </c>
      <c r="K62" s="3168" t="s">
        <v>2369</v>
      </c>
      <c r="L62" s="3168" t="s">
        <v>2350</v>
      </c>
      <c r="M62" s="3169" t="s">
        <v>2936</v>
      </c>
      <c r="O62" s="2399" t="s">
        <v>2388</v>
      </c>
      <c r="P62" s="2397" t="str">
        <f>K59</f>
        <v>建设期及建筑物耐用年限下的土地年期修正系数Kn</v>
      </c>
      <c r="Q62" s="2398" t="e">
        <f ca="1">L59</f>
        <v>#DIV/0!</v>
      </c>
      <c r="R62" s="2401" t="s">
        <v>2397</v>
      </c>
    </row>
    <row r="63" spans="1:18" s="2057" customFormat="1" ht="15.75" thickBot="1">
      <c r="A63" s="1648" t="s">
        <v>1889</v>
      </c>
      <c r="B63" s="783" t="s">
        <v>675</v>
      </c>
      <c r="C63" s="53">
        <f ca="1">ROUND(C56*F63,1)</f>
        <v>146.69999999999999</v>
      </c>
      <c r="D63" s="2637" t="s">
        <v>1803</v>
      </c>
      <c r="E63" s="783" t="s">
        <v>1747</v>
      </c>
      <c r="F63" s="816">
        <f t="shared" ca="1" si="0"/>
        <v>1.4999999999999999E-2</v>
      </c>
      <c r="I63" s="3167" t="s">
        <v>2370</v>
      </c>
      <c r="J63" s="3168">
        <v>70</v>
      </c>
      <c r="K63" s="3168">
        <v>50</v>
      </c>
      <c r="L63" s="3168">
        <v>80</v>
      </c>
      <c r="M63" s="3170">
        <v>0.02</v>
      </c>
      <c r="O63" s="2396" t="s">
        <v>2391</v>
      </c>
      <c r="P63" s="2397" t="s">
        <v>2408</v>
      </c>
      <c r="Q63" s="2398">
        <f ca="1">Q57+Q58</f>
        <v>7096</v>
      </c>
      <c r="R63" s="2401" t="s">
        <v>2392</v>
      </c>
    </row>
    <row r="64" spans="1:18" s="2057" customFormat="1" ht="16.5" thickBot="1">
      <c r="A64" s="1648" t="s">
        <v>1890</v>
      </c>
      <c r="B64" s="783" t="s">
        <v>678</v>
      </c>
      <c r="C64" s="53">
        <f ca="1">ROUND(C55*F64,1)</f>
        <v>14.7</v>
      </c>
      <c r="D64" s="2637" t="s">
        <v>679</v>
      </c>
      <c r="E64" s="783" t="s">
        <v>1747</v>
      </c>
      <c r="F64" s="817">
        <f t="shared" ca="1" si="0"/>
        <v>1.5E-3</v>
      </c>
      <c r="I64" s="3167" t="s">
        <v>2371</v>
      </c>
      <c r="J64" s="3168">
        <v>50</v>
      </c>
      <c r="K64" s="3168">
        <v>35</v>
      </c>
      <c r="L64" s="3168">
        <v>60</v>
      </c>
      <c r="M64" s="845">
        <v>0</v>
      </c>
      <c r="O64" s="2402" t="s">
        <v>2415</v>
      </c>
      <c r="P64" s="1591"/>
      <c r="Q64" s="1603"/>
      <c r="R64" s="1591"/>
    </row>
    <row r="65" spans="1:18" s="2057" customFormat="1" ht="15.75" thickBot="1">
      <c r="A65" s="1648" t="s">
        <v>1891</v>
      </c>
      <c r="B65" s="783" t="s">
        <v>665</v>
      </c>
      <c r="C65" s="53">
        <f ca="1">ROUND(C47*F65,1)</f>
        <v>0</v>
      </c>
      <c r="D65" s="2637" t="s">
        <v>682</v>
      </c>
      <c r="E65" s="783" t="s">
        <v>1747</v>
      </c>
      <c r="F65" s="793">
        <f t="shared" ca="1" si="0"/>
        <v>0.01</v>
      </c>
      <c r="I65" s="3167" t="s">
        <v>2372</v>
      </c>
      <c r="J65" s="3168">
        <v>40</v>
      </c>
      <c r="K65" s="3168">
        <v>30</v>
      </c>
      <c r="L65" s="3168">
        <v>50</v>
      </c>
      <c r="M65" s="3170">
        <v>0.02</v>
      </c>
      <c r="O65" s="2393" t="s">
        <v>2375</v>
      </c>
      <c r="P65" s="2394" t="s">
        <v>2376</v>
      </c>
      <c r="Q65" s="2395" t="s">
        <v>2377</v>
      </c>
      <c r="R65" s="2394" t="s">
        <v>2378</v>
      </c>
    </row>
    <row r="66" spans="1:18" s="2057" customFormat="1" ht="24.75" thickBot="1">
      <c r="A66" s="796" t="s">
        <v>1776</v>
      </c>
      <c r="B66" s="3008" t="s">
        <v>2820</v>
      </c>
      <c r="C66" s="798">
        <f ca="1">C47-C57</f>
        <v>-172</v>
      </c>
      <c r="D66" s="2636" t="s">
        <v>699</v>
      </c>
      <c r="E66" s="2635"/>
      <c r="F66" s="819"/>
      <c r="K66" s="2084"/>
      <c r="O66" s="2396" t="s">
        <v>2379</v>
      </c>
      <c r="P66" s="2397" t="s">
        <v>2409</v>
      </c>
      <c r="Q66" s="2398">
        <f ca="1">C40+J29</f>
        <v>7096</v>
      </c>
      <c r="R66" s="2397" t="s">
        <v>2380</v>
      </c>
    </row>
    <row r="67" spans="1:18" s="2057" customFormat="1" ht="20.25" thickBot="1">
      <c r="A67" s="780" t="s">
        <v>1780</v>
      </c>
      <c r="B67" s="2230" t="s">
        <v>2302</v>
      </c>
      <c r="C67" s="782">
        <f ca="1">ROUND(C66*(1-((1+F69)/(1+F67))^F68)/(F67-F69),0)</f>
        <v>-3108</v>
      </c>
      <c r="D67" s="813" t="s">
        <v>703</v>
      </c>
      <c r="E67" s="783" t="s">
        <v>704</v>
      </c>
      <c r="F67" s="793">
        <f ca="1">F40</f>
        <v>0.05</v>
      </c>
      <c r="K67" s="2084"/>
      <c r="O67" s="2396" t="s">
        <v>2381</v>
      </c>
      <c r="P67" s="2397" t="s">
        <v>2412</v>
      </c>
      <c r="Q67" s="2398">
        <f ca="1">L60</f>
        <v>0</v>
      </c>
      <c r="R67" s="2401" t="s">
        <v>2414</v>
      </c>
    </row>
    <row r="68" spans="1:18" ht="21.75" thickBot="1">
      <c r="A68" s="785"/>
      <c r="B68" s="786"/>
      <c r="C68" s="787"/>
      <c r="D68" s="820" t="s">
        <v>1808</v>
      </c>
      <c r="E68" s="783" t="s">
        <v>1784</v>
      </c>
      <c r="F68" s="821">
        <f ca="1">F41</f>
        <v>47.93</v>
      </c>
      <c r="O68" s="2399" t="s">
        <v>2383</v>
      </c>
      <c r="P68" s="2397" t="s">
        <v>2413</v>
      </c>
      <c r="Q68" s="2403">
        <f ca="1">L51</f>
        <v>-11300</v>
      </c>
      <c r="R68" s="2404" t="s">
        <v>2416</v>
      </c>
    </row>
    <row r="69" spans="1:18" ht="20.25" thickBot="1">
      <c r="A69" s="789"/>
      <c r="B69" s="790"/>
      <c r="C69" s="791"/>
      <c r="D69" s="815"/>
      <c r="E69" s="783" t="s">
        <v>709</v>
      </c>
      <c r="F69" s="2369"/>
      <c r="O69" s="2399" t="s">
        <v>2384</v>
      </c>
      <c r="P69" s="2405" t="s">
        <v>2398</v>
      </c>
      <c r="Q69" s="2398">
        <f ca="1">ROUND(Q70-Q71*Q72,0)</f>
        <v>-572</v>
      </c>
      <c r="R69" s="2401"/>
    </row>
    <row r="70" spans="1:18" ht="15.75" thickBot="1">
      <c r="A70" s="822" t="s">
        <v>1787</v>
      </c>
      <c r="B70" s="823" t="s">
        <v>1810</v>
      </c>
      <c r="C70" s="824">
        <f ca="1">ROUND(C67*10000/F70,0)</f>
        <v>-888</v>
      </c>
      <c r="D70" s="825" t="s">
        <v>1811</v>
      </c>
      <c r="E70" s="826" t="s">
        <v>1812</v>
      </c>
      <c r="F70" s="827">
        <f ca="1">F43</f>
        <v>35012</v>
      </c>
      <c r="O70" s="2399" t="s">
        <v>2399</v>
      </c>
      <c r="P70" s="2405" t="s">
        <v>2400</v>
      </c>
      <c r="Q70" s="2398">
        <f ca="1">C39</f>
        <v>259</v>
      </c>
      <c r="R70" s="2397" t="s">
        <v>2380</v>
      </c>
    </row>
    <row r="71" spans="1:18" ht="15.75" thickBot="1">
      <c r="O71" s="2399" t="s">
        <v>2401</v>
      </c>
      <c r="P71" s="2405" t="s">
        <v>2402</v>
      </c>
      <c r="Q71" s="2398">
        <f ca="1">C13</f>
        <v>9777</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7096</v>
      </c>
      <c r="R76" s="240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topLeftCell="A7" workbookViewId="0">
      <selection activeCell="K57" sqref="K57"/>
    </sheetView>
  </sheetViews>
  <sheetFormatPr defaultRowHeight="12"/>
  <cols>
    <col min="1" max="1" width="31" style="3176" customWidth="1"/>
    <col min="2" max="2" width="6.25" style="3176" customWidth="1"/>
    <col min="3" max="3" width="7.875" style="3176" customWidth="1"/>
    <col min="4" max="5" width="13.875" style="3176" customWidth="1"/>
    <col min="6" max="6" width="10" style="3176" customWidth="1"/>
    <col min="7" max="7" width="7.875" style="3176" customWidth="1"/>
    <col min="8" max="8" width="9" style="3176" customWidth="1"/>
    <col min="9" max="10" width="10.625" style="3176" customWidth="1"/>
    <col min="11" max="11" width="14.375" style="3176" customWidth="1"/>
    <col min="12" max="12" width="14.375" style="3177" customWidth="1"/>
    <col min="13" max="13" width="6.25" style="3176" customWidth="1"/>
    <col min="14" max="14" width="54.125" style="3176" customWidth="1"/>
    <col min="15" max="256" width="9" style="3176"/>
    <col min="257" max="257" width="31" style="3176" customWidth="1"/>
    <col min="258" max="258" width="6.25" style="3176" customWidth="1"/>
    <col min="259" max="259" width="7.875" style="3176" customWidth="1"/>
    <col min="260" max="261" width="13.875" style="3176" customWidth="1"/>
    <col min="262" max="262" width="10" style="3176" customWidth="1"/>
    <col min="263" max="263" width="7.875" style="3176" customWidth="1"/>
    <col min="264" max="264" width="9" style="3176" customWidth="1"/>
    <col min="265" max="266" width="10.625" style="3176" customWidth="1"/>
    <col min="267" max="268" width="14.375" style="3176" customWidth="1"/>
    <col min="269" max="269" width="6.25" style="3176" customWidth="1"/>
    <col min="270" max="270" width="54.125" style="3176" customWidth="1"/>
    <col min="271" max="512" width="9" style="3176"/>
    <col min="513" max="513" width="31" style="3176" customWidth="1"/>
    <col min="514" max="514" width="6.25" style="3176" customWidth="1"/>
    <col min="515" max="515" width="7.875" style="3176" customWidth="1"/>
    <col min="516" max="517" width="13.875" style="3176" customWidth="1"/>
    <col min="518" max="518" width="10" style="3176" customWidth="1"/>
    <col min="519" max="519" width="7.875" style="3176" customWidth="1"/>
    <col min="520" max="520" width="9" style="3176" customWidth="1"/>
    <col min="521" max="522" width="10.625" style="3176" customWidth="1"/>
    <col min="523" max="524" width="14.375" style="3176" customWidth="1"/>
    <col min="525" max="525" width="6.25" style="3176" customWidth="1"/>
    <col min="526" max="526" width="54.125" style="3176" customWidth="1"/>
    <col min="527" max="768" width="9" style="3176"/>
    <col min="769" max="769" width="31" style="3176" customWidth="1"/>
    <col min="770" max="770" width="6.25" style="3176" customWidth="1"/>
    <col min="771" max="771" width="7.875" style="3176" customWidth="1"/>
    <col min="772" max="773" width="13.875" style="3176" customWidth="1"/>
    <col min="774" max="774" width="10" style="3176" customWidth="1"/>
    <col min="775" max="775" width="7.875" style="3176" customWidth="1"/>
    <col min="776" max="776" width="9" style="3176" customWidth="1"/>
    <col min="777" max="778" width="10.625" style="3176" customWidth="1"/>
    <col min="779" max="780" width="14.375" style="3176" customWidth="1"/>
    <col min="781" max="781" width="6.25" style="3176" customWidth="1"/>
    <col min="782" max="782" width="54.125" style="3176" customWidth="1"/>
    <col min="783" max="1024" width="9" style="3176"/>
    <col min="1025" max="1025" width="31" style="3176" customWidth="1"/>
    <col min="1026" max="1026" width="6.25" style="3176" customWidth="1"/>
    <col min="1027" max="1027" width="7.875" style="3176" customWidth="1"/>
    <col min="1028" max="1029" width="13.875" style="3176" customWidth="1"/>
    <col min="1030" max="1030" width="10" style="3176" customWidth="1"/>
    <col min="1031" max="1031" width="7.875" style="3176" customWidth="1"/>
    <col min="1032" max="1032" width="9" style="3176" customWidth="1"/>
    <col min="1033" max="1034" width="10.625" style="3176" customWidth="1"/>
    <col min="1035" max="1036" width="14.375" style="3176" customWidth="1"/>
    <col min="1037" max="1037" width="6.25" style="3176" customWidth="1"/>
    <col min="1038" max="1038" width="54.125" style="3176" customWidth="1"/>
    <col min="1039" max="1280" width="9" style="3176"/>
    <col min="1281" max="1281" width="31" style="3176" customWidth="1"/>
    <col min="1282" max="1282" width="6.25" style="3176" customWidth="1"/>
    <col min="1283" max="1283" width="7.875" style="3176" customWidth="1"/>
    <col min="1284" max="1285" width="13.875" style="3176" customWidth="1"/>
    <col min="1286" max="1286" width="10" style="3176" customWidth="1"/>
    <col min="1287" max="1287" width="7.875" style="3176" customWidth="1"/>
    <col min="1288" max="1288" width="9" style="3176" customWidth="1"/>
    <col min="1289" max="1290" width="10.625" style="3176" customWidth="1"/>
    <col min="1291" max="1292" width="14.375" style="3176" customWidth="1"/>
    <col min="1293" max="1293" width="6.25" style="3176" customWidth="1"/>
    <col min="1294" max="1294" width="54.125" style="3176" customWidth="1"/>
    <col min="1295" max="1536" width="9" style="3176"/>
    <col min="1537" max="1537" width="31" style="3176" customWidth="1"/>
    <col min="1538" max="1538" width="6.25" style="3176" customWidth="1"/>
    <col min="1539" max="1539" width="7.875" style="3176" customWidth="1"/>
    <col min="1540" max="1541" width="13.875" style="3176" customWidth="1"/>
    <col min="1542" max="1542" width="10" style="3176" customWidth="1"/>
    <col min="1543" max="1543" width="7.875" style="3176" customWidth="1"/>
    <col min="1544" max="1544" width="9" style="3176" customWidth="1"/>
    <col min="1545" max="1546" width="10.625" style="3176" customWidth="1"/>
    <col min="1547" max="1548" width="14.375" style="3176" customWidth="1"/>
    <col min="1549" max="1549" width="6.25" style="3176" customWidth="1"/>
    <col min="1550" max="1550" width="54.125" style="3176" customWidth="1"/>
    <col min="1551" max="1792" width="9" style="3176"/>
    <col min="1793" max="1793" width="31" style="3176" customWidth="1"/>
    <col min="1794" max="1794" width="6.25" style="3176" customWidth="1"/>
    <col min="1795" max="1795" width="7.875" style="3176" customWidth="1"/>
    <col min="1796" max="1797" width="13.875" style="3176" customWidth="1"/>
    <col min="1798" max="1798" width="10" style="3176" customWidth="1"/>
    <col min="1799" max="1799" width="7.875" style="3176" customWidth="1"/>
    <col min="1800" max="1800" width="9" style="3176" customWidth="1"/>
    <col min="1801" max="1802" width="10.625" style="3176" customWidth="1"/>
    <col min="1803" max="1804" width="14.375" style="3176" customWidth="1"/>
    <col min="1805" max="1805" width="6.25" style="3176" customWidth="1"/>
    <col min="1806" max="1806" width="54.125" style="3176" customWidth="1"/>
    <col min="1807" max="2048" width="9" style="3176"/>
    <col min="2049" max="2049" width="31" style="3176" customWidth="1"/>
    <col min="2050" max="2050" width="6.25" style="3176" customWidth="1"/>
    <col min="2051" max="2051" width="7.875" style="3176" customWidth="1"/>
    <col min="2052" max="2053" width="13.875" style="3176" customWidth="1"/>
    <col min="2054" max="2054" width="10" style="3176" customWidth="1"/>
    <col min="2055" max="2055" width="7.875" style="3176" customWidth="1"/>
    <col min="2056" max="2056" width="9" style="3176" customWidth="1"/>
    <col min="2057" max="2058" width="10.625" style="3176" customWidth="1"/>
    <col min="2059" max="2060" width="14.375" style="3176" customWidth="1"/>
    <col min="2061" max="2061" width="6.25" style="3176" customWidth="1"/>
    <col min="2062" max="2062" width="54.125" style="3176" customWidth="1"/>
    <col min="2063" max="2304" width="9" style="3176"/>
    <col min="2305" max="2305" width="31" style="3176" customWidth="1"/>
    <col min="2306" max="2306" width="6.25" style="3176" customWidth="1"/>
    <col min="2307" max="2307" width="7.875" style="3176" customWidth="1"/>
    <col min="2308" max="2309" width="13.875" style="3176" customWidth="1"/>
    <col min="2310" max="2310" width="10" style="3176" customWidth="1"/>
    <col min="2311" max="2311" width="7.875" style="3176" customWidth="1"/>
    <col min="2312" max="2312" width="9" style="3176" customWidth="1"/>
    <col min="2313" max="2314" width="10.625" style="3176" customWidth="1"/>
    <col min="2315" max="2316" width="14.375" style="3176" customWidth="1"/>
    <col min="2317" max="2317" width="6.25" style="3176" customWidth="1"/>
    <col min="2318" max="2318" width="54.125" style="3176" customWidth="1"/>
    <col min="2319" max="2560" width="9" style="3176"/>
    <col min="2561" max="2561" width="31" style="3176" customWidth="1"/>
    <col min="2562" max="2562" width="6.25" style="3176" customWidth="1"/>
    <col min="2563" max="2563" width="7.875" style="3176" customWidth="1"/>
    <col min="2564" max="2565" width="13.875" style="3176" customWidth="1"/>
    <col min="2566" max="2566" width="10" style="3176" customWidth="1"/>
    <col min="2567" max="2567" width="7.875" style="3176" customWidth="1"/>
    <col min="2568" max="2568" width="9" style="3176" customWidth="1"/>
    <col min="2569" max="2570" width="10.625" style="3176" customWidth="1"/>
    <col min="2571" max="2572" width="14.375" style="3176" customWidth="1"/>
    <col min="2573" max="2573" width="6.25" style="3176" customWidth="1"/>
    <col min="2574" max="2574" width="54.125" style="3176" customWidth="1"/>
    <col min="2575" max="2816" width="9" style="3176"/>
    <col min="2817" max="2817" width="31" style="3176" customWidth="1"/>
    <col min="2818" max="2818" width="6.25" style="3176" customWidth="1"/>
    <col min="2819" max="2819" width="7.875" style="3176" customWidth="1"/>
    <col min="2820" max="2821" width="13.875" style="3176" customWidth="1"/>
    <col min="2822" max="2822" width="10" style="3176" customWidth="1"/>
    <col min="2823" max="2823" width="7.875" style="3176" customWidth="1"/>
    <col min="2824" max="2824" width="9" style="3176" customWidth="1"/>
    <col min="2825" max="2826" width="10.625" style="3176" customWidth="1"/>
    <col min="2827" max="2828" width="14.375" style="3176" customWidth="1"/>
    <col min="2829" max="2829" width="6.25" style="3176" customWidth="1"/>
    <col min="2830" max="2830" width="54.125" style="3176" customWidth="1"/>
    <col min="2831" max="3072" width="9" style="3176"/>
    <col min="3073" max="3073" width="31" style="3176" customWidth="1"/>
    <col min="3074" max="3074" width="6.25" style="3176" customWidth="1"/>
    <col min="3075" max="3075" width="7.875" style="3176" customWidth="1"/>
    <col min="3076" max="3077" width="13.875" style="3176" customWidth="1"/>
    <col min="3078" max="3078" width="10" style="3176" customWidth="1"/>
    <col min="3079" max="3079" width="7.875" style="3176" customWidth="1"/>
    <col min="3080" max="3080" width="9" style="3176" customWidth="1"/>
    <col min="3081" max="3082" width="10.625" style="3176" customWidth="1"/>
    <col min="3083" max="3084" width="14.375" style="3176" customWidth="1"/>
    <col min="3085" max="3085" width="6.25" style="3176" customWidth="1"/>
    <col min="3086" max="3086" width="54.125" style="3176" customWidth="1"/>
    <col min="3087" max="3328" width="9" style="3176"/>
    <col min="3329" max="3329" width="31" style="3176" customWidth="1"/>
    <col min="3330" max="3330" width="6.25" style="3176" customWidth="1"/>
    <col min="3331" max="3331" width="7.875" style="3176" customWidth="1"/>
    <col min="3332" max="3333" width="13.875" style="3176" customWidth="1"/>
    <col min="3334" max="3334" width="10" style="3176" customWidth="1"/>
    <col min="3335" max="3335" width="7.875" style="3176" customWidth="1"/>
    <col min="3336" max="3336" width="9" style="3176" customWidth="1"/>
    <col min="3337" max="3338" width="10.625" style="3176" customWidth="1"/>
    <col min="3339" max="3340" width="14.375" style="3176" customWidth="1"/>
    <col min="3341" max="3341" width="6.25" style="3176" customWidth="1"/>
    <col min="3342" max="3342" width="54.125" style="3176" customWidth="1"/>
    <col min="3343" max="3584" width="9" style="3176"/>
    <col min="3585" max="3585" width="31" style="3176" customWidth="1"/>
    <col min="3586" max="3586" width="6.25" style="3176" customWidth="1"/>
    <col min="3587" max="3587" width="7.875" style="3176" customWidth="1"/>
    <col min="3588" max="3589" width="13.875" style="3176" customWidth="1"/>
    <col min="3590" max="3590" width="10" style="3176" customWidth="1"/>
    <col min="3591" max="3591" width="7.875" style="3176" customWidth="1"/>
    <col min="3592" max="3592" width="9" style="3176" customWidth="1"/>
    <col min="3593" max="3594" width="10.625" style="3176" customWidth="1"/>
    <col min="3595" max="3596" width="14.375" style="3176" customWidth="1"/>
    <col min="3597" max="3597" width="6.25" style="3176" customWidth="1"/>
    <col min="3598" max="3598" width="54.125" style="3176" customWidth="1"/>
    <col min="3599" max="3840" width="9" style="3176"/>
    <col min="3841" max="3841" width="31" style="3176" customWidth="1"/>
    <col min="3842" max="3842" width="6.25" style="3176" customWidth="1"/>
    <col min="3843" max="3843" width="7.875" style="3176" customWidth="1"/>
    <col min="3844" max="3845" width="13.875" style="3176" customWidth="1"/>
    <col min="3846" max="3846" width="10" style="3176" customWidth="1"/>
    <col min="3847" max="3847" width="7.875" style="3176" customWidth="1"/>
    <col min="3848" max="3848" width="9" style="3176" customWidth="1"/>
    <col min="3849" max="3850" width="10.625" style="3176" customWidth="1"/>
    <col min="3851" max="3852" width="14.375" style="3176" customWidth="1"/>
    <col min="3853" max="3853" width="6.25" style="3176" customWidth="1"/>
    <col min="3854" max="3854" width="54.125" style="3176" customWidth="1"/>
    <col min="3855" max="4096" width="9" style="3176"/>
    <col min="4097" max="4097" width="31" style="3176" customWidth="1"/>
    <col min="4098" max="4098" width="6.25" style="3176" customWidth="1"/>
    <col min="4099" max="4099" width="7.875" style="3176" customWidth="1"/>
    <col min="4100" max="4101" width="13.875" style="3176" customWidth="1"/>
    <col min="4102" max="4102" width="10" style="3176" customWidth="1"/>
    <col min="4103" max="4103" width="7.875" style="3176" customWidth="1"/>
    <col min="4104" max="4104" width="9" style="3176" customWidth="1"/>
    <col min="4105" max="4106" width="10.625" style="3176" customWidth="1"/>
    <col min="4107" max="4108" width="14.375" style="3176" customWidth="1"/>
    <col min="4109" max="4109" width="6.25" style="3176" customWidth="1"/>
    <col min="4110" max="4110" width="54.125" style="3176" customWidth="1"/>
    <col min="4111" max="4352" width="9" style="3176"/>
    <col min="4353" max="4353" width="31" style="3176" customWidth="1"/>
    <col min="4354" max="4354" width="6.25" style="3176" customWidth="1"/>
    <col min="4355" max="4355" width="7.875" style="3176" customWidth="1"/>
    <col min="4356" max="4357" width="13.875" style="3176" customWidth="1"/>
    <col min="4358" max="4358" width="10" style="3176" customWidth="1"/>
    <col min="4359" max="4359" width="7.875" style="3176" customWidth="1"/>
    <col min="4360" max="4360" width="9" style="3176" customWidth="1"/>
    <col min="4361" max="4362" width="10.625" style="3176" customWidth="1"/>
    <col min="4363" max="4364" width="14.375" style="3176" customWidth="1"/>
    <col min="4365" max="4365" width="6.25" style="3176" customWidth="1"/>
    <col min="4366" max="4366" width="54.125" style="3176" customWidth="1"/>
    <col min="4367" max="4608" width="9" style="3176"/>
    <col min="4609" max="4609" width="31" style="3176" customWidth="1"/>
    <col min="4610" max="4610" width="6.25" style="3176" customWidth="1"/>
    <col min="4611" max="4611" width="7.875" style="3176" customWidth="1"/>
    <col min="4612" max="4613" width="13.875" style="3176" customWidth="1"/>
    <col min="4614" max="4614" width="10" style="3176" customWidth="1"/>
    <col min="4615" max="4615" width="7.875" style="3176" customWidth="1"/>
    <col min="4616" max="4616" width="9" style="3176" customWidth="1"/>
    <col min="4617" max="4618" width="10.625" style="3176" customWidth="1"/>
    <col min="4619" max="4620" width="14.375" style="3176" customWidth="1"/>
    <col min="4621" max="4621" width="6.25" style="3176" customWidth="1"/>
    <col min="4622" max="4622" width="54.125" style="3176" customWidth="1"/>
    <col min="4623" max="4864" width="9" style="3176"/>
    <col min="4865" max="4865" width="31" style="3176" customWidth="1"/>
    <col min="4866" max="4866" width="6.25" style="3176" customWidth="1"/>
    <col min="4867" max="4867" width="7.875" style="3176" customWidth="1"/>
    <col min="4868" max="4869" width="13.875" style="3176" customWidth="1"/>
    <col min="4870" max="4870" width="10" style="3176" customWidth="1"/>
    <col min="4871" max="4871" width="7.875" style="3176" customWidth="1"/>
    <col min="4872" max="4872" width="9" style="3176" customWidth="1"/>
    <col min="4873" max="4874" width="10.625" style="3176" customWidth="1"/>
    <col min="4875" max="4876" width="14.375" style="3176" customWidth="1"/>
    <col min="4877" max="4877" width="6.25" style="3176" customWidth="1"/>
    <col min="4878" max="4878" width="54.125" style="3176" customWidth="1"/>
    <col min="4879" max="5120" width="9" style="3176"/>
    <col min="5121" max="5121" width="31" style="3176" customWidth="1"/>
    <col min="5122" max="5122" width="6.25" style="3176" customWidth="1"/>
    <col min="5123" max="5123" width="7.875" style="3176" customWidth="1"/>
    <col min="5124" max="5125" width="13.875" style="3176" customWidth="1"/>
    <col min="5126" max="5126" width="10" style="3176" customWidth="1"/>
    <col min="5127" max="5127" width="7.875" style="3176" customWidth="1"/>
    <col min="5128" max="5128" width="9" style="3176" customWidth="1"/>
    <col min="5129" max="5130" width="10.625" style="3176" customWidth="1"/>
    <col min="5131" max="5132" width="14.375" style="3176" customWidth="1"/>
    <col min="5133" max="5133" width="6.25" style="3176" customWidth="1"/>
    <col min="5134" max="5134" width="54.125" style="3176" customWidth="1"/>
    <col min="5135" max="5376" width="9" style="3176"/>
    <col min="5377" max="5377" width="31" style="3176" customWidth="1"/>
    <col min="5378" max="5378" width="6.25" style="3176" customWidth="1"/>
    <col min="5379" max="5379" width="7.875" style="3176" customWidth="1"/>
    <col min="5380" max="5381" width="13.875" style="3176" customWidth="1"/>
    <col min="5382" max="5382" width="10" style="3176" customWidth="1"/>
    <col min="5383" max="5383" width="7.875" style="3176" customWidth="1"/>
    <col min="5384" max="5384" width="9" style="3176" customWidth="1"/>
    <col min="5385" max="5386" width="10.625" style="3176" customWidth="1"/>
    <col min="5387" max="5388" width="14.375" style="3176" customWidth="1"/>
    <col min="5389" max="5389" width="6.25" style="3176" customWidth="1"/>
    <col min="5390" max="5390" width="54.125" style="3176" customWidth="1"/>
    <col min="5391" max="5632" width="9" style="3176"/>
    <col min="5633" max="5633" width="31" style="3176" customWidth="1"/>
    <col min="5634" max="5634" width="6.25" style="3176" customWidth="1"/>
    <col min="5635" max="5635" width="7.875" style="3176" customWidth="1"/>
    <col min="5636" max="5637" width="13.875" style="3176" customWidth="1"/>
    <col min="5638" max="5638" width="10" style="3176" customWidth="1"/>
    <col min="5639" max="5639" width="7.875" style="3176" customWidth="1"/>
    <col min="5640" max="5640" width="9" style="3176" customWidth="1"/>
    <col min="5641" max="5642" width="10.625" style="3176" customWidth="1"/>
    <col min="5643" max="5644" width="14.375" style="3176" customWidth="1"/>
    <col min="5645" max="5645" width="6.25" style="3176" customWidth="1"/>
    <col min="5646" max="5646" width="54.125" style="3176" customWidth="1"/>
    <col min="5647" max="5888" width="9" style="3176"/>
    <col min="5889" max="5889" width="31" style="3176" customWidth="1"/>
    <col min="5890" max="5890" width="6.25" style="3176" customWidth="1"/>
    <col min="5891" max="5891" width="7.875" style="3176" customWidth="1"/>
    <col min="5892" max="5893" width="13.875" style="3176" customWidth="1"/>
    <col min="5894" max="5894" width="10" style="3176" customWidth="1"/>
    <col min="5895" max="5895" width="7.875" style="3176" customWidth="1"/>
    <col min="5896" max="5896" width="9" style="3176" customWidth="1"/>
    <col min="5897" max="5898" width="10.625" style="3176" customWidth="1"/>
    <col min="5899" max="5900" width="14.375" style="3176" customWidth="1"/>
    <col min="5901" max="5901" width="6.25" style="3176" customWidth="1"/>
    <col min="5902" max="5902" width="54.125" style="3176" customWidth="1"/>
    <col min="5903" max="6144" width="9" style="3176"/>
    <col min="6145" max="6145" width="31" style="3176" customWidth="1"/>
    <col min="6146" max="6146" width="6.25" style="3176" customWidth="1"/>
    <col min="6147" max="6147" width="7.875" style="3176" customWidth="1"/>
    <col min="6148" max="6149" width="13.875" style="3176" customWidth="1"/>
    <col min="6150" max="6150" width="10" style="3176" customWidth="1"/>
    <col min="6151" max="6151" width="7.875" style="3176" customWidth="1"/>
    <col min="6152" max="6152" width="9" style="3176" customWidth="1"/>
    <col min="6153" max="6154" width="10.625" style="3176" customWidth="1"/>
    <col min="6155" max="6156" width="14.375" style="3176" customWidth="1"/>
    <col min="6157" max="6157" width="6.25" style="3176" customWidth="1"/>
    <col min="6158" max="6158" width="54.125" style="3176" customWidth="1"/>
    <col min="6159" max="6400" width="9" style="3176"/>
    <col min="6401" max="6401" width="31" style="3176" customWidth="1"/>
    <col min="6402" max="6402" width="6.25" style="3176" customWidth="1"/>
    <col min="6403" max="6403" width="7.875" style="3176" customWidth="1"/>
    <col min="6404" max="6405" width="13.875" style="3176" customWidth="1"/>
    <col min="6406" max="6406" width="10" style="3176" customWidth="1"/>
    <col min="6407" max="6407" width="7.875" style="3176" customWidth="1"/>
    <col min="6408" max="6408" width="9" style="3176" customWidth="1"/>
    <col min="6409" max="6410" width="10.625" style="3176" customWidth="1"/>
    <col min="6411" max="6412" width="14.375" style="3176" customWidth="1"/>
    <col min="6413" max="6413" width="6.25" style="3176" customWidth="1"/>
    <col min="6414" max="6414" width="54.125" style="3176" customWidth="1"/>
    <col min="6415" max="6656" width="9" style="3176"/>
    <col min="6657" max="6657" width="31" style="3176" customWidth="1"/>
    <col min="6658" max="6658" width="6.25" style="3176" customWidth="1"/>
    <col min="6659" max="6659" width="7.875" style="3176" customWidth="1"/>
    <col min="6660" max="6661" width="13.875" style="3176" customWidth="1"/>
    <col min="6662" max="6662" width="10" style="3176" customWidth="1"/>
    <col min="6663" max="6663" width="7.875" style="3176" customWidth="1"/>
    <col min="6664" max="6664" width="9" style="3176" customWidth="1"/>
    <col min="6665" max="6666" width="10.625" style="3176" customWidth="1"/>
    <col min="6667" max="6668" width="14.375" style="3176" customWidth="1"/>
    <col min="6669" max="6669" width="6.25" style="3176" customWidth="1"/>
    <col min="6670" max="6670" width="54.125" style="3176" customWidth="1"/>
    <col min="6671" max="6912" width="9" style="3176"/>
    <col min="6913" max="6913" width="31" style="3176" customWidth="1"/>
    <col min="6914" max="6914" width="6.25" style="3176" customWidth="1"/>
    <col min="6915" max="6915" width="7.875" style="3176" customWidth="1"/>
    <col min="6916" max="6917" width="13.875" style="3176" customWidth="1"/>
    <col min="6918" max="6918" width="10" style="3176" customWidth="1"/>
    <col min="6919" max="6919" width="7.875" style="3176" customWidth="1"/>
    <col min="6920" max="6920" width="9" style="3176" customWidth="1"/>
    <col min="6921" max="6922" width="10.625" style="3176" customWidth="1"/>
    <col min="6923" max="6924" width="14.375" style="3176" customWidth="1"/>
    <col min="6925" max="6925" width="6.25" style="3176" customWidth="1"/>
    <col min="6926" max="6926" width="54.125" style="3176" customWidth="1"/>
    <col min="6927" max="7168" width="9" style="3176"/>
    <col min="7169" max="7169" width="31" style="3176" customWidth="1"/>
    <col min="7170" max="7170" width="6.25" style="3176" customWidth="1"/>
    <col min="7171" max="7171" width="7.875" style="3176" customWidth="1"/>
    <col min="7172" max="7173" width="13.875" style="3176" customWidth="1"/>
    <col min="7174" max="7174" width="10" style="3176" customWidth="1"/>
    <col min="7175" max="7175" width="7.875" style="3176" customWidth="1"/>
    <col min="7176" max="7176" width="9" style="3176" customWidth="1"/>
    <col min="7177" max="7178" width="10.625" style="3176" customWidth="1"/>
    <col min="7179" max="7180" width="14.375" style="3176" customWidth="1"/>
    <col min="7181" max="7181" width="6.25" style="3176" customWidth="1"/>
    <col min="7182" max="7182" width="54.125" style="3176" customWidth="1"/>
    <col min="7183" max="7424" width="9" style="3176"/>
    <col min="7425" max="7425" width="31" style="3176" customWidth="1"/>
    <col min="7426" max="7426" width="6.25" style="3176" customWidth="1"/>
    <col min="7427" max="7427" width="7.875" style="3176" customWidth="1"/>
    <col min="7428" max="7429" width="13.875" style="3176" customWidth="1"/>
    <col min="7430" max="7430" width="10" style="3176" customWidth="1"/>
    <col min="7431" max="7431" width="7.875" style="3176" customWidth="1"/>
    <col min="7432" max="7432" width="9" style="3176" customWidth="1"/>
    <col min="7433" max="7434" width="10.625" style="3176" customWidth="1"/>
    <col min="7435" max="7436" width="14.375" style="3176" customWidth="1"/>
    <col min="7437" max="7437" width="6.25" style="3176" customWidth="1"/>
    <col min="7438" max="7438" width="54.125" style="3176" customWidth="1"/>
    <col min="7439" max="7680" width="9" style="3176"/>
    <col min="7681" max="7681" width="31" style="3176" customWidth="1"/>
    <col min="7682" max="7682" width="6.25" style="3176" customWidth="1"/>
    <col min="7683" max="7683" width="7.875" style="3176" customWidth="1"/>
    <col min="7684" max="7685" width="13.875" style="3176" customWidth="1"/>
    <col min="7686" max="7686" width="10" style="3176" customWidth="1"/>
    <col min="7687" max="7687" width="7.875" style="3176" customWidth="1"/>
    <col min="7688" max="7688" width="9" style="3176" customWidth="1"/>
    <col min="7689" max="7690" width="10.625" style="3176" customWidth="1"/>
    <col min="7691" max="7692" width="14.375" style="3176" customWidth="1"/>
    <col min="7693" max="7693" width="6.25" style="3176" customWidth="1"/>
    <col min="7694" max="7694" width="54.125" style="3176" customWidth="1"/>
    <col min="7695" max="7936" width="9" style="3176"/>
    <col min="7937" max="7937" width="31" style="3176" customWidth="1"/>
    <col min="7938" max="7938" width="6.25" style="3176" customWidth="1"/>
    <col min="7939" max="7939" width="7.875" style="3176" customWidth="1"/>
    <col min="7940" max="7941" width="13.875" style="3176" customWidth="1"/>
    <col min="7942" max="7942" width="10" style="3176" customWidth="1"/>
    <col min="7943" max="7943" width="7.875" style="3176" customWidth="1"/>
    <col min="7944" max="7944" width="9" style="3176" customWidth="1"/>
    <col min="7945" max="7946" width="10.625" style="3176" customWidth="1"/>
    <col min="7947" max="7948" width="14.375" style="3176" customWidth="1"/>
    <col min="7949" max="7949" width="6.25" style="3176" customWidth="1"/>
    <col min="7950" max="7950" width="54.125" style="3176" customWidth="1"/>
    <col min="7951" max="8192" width="9" style="3176"/>
    <col min="8193" max="8193" width="31" style="3176" customWidth="1"/>
    <col min="8194" max="8194" width="6.25" style="3176" customWidth="1"/>
    <col min="8195" max="8195" width="7.875" style="3176" customWidth="1"/>
    <col min="8196" max="8197" width="13.875" style="3176" customWidth="1"/>
    <col min="8198" max="8198" width="10" style="3176" customWidth="1"/>
    <col min="8199" max="8199" width="7.875" style="3176" customWidth="1"/>
    <col min="8200" max="8200" width="9" style="3176" customWidth="1"/>
    <col min="8201" max="8202" width="10.625" style="3176" customWidth="1"/>
    <col min="8203" max="8204" width="14.375" style="3176" customWidth="1"/>
    <col min="8205" max="8205" width="6.25" style="3176" customWidth="1"/>
    <col min="8206" max="8206" width="54.125" style="3176" customWidth="1"/>
    <col min="8207" max="8448" width="9" style="3176"/>
    <col min="8449" max="8449" width="31" style="3176" customWidth="1"/>
    <col min="8450" max="8450" width="6.25" style="3176" customWidth="1"/>
    <col min="8451" max="8451" width="7.875" style="3176" customWidth="1"/>
    <col min="8452" max="8453" width="13.875" style="3176" customWidth="1"/>
    <col min="8454" max="8454" width="10" style="3176" customWidth="1"/>
    <col min="8455" max="8455" width="7.875" style="3176" customWidth="1"/>
    <col min="8456" max="8456" width="9" style="3176" customWidth="1"/>
    <col min="8457" max="8458" width="10.625" style="3176" customWidth="1"/>
    <col min="8459" max="8460" width="14.375" style="3176" customWidth="1"/>
    <col min="8461" max="8461" width="6.25" style="3176" customWidth="1"/>
    <col min="8462" max="8462" width="54.125" style="3176" customWidth="1"/>
    <col min="8463" max="8704" width="9" style="3176"/>
    <col min="8705" max="8705" width="31" style="3176" customWidth="1"/>
    <col min="8706" max="8706" width="6.25" style="3176" customWidth="1"/>
    <col min="8707" max="8707" width="7.875" style="3176" customWidth="1"/>
    <col min="8708" max="8709" width="13.875" style="3176" customWidth="1"/>
    <col min="8710" max="8710" width="10" style="3176" customWidth="1"/>
    <col min="8711" max="8711" width="7.875" style="3176" customWidth="1"/>
    <col min="8712" max="8712" width="9" style="3176" customWidth="1"/>
    <col min="8713" max="8714" width="10.625" style="3176" customWidth="1"/>
    <col min="8715" max="8716" width="14.375" style="3176" customWidth="1"/>
    <col min="8717" max="8717" width="6.25" style="3176" customWidth="1"/>
    <col min="8718" max="8718" width="54.125" style="3176" customWidth="1"/>
    <col min="8719" max="8960" width="9" style="3176"/>
    <col min="8961" max="8961" width="31" style="3176" customWidth="1"/>
    <col min="8962" max="8962" width="6.25" style="3176" customWidth="1"/>
    <col min="8963" max="8963" width="7.875" style="3176" customWidth="1"/>
    <col min="8964" max="8965" width="13.875" style="3176" customWidth="1"/>
    <col min="8966" max="8966" width="10" style="3176" customWidth="1"/>
    <col min="8967" max="8967" width="7.875" style="3176" customWidth="1"/>
    <col min="8968" max="8968" width="9" style="3176" customWidth="1"/>
    <col min="8969" max="8970" width="10.625" style="3176" customWidth="1"/>
    <col min="8971" max="8972" width="14.375" style="3176" customWidth="1"/>
    <col min="8973" max="8973" width="6.25" style="3176" customWidth="1"/>
    <col min="8974" max="8974" width="54.125" style="3176" customWidth="1"/>
    <col min="8975" max="9216" width="9" style="3176"/>
    <col min="9217" max="9217" width="31" style="3176" customWidth="1"/>
    <col min="9218" max="9218" width="6.25" style="3176" customWidth="1"/>
    <col min="9219" max="9219" width="7.875" style="3176" customWidth="1"/>
    <col min="9220" max="9221" width="13.875" style="3176" customWidth="1"/>
    <col min="9222" max="9222" width="10" style="3176" customWidth="1"/>
    <col min="9223" max="9223" width="7.875" style="3176" customWidth="1"/>
    <col min="9224" max="9224" width="9" style="3176" customWidth="1"/>
    <col min="9225" max="9226" width="10.625" style="3176" customWidth="1"/>
    <col min="9227" max="9228" width="14.375" style="3176" customWidth="1"/>
    <col min="9229" max="9229" width="6.25" style="3176" customWidth="1"/>
    <col min="9230" max="9230" width="54.125" style="3176" customWidth="1"/>
    <col min="9231" max="9472" width="9" style="3176"/>
    <col min="9473" max="9473" width="31" style="3176" customWidth="1"/>
    <col min="9474" max="9474" width="6.25" style="3176" customWidth="1"/>
    <col min="9475" max="9475" width="7.875" style="3176" customWidth="1"/>
    <col min="9476" max="9477" width="13.875" style="3176" customWidth="1"/>
    <col min="9478" max="9478" width="10" style="3176" customWidth="1"/>
    <col min="9479" max="9479" width="7.875" style="3176" customWidth="1"/>
    <col min="9480" max="9480" width="9" style="3176" customWidth="1"/>
    <col min="9481" max="9482" width="10.625" style="3176" customWidth="1"/>
    <col min="9483" max="9484" width="14.375" style="3176" customWidth="1"/>
    <col min="9485" max="9485" width="6.25" style="3176" customWidth="1"/>
    <col min="9486" max="9486" width="54.125" style="3176" customWidth="1"/>
    <col min="9487" max="9728" width="9" style="3176"/>
    <col min="9729" max="9729" width="31" style="3176" customWidth="1"/>
    <col min="9730" max="9730" width="6.25" style="3176" customWidth="1"/>
    <col min="9731" max="9731" width="7.875" style="3176" customWidth="1"/>
    <col min="9732" max="9733" width="13.875" style="3176" customWidth="1"/>
    <col min="9734" max="9734" width="10" style="3176" customWidth="1"/>
    <col min="9735" max="9735" width="7.875" style="3176" customWidth="1"/>
    <col min="9736" max="9736" width="9" style="3176" customWidth="1"/>
    <col min="9737" max="9738" width="10.625" style="3176" customWidth="1"/>
    <col min="9739" max="9740" width="14.375" style="3176" customWidth="1"/>
    <col min="9741" max="9741" width="6.25" style="3176" customWidth="1"/>
    <col min="9742" max="9742" width="54.125" style="3176" customWidth="1"/>
    <col min="9743" max="9984" width="9" style="3176"/>
    <col min="9985" max="9985" width="31" style="3176" customWidth="1"/>
    <col min="9986" max="9986" width="6.25" style="3176" customWidth="1"/>
    <col min="9987" max="9987" width="7.875" style="3176" customWidth="1"/>
    <col min="9988" max="9989" width="13.875" style="3176" customWidth="1"/>
    <col min="9990" max="9990" width="10" style="3176" customWidth="1"/>
    <col min="9991" max="9991" width="7.875" style="3176" customWidth="1"/>
    <col min="9992" max="9992" width="9" style="3176" customWidth="1"/>
    <col min="9993" max="9994" width="10.625" style="3176" customWidth="1"/>
    <col min="9995" max="9996" width="14.375" style="3176" customWidth="1"/>
    <col min="9997" max="9997" width="6.25" style="3176" customWidth="1"/>
    <col min="9998" max="9998" width="54.125" style="3176" customWidth="1"/>
    <col min="9999" max="10240" width="9" style="3176"/>
    <col min="10241" max="10241" width="31" style="3176" customWidth="1"/>
    <col min="10242" max="10242" width="6.25" style="3176" customWidth="1"/>
    <col min="10243" max="10243" width="7.875" style="3176" customWidth="1"/>
    <col min="10244" max="10245" width="13.875" style="3176" customWidth="1"/>
    <col min="10246" max="10246" width="10" style="3176" customWidth="1"/>
    <col min="10247" max="10247" width="7.875" style="3176" customWidth="1"/>
    <col min="10248" max="10248" width="9" style="3176" customWidth="1"/>
    <col min="10249" max="10250" width="10.625" style="3176" customWidth="1"/>
    <col min="10251" max="10252" width="14.375" style="3176" customWidth="1"/>
    <col min="10253" max="10253" width="6.25" style="3176" customWidth="1"/>
    <col min="10254" max="10254" width="54.125" style="3176" customWidth="1"/>
    <col min="10255" max="10496" width="9" style="3176"/>
    <col min="10497" max="10497" width="31" style="3176" customWidth="1"/>
    <col min="10498" max="10498" width="6.25" style="3176" customWidth="1"/>
    <col min="10499" max="10499" width="7.875" style="3176" customWidth="1"/>
    <col min="10500" max="10501" width="13.875" style="3176" customWidth="1"/>
    <col min="10502" max="10502" width="10" style="3176" customWidth="1"/>
    <col min="10503" max="10503" width="7.875" style="3176" customWidth="1"/>
    <col min="10504" max="10504" width="9" style="3176" customWidth="1"/>
    <col min="10505" max="10506" width="10.625" style="3176" customWidth="1"/>
    <col min="10507" max="10508" width="14.375" style="3176" customWidth="1"/>
    <col min="10509" max="10509" width="6.25" style="3176" customWidth="1"/>
    <col min="10510" max="10510" width="54.125" style="3176" customWidth="1"/>
    <col min="10511" max="10752" width="9" style="3176"/>
    <col min="10753" max="10753" width="31" style="3176" customWidth="1"/>
    <col min="10754" max="10754" width="6.25" style="3176" customWidth="1"/>
    <col min="10755" max="10755" width="7.875" style="3176" customWidth="1"/>
    <col min="10756" max="10757" width="13.875" style="3176" customWidth="1"/>
    <col min="10758" max="10758" width="10" style="3176" customWidth="1"/>
    <col min="10759" max="10759" width="7.875" style="3176" customWidth="1"/>
    <col min="10760" max="10760" width="9" style="3176" customWidth="1"/>
    <col min="10761" max="10762" width="10.625" style="3176" customWidth="1"/>
    <col min="10763" max="10764" width="14.375" style="3176" customWidth="1"/>
    <col min="10765" max="10765" width="6.25" style="3176" customWidth="1"/>
    <col min="10766" max="10766" width="54.125" style="3176" customWidth="1"/>
    <col min="10767" max="11008" width="9" style="3176"/>
    <col min="11009" max="11009" width="31" style="3176" customWidth="1"/>
    <col min="11010" max="11010" width="6.25" style="3176" customWidth="1"/>
    <col min="11011" max="11011" width="7.875" style="3176" customWidth="1"/>
    <col min="11012" max="11013" width="13.875" style="3176" customWidth="1"/>
    <col min="11014" max="11014" width="10" style="3176" customWidth="1"/>
    <col min="11015" max="11015" width="7.875" style="3176" customWidth="1"/>
    <col min="11016" max="11016" width="9" style="3176" customWidth="1"/>
    <col min="11017" max="11018" width="10.625" style="3176" customWidth="1"/>
    <col min="11019" max="11020" width="14.375" style="3176" customWidth="1"/>
    <col min="11021" max="11021" width="6.25" style="3176" customWidth="1"/>
    <col min="11022" max="11022" width="54.125" style="3176" customWidth="1"/>
    <col min="11023" max="11264" width="9" style="3176"/>
    <col min="11265" max="11265" width="31" style="3176" customWidth="1"/>
    <col min="11266" max="11266" width="6.25" style="3176" customWidth="1"/>
    <col min="11267" max="11267" width="7.875" style="3176" customWidth="1"/>
    <col min="11268" max="11269" width="13.875" style="3176" customWidth="1"/>
    <col min="11270" max="11270" width="10" style="3176" customWidth="1"/>
    <col min="11271" max="11271" width="7.875" style="3176" customWidth="1"/>
    <col min="11272" max="11272" width="9" style="3176" customWidth="1"/>
    <col min="11273" max="11274" width="10.625" style="3176" customWidth="1"/>
    <col min="11275" max="11276" width="14.375" style="3176" customWidth="1"/>
    <col min="11277" max="11277" width="6.25" style="3176" customWidth="1"/>
    <col min="11278" max="11278" width="54.125" style="3176" customWidth="1"/>
    <col min="11279" max="11520" width="9" style="3176"/>
    <col min="11521" max="11521" width="31" style="3176" customWidth="1"/>
    <col min="11522" max="11522" width="6.25" style="3176" customWidth="1"/>
    <col min="11523" max="11523" width="7.875" style="3176" customWidth="1"/>
    <col min="11524" max="11525" width="13.875" style="3176" customWidth="1"/>
    <col min="11526" max="11526" width="10" style="3176" customWidth="1"/>
    <col min="11527" max="11527" width="7.875" style="3176" customWidth="1"/>
    <col min="11528" max="11528" width="9" style="3176" customWidth="1"/>
    <col min="11529" max="11530" width="10.625" style="3176" customWidth="1"/>
    <col min="11531" max="11532" width="14.375" style="3176" customWidth="1"/>
    <col min="11533" max="11533" width="6.25" style="3176" customWidth="1"/>
    <col min="11534" max="11534" width="54.125" style="3176" customWidth="1"/>
    <col min="11535" max="11776" width="9" style="3176"/>
    <col min="11777" max="11777" width="31" style="3176" customWidth="1"/>
    <col min="11778" max="11778" width="6.25" style="3176" customWidth="1"/>
    <col min="11779" max="11779" width="7.875" style="3176" customWidth="1"/>
    <col min="11780" max="11781" width="13.875" style="3176" customWidth="1"/>
    <col min="11782" max="11782" width="10" style="3176" customWidth="1"/>
    <col min="11783" max="11783" width="7.875" style="3176" customWidth="1"/>
    <col min="11784" max="11784" width="9" style="3176" customWidth="1"/>
    <col min="11785" max="11786" width="10.625" style="3176" customWidth="1"/>
    <col min="11787" max="11788" width="14.375" style="3176" customWidth="1"/>
    <col min="11789" max="11789" width="6.25" style="3176" customWidth="1"/>
    <col min="11790" max="11790" width="54.125" style="3176" customWidth="1"/>
    <col min="11791" max="12032" width="9" style="3176"/>
    <col min="12033" max="12033" width="31" style="3176" customWidth="1"/>
    <col min="12034" max="12034" width="6.25" style="3176" customWidth="1"/>
    <col min="12035" max="12035" width="7.875" style="3176" customWidth="1"/>
    <col min="12036" max="12037" width="13.875" style="3176" customWidth="1"/>
    <col min="12038" max="12038" width="10" style="3176" customWidth="1"/>
    <col min="12039" max="12039" width="7.875" style="3176" customWidth="1"/>
    <col min="12040" max="12040" width="9" style="3176" customWidth="1"/>
    <col min="12041" max="12042" width="10.625" style="3176" customWidth="1"/>
    <col min="12043" max="12044" width="14.375" style="3176" customWidth="1"/>
    <col min="12045" max="12045" width="6.25" style="3176" customWidth="1"/>
    <col min="12046" max="12046" width="54.125" style="3176" customWidth="1"/>
    <col min="12047" max="12288" width="9" style="3176"/>
    <col min="12289" max="12289" width="31" style="3176" customWidth="1"/>
    <col min="12290" max="12290" width="6.25" style="3176" customWidth="1"/>
    <col min="12291" max="12291" width="7.875" style="3176" customWidth="1"/>
    <col min="12292" max="12293" width="13.875" style="3176" customWidth="1"/>
    <col min="12294" max="12294" width="10" style="3176" customWidth="1"/>
    <col min="12295" max="12295" width="7.875" style="3176" customWidth="1"/>
    <col min="12296" max="12296" width="9" style="3176" customWidth="1"/>
    <col min="12297" max="12298" width="10.625" style="3176" customWidth="1"/>
    <col min="12299" max="12300" width="14.375" style="3176" customWidth="1"/>
    <col min="12301" max="12301" width="6.25" style="3176" customWidth="1"/>
    <col min="12302" max="12302" width="54.125" style="3176" customWidth="1"/>
    <col min="12303" max="12544" width="9" style="3176"/>
    <col min="12545" max="12545" width="31" style="3176" customWidth="1"/>
    <col min="12546" max="12546" width="6.25" style="3176" customWidth="1"/>
    <col min="12547" max="12547" width="7.875" style="3176" customWidth="1"/>
    <col min="12548" max="12549" width="13.875" style="3176" customWidth="1"/>
    <col min="12550" max="12550" width="10" style="3176" customWidth="1"/>
    <col min="12551" max="12551" width="7.875" style="3176" customWidth="1"/>
    <col min="12552" max="12552" width="9" style="3176" customWidth="1"/>
    <col min="12553" max="12554" width="10.625" style="3176" customWidth="1"/>
    <col min="12555" max="12556" width="14.375" style="3176" customWidth="1"/>
    <col min="12557" max="12557" width="6.25" style="3176" customWidth="1"/>
    <col min="12558" max="12558" width="54.125" style="3176" customWidth="1"/>
    <col min="12559" max="12800" width="9" style="3176"/>
    <col min="12801" max="12801" width="31" style="3176" customWidth="1"/>
    <col min="12802" max="12802" width="6.25" style="3176" customWidth="1"/>
    <col min="12803" max="12803" width="7.875" style="3176" customWidth="1"/>
    <col min="12804" max="12805" width="13.875" style="3176" customWidth="1"/>
    <col min="12806" max="12806" width="10" style="3176" customWidth="1"/>
    <col min="12807" max="12807" width="7.875" style="3176" customWidth="1"/>
    <col min="12808" max="12808" width="9" style="3176" customWidth="1"/>
    <col min="12809" max="12810" width="10.625" style="3176" customWidth="1"/>
    <col min="12811" max="12812" width="14.375" style="3176" customWidth="1"/>
    <col min="12813" max="12813" width="6.25" style="3176" customWidth="1"/>
    <col min="12814" max="12814" width="54.125" style="3176" customWidth="1"/>
    <col min="12815" max="13056" width="9" style="3176"/>
    <col min="13057" max="13057" width="31" style="3176" customWidth="1"/>
    <col min="13058" max="13058" width="6.25" style="3176" customWidth="1"/>
    <col min="13059" max="13059" width="7.875" style="3176" customWidth="1"/>
    <col min="13060" max="13061" width="13.875" style="3176" customWidth="1"/>
    <col min="13062" max="13062" width="10" style="3176" customWidth="1"/>
    <col min="13063" max="13063" width="7.875" style="3176" customWidth="1"/>
    <col min="13064" max="13064" width="9" style="3176" customWidth="1"/>
    <col min="13065" max="13066" width="10.625" style="3176" customWidth="1"/>
    <col min="13067" max="13068" width="14.375" style="3176" customWidth="1"/>
    <col min="13069" max="13069" width="6.25" style="3176" customWidth="1"/>
    <col min="13070" max="13070" width="54.125" style="3176" customWidth="1"/>
    <col min="13071" max="13312" width="9" style="3176"/>
    <col min="13313" max="13313" width="31" style="3176" customWidth="1"/>
    <col min="13314" max="13314" width="6.25" style="3176" customWidth="1"/>
    <col min="13315" max="13315" width="7.875" style="3176" customWidth="1"/>
    <col min="13316" max="13317" width="13.875" style="3176" customWidth="1"/>
    <col min="13318" max="13318" width="10" style="3176" customWidth="1"/>
    <col min="13319" max="13319" width="7.875" style="3176" customWidth="1"/>
    <col min="13320" max="13320" width="9" style="3176" customWidth="1"/>
    <col min="13321" max="13322" width="10.625" style="3176" customWidth="1"/>
    <col min="13323" max="13324" width="14.375" style="3176" customWidth="1"/>
    <col min="13325" max="13325" width="6.25" style="3176" customWidth="1"/>
    <col min="13326" max="13326" width="54.125" style="3176" customWidth="1"/>
    <col min="13327" max="13568" width="9" style="3176"/>
    <col min="13569" max="13569" width="31" style="3176" customWidth="1"/>
    <col min="13570" max="13570" width="6.25" style="3176" customWidth="1"/>
    <col min="13571" max="13571" width="7.875" style="3176" customWidth="1"/>
    <col min="13572" max="13573" width="13.875" style="3176" customWidth="1"/>
    <col min="13574" max="13574" width="10" style="3176" customWidth="1"/>
    <col min="13575" max="13575" width="7.875" style="3176" customWidth="1"/>
    <col min="13576" max="13576" width="9" style="3176" customWidth="1"/>
    <col min="13577" max="13578" width="10.625" style="3176" customWidth="1"/>
    <col min="13579" max="13580" width="14.375" style="3176" customWidth="1"/>
    <col min="13581" max="13581" width="6.25" style="3176" customWidth="1"/>
    <col min="13582" max="13582" width="54.125" style="3176" customWidth="1"/>
    <col min="13583" max="13824" width="9" style="3176"/>
    <col min="13825" max="13825" width="31" style="3176" customWidth="1"/>
    <col min="13826" max="13826" width="6.25" style="3176" customWidth="1"/>
    <col min="13827" max="13827" width="7.875" style="3176" customWidth="1"/>
    <col min="13828" max="13829" width="13.875" style="3176" customWidth="1"/>
    <col min="13830" max="13830" width="10" style="3176" customWidth="1"/>
    <col min="13831" max="13831" width="7.875" style="3176" customWidth="1"/>
    <col min="13832" max="13832" width="9" style="3176" customWidth="1"/>
    <col min="13833" max="13834" width="10.625" style="3176" customWidth="1"/>
    <col min="13835" max="13836" width="14.375" style="3176" customWidth="1"/>
    <col min="13837" max="13837" width="6.25" style="3176" customWidth="1"/>
    <col min="13838" max="13838" width="54.125" style="3176" customWidth="1"/>
    <col min="13839" max="14080" width="9" style="3176"/>
    <col min="14081" max="14081" width="31" style="3176" customWidth="1"/>
    <col min="14082" max="14082" width="6.25" style="3176" customWidth="1"/>
    <col min="14083" max="14083" width="7.875" style="3176" customWidth="1"/>
    <col min="14084" max="14085" width="13.875" style="3176" customWidth="1"/>
    <col min="14086" max="14086" width="10" style="3176" customWidth="1"/>
    <col min="14087" max="14087" width="7.875" style="3176" customWidth="1"/>
    <col min="14088" max="14088" width="9" style="3176" customWidth="1"/>
    <col min="14089" max="14090" width="10.625" style="3176" customWidth="1"/>
    <col min="14091" max="14092" width="14.375" style="3176" customWidth="1"/>
    <col min="14093" max="14093" width="6.25" style="3176" customWidth="1"/>
    <col min="14094" max="14094" width="54.125" style="3176" customWidth="1"/>
    <col min="14095" max="14336" width="9" style="3176"/>
    <col min="14337" max="14337" width="31" style="3176" customWidth="1"/>
    <col min="14338" max="14338" width="6.25" style="3176" customWidth="1"/>
    <col min="14339" max="14339" width="7.875" style="3176" customWidth="1"/>
    <col min="14340" max="14341" width="13.875" style="3176" customWidth="1"/>
    <col min="14342" max="14342" width="10" style="3176" customWidth="1"/>
    <col min="14343" max="14343" width="7.875" style="3176" customWidth="1"/>
    <col min="14344" max="14344" width="9" style="3176" customWidth="1"/>
    <col min="14345" max="14346" width="10.625" style="3176" customWidth="1"/>
    <col min="14347" max="14348" width="14.375" style="3176" customWidth="1"/>
    <col min="14349" max="14349" width="6.25" style="3176" customWidth="1"/>
    <col min="14350" max="14350" width="54.125" style="3176" customWidth="1"/>
    <col min="14351" max="14592" width="9" style="3176"/>
    <col min="14593" max="14593" width="31" style="3176" customWidth="1"/>
    <col min="14594" max="14594" width="6.25" style="3176" customWidth="1"/>
    <col min="14595" max="14595" width="7.875" style="3176" customWidth="1"/>
    <col min="14596" max="14597" width="13.875" style="3176" customWidth="1"/>
    <col min="14598" max="14598" width="10" style="3176" customWidth="1"/>
    <col min="14599" max="14599" width="7.875" style="3176" customWidth="1"/>
    <col min="14600" max="14600" width="9" style="3176" customWidth="1"/>
    <col min="14601" max="14602" width="10.625" style="3176" customWidth="1"/>
    <col min="14603" max="14604" width="14.375" style="3176" customWidth="1"/>
    <col min="14605" max="14605" width="6.25" style="3176" customWidth="1"/>
    <col min="14606" max="14606" width="54.125" style="3176" customWidth="1"/>
    <col min="14607" max="14848" width="9" style="3176"/>
    <col min="14849" max="14849" width="31" style="3176" customWidth="1"/>
    <col min="14850" max="14850" width="6.25" style="3176" customWidth="1"/>
    <col min="14851" max="14851" width="7.875" style="3176" customWidth="1"/>
    <col min="14852" max="14853" width="13.875" style="3176" customWidth="1"/>
    <col min="14854" max="14854" width="10" style="3176" customWidth="1"/>
    <col min="14855" max="14855" width="7.875" style="3176" customWidth="1"/>
    <col min="14856" max="14856" width="9" style="3176" customWidth="1"/>
    <col min="14857" max="14858" width="10.625" style="3176" customWidth="1"/>
    <col min="14859" max="14860" width="14.375" style="3176" customWidth="1"/>
    <col min="14861" max="14861" width="6.25" style="3176" customWidth="1"/>
    <col min="14862" max="14862" width="54.125" style="3176" customWidth="1"/>
    <col min="14863" max="15104" width="9" style="3176"/>
    <col min="15105" max="15105" width="31" style="3176" customWidth="1"/>
    <col min="15106" max="15106" width="6.25" style="3176" customWidth="1"/>
    <col min="15107" max="15107" width="7.875" style="3176" customWidth="1"/>
    <col min="15108" max="15109" width="13.875" style="3176" customWidth="1"/>
    <col min="15110" max="15110" width="10" style="3176" customWidth="1"/>
    <col min="15111" max="15111" width="7.875" style="3176" customWidth="1"/>
    <col min="15112" max="15112" width="9" style="3176" customWidth="1"/>
    <col min="15113" max="15114" width="10.625" style="3176" customWidth="1"/>
    <col min="15115" max="15116" width="14.375" style="3176" customWidth="1"/>
    <col min="15117" max="15117" width="6.25" style="3176" customWidth="1"/>
    <col min="15118" max="15118" width="54.125" style="3176" customWidth="1"/>
    <col min="15119" max="15360" width="9" style="3176"/>
    <col min="15361" max="15361" width="31" style="3176" customWidth="1"/>
    <col min="15362" max="15362" width="6.25" style="3176" customWidth="1"/>
    <col min="15363" max="15363" width="7.875" style="3176" customWidth="1"/>
    <col min="15364" max="15365" width="13.875" style="3176" customWidth="1"/>
    <col min="15366" max="15366" width="10" style="3176" customWidth="1"/>
    <col min="15367" max="15367" width="7.875" style="3176" customWidth="1"/>
    <col min="15368" max="15368" width="9" style="3176" customWidth="1"/>
    <col min="15369" max="15370" width="10.625" style="3176" customWidth="1"/>
    <col min="15371" max="15372" width="14.375" style="3176" customWidth="1"/>
    <col min="15373" max="15373" width="6.25" style="3176" customWidth="1"/>
    <col min="15374" max="15374" width="54.125" style="3176" customWidth="1"/>
    <col min="15375" max="15616" width="9" style="3176"/>
    <col min="15617" max="15617" width="31" style="3176" customWidth="1"/>
    <col min="15618" max="15618" width="6.25" style="3176" customWidth="1"/>
    <col min="15619" max="15619" width="7.875" style="3176" customWidth="1"/>
    <col min="15620" max="15621" width="13.875" style="3176" customWidth="1"/>
    <col min="15622" max="15622" width="10" style="3176" customWidth="1"/>
    <col min="15623" max="15623" width="7.875" style="3176" customWidth="1"/>
    <col min="15624" max="15624" width="9" style="3176" customWidth="1"/>
    <col min="15625" max="15626" width="10.625" style="3176" customWidth="1"/>
    <col min="15627" max="15628" width="14.375" style="3176" customWidth="1"/>
    <col min="15629" max="15629" width="6.25" style="3176" customWidth="1"/>
    <col min="15630" max="15630" width="54.125" style="3176" customWidth="1"/>
    <col min="15631" max="15872" width="9" style="3176"/>
    <col min="15873" max="15873" width="31" style="3176" customWidth="1"/>
    <col min="15874" max="15874" width="6.25" style="3176" customWidth="1"/>
    <col min="15875" max="15875" width="7.875" style="3176" customWidth="1"/>
    <col min="15876" max="15877" width="13.875" style="3176" customWidth="1"/>
    <col min="15878" max="15878" width="10" style="3176" customWidth="1"/>
    <col min="15879" max="15879" width="7.875" style="3176" customWidth="1"/>
    <col min="15880" max="15880" width="9" style="3176" customWidth="1"/>
    <col min="15881" max="15882" width="10.625" style="3176" customWidth="1"/>
    <col min="15883" max="15884" width="14.375" style="3176" customWidth="1"/>
    <col min="15885" max="15885" width="6.25" style="3176" customWidth="1"/>
    <col min="15886" max="15886" width="54.125" style="3176" customWidth="1"/>
    <col min="15887" max="16128" width="9" style="3176"/>
    <col min="16129" max="16129" width="31" style="3176" customWidth="1"/>
    <col min="16130" max="16130" width="6.25" style="3176" customWidth="1"/>
    <col min="16131" max="16131" width="7.875" style="3176" customWidth="1"/>
    <col min="16132" max="16133" width="13.875" style="3176" customWidth="1"/>
    <col min="16134" max="16134" width="10" style="3176" customWidth="1"/>
    <col min="16135" max="16135" width="7.875" style="3176" customWidth="1"/>
    <col min="16136" max="16136" width="9" style="3176" customWidth="1"/>
    <col min="16137" max="16138" width="10.625" style="3176" customWidth="1"/>
    <col min="16139" max="16140" width="14.375" style="3176" customWidth="1"/>
    <col min="16141" max="16141" width="6.25" style="3176" customWidth="1"/>
    <col min="16142" max="16142" width="54.125" style="3176" customWidth="1"/>
    <col min="16143" max="16384" width="9" style="3176"/>
  </cols>
  <sheetData>
    <row r="1" spans="1:14" ht="12.75">
      <c r="A1" s="3176" t="s">
        <v>2996</v>
      </c>
      <c r="B1" s="3176" t="s">
        <v>2997</v>
      </c>
      <c r="C1" s="3176" t="s">
        <v>2998</v>
      </c>
      <c r="D1" s="3176" t="s">
        <v>2999</v>
      </c>
      <c r="E1" s="3176" t="s">
        <v>3000</v>
      </c>
      <c r="F1" s="3176" t="s">
        <v>2033</v>
      </c>
      <c r="G1" s="3176" t="s">
        <v>3001</v>
      </c>
      <c r="H1" s="3176" t="s">
        <v>3002</v>
      </c>
      <c r="I1" s="3176" t="s">
        <v>3003</v>
      </c>
      <c r="J1" s="3176" t="s">
        <v>3004</v>
      </c>
      <c r="K1" s="3174" t="s">
        <v>3149</v>
      </c>
      <c r="L1" s="3175" t="s">
        <v>3005</v>
      </c>
      <c r="M1" s="3176" t="s">
        <v>3006</v>
      </c>
      <c r="N1" s="3176" t="s">
        <v>3007</v>
      </c>
    </row>
    <row r="2" spans="1:14">
      <c r="A2" s="3176" t="s">
        <v>3008</v>
      </c>
      <c r="B2" s="3176" t="s">
        <v>3009</v>
      </c>
      <c r="C2" s="3176" t="s">
        <v>3010</v>
      </c>
      <c r="D2" s="3176">
        <v>2458</v>
      </c>
      <c r="E2" s="3176">
        <v>2703.8</v>
      </c>
      <c r="F2" s="3176" t="s">
        <v>3011</v>
      </c>
      <c r="G2" s="3176" t="s">
        <v>3012</v>
      </c>
      <c r="H2" s="3176" t="s">
        <v>3013</v>
      </c>
      <c r="I2" s="3176">
        <v>210</v>
      </c>
      <c r="J2" s="3176">
        <v>215</v>
      </c>
      <c r="K2" s="3176">
        <v>795.17</v>
      </c>
      <c r="L2" s="3177">
        <f>ROUND(J2*10000/D2,2)</f>
        <v>874.69</v>
      </c>
      <c r="M2" s="3176">
        <v>2.38</v>
      </c>
      <c r="N2" s="3176" t="s">
        <v>3014</v>
      </c>
    </row>
    <row r="3" spans="1:14">
      <c r="A3" s="3176" t="s">
        <v>3015</v>
      </c>
      <c r="B3" s="3176" t="s">
        <v>3009</v>
      </c>
      <c r="C3" s="3176" t="s">
        <v>3010</v>
      </c>
      <c r="D3" s="3176">
        <v>3412</v>
      </c>
      <c r="E3" s="3176">
        <v>5118</v>
      </c>
      <c r="F3" s="3176" t="s">
        <v>3016</v>
      </c>
      <c r="G3" s="3176" t="s">
        <v>3012</v>
      </c>
      <c r="H3" s="3176" t="s">
        <v>3017</v>
      </c>
      <c r="I3" s="3176">
        <v>139</v>
      </c>
      <c r="J3" s="3176">
        <v>141</v>
      </c>
      <c r="K3" s="3176">
        <v>275.5</v>
      </c>
      <c r="L3" s="3177">
        <f t="shared" ref="L3:L46" si="0">ROUND(J3*10000/D3,2)</f>
        <v>413.25</v>
      </c>
      <c r="M3" s="3176">
        <v>1.44</v>
      </c>
      <c r="N3" s="3176" t="s">
        <v>3018</v>
      </c>
    </row>
    <row r="4" spans="1:14">
      <c r="A4" s="3176" t="s">
        <v>3019</v>
      </c>
      <c r="B4" s="3176" t="s">
        <v>3009</v>
      </c>
      <c r="C4" s="3176" t="s">
        <v>3010</v>
      </c>
      <c r="D4" s="3176">
        <v>18273</v>
      </c>
      <c r="E4" s="3176">
        <v>32891.4</v>
      </c>
      <c r="F4" s="3176" t="s">
        <v>3020</v>
      </c>
      <c r="G4" s="3176" t="s">
        <v>3012</v>
      </c>
      <c r="H4" s="3176" t="s">
        <v>3017</v>
      </c>
      <c r="I4" s="3176">
        <v>741</v>
      </c>
      <c r="J4" s="3176">
        <v>743</v>
      </c>
      <c r="K4" s="3176">
        <v>225.88</v>
      </c>
      <c r="L4" s="3177">
        <f t="shared" si="0"/>
        <v>406.61</v>
      </c>
      <c r="M4" s="3176">
        <v>0.27</v>
      </c>
      <c r="N4" s="3176" t="s">
        <v>3021</v>
      </c>
    </row>
    <row r="5" spans="1:14">
      <c r="A5" s="3176" t="s">
        <v>3022</v>
      </c>
      <c r="B5" s="3176" t="s">
        <v>3009</v>
      </c>
      <c r="C5" s="3176" t="s">
        <v>3010</v>
      </c>
      <c r="D5" s="3176">
        <v>2020</v>
      </c>
      <c r="E5" s="3176">
        <v>2828</v>
      </c>
      <c r="F5" s="3176" t="s">
        <v>3023</v>
      </c>
      <c r="G5" s="3176" t="s">
        <v>3012</v>
      </c>
      <c r="H5" s="3176" t="s">
        <v>3024</v>
      </c>
      <c r="I5" s="3176">
        <v>180</v>
      </c>
      <c r="J5" s="3176">
        <v>182</v>
      </c>
      <c r="K5" s="3176">
        <v>643.54999999999995</v>
      </c>
      <c r="L5" s="3177">
        <f t="shared" si="0"/>
        <v>900.99</v>
      </c>
      <c r="M5" s="3176">
        <v>1.1100000000000001</v>
      </c>
      <c r="N5" s="3176" t="s">
        <v>3025</v>
      </c>
    </row>
    <row r="6" spans="1:14">
      <c r="A6" s="3176" t="s">
        <v>3026</v>
      </c>
      <c r="B6" s="3176" t="s">
        <v>3009</v>
      </c>
      <c r="C6" s="3176" t="s">
        <v>3010</v>
      </c>
      <c r="D6" s="3176">
        <v>12646</v>
      </c>
      <c r="E6" s="3176">
        <v>31615</v>
      </c>
      <c r="F6" s="3176" t="s">
        <v>3027</v>
      </c>
      <c r="G6" s="3176" t="s">
        <v>3012</v>
      </c>
      <c r="H6" s="3176" t="s">
        <v>3024</v>
      </c>
      <c r="I6" s="3176">
        <v>538</v>
      </c>
      <c r="J6" s="3176">
        <v>548</v>
      </c>
      <c r="K6" s="3176">
        <v>173.34</v>
      </c>
      <c r="L6" s="3177">
        <f t="shared" si="0"/>
        <v>433.34</v>
      </c>
      <c r="M6" s="3176">
        <v>1.86</v>
      </c>
      <c r="N6" s="3176" t="s">
        <v>3028</v>
      </c>
    </row>
    <row r="7" spans="1:14">
      <c r="A7" s="3176" t="s">
        <v>3029</v>
      </c>
      <c r="B7" s="3176" t="s">
        <v>3009</v>
      </c>
      <c r="C7" s="3176" t="s">
        <v>3010</v>
      </c>
      <c r="D7" s="3176">
        <v>56910</v>
      </c>
      <c r="E7" s="3176">
        <v>113820</v>
      </c>
      <c r="F7" s="3176" t="s">
        <v>3030</v>
      </c>
      <c r="G7" s="3176" t="s">
        <v>3012</v>
      </c>
      <c r="H7" s="3176" t="s">
        <v>3031</v>
      </c>
      <c r="I7" s="3176">
        <v>40888</v>
      </c>
      <c r="J7" s="3176">
        <v>50588</v>
      </c>
      <c r="K7" s="3176">
        <v>4444.5600000000004</v>
      </c>
      <c r="L7" s="3177">
        <f t="shared" si="0"/>
        <v>8889.1200000000008</v>
      </c>
      <c r="M7" s="3176">
        <v>23.72</v>
      </c>
      <c r="N7" s="3176" t="s">
        <v>3032</v>
      </c>
    </row>
    <row r="8" spans="1:14">
      <c r="A8" s="3176" t="s">
        <v>3033</v>
      </c>
      <c r="B8" s="3176" t="s">
        <v>3009</v>
      </c>
      <c r="C8" s="3176" t="s">
        <v>3010</v>
      </c>
      <c r="D8" s="3176">
        <v>42221</v>
      </c>
      <c r="E8" s="3176">
        <v>105552.5</v>
      </c>
      <c r="F8" s="3176" t="s">
        <v>3027</v>
      </c>
      <c r="G8" s="3176" t="s">
        <v>3012</v>
      </c>
      <c r="H8" s="3176" t="s">
        <v>3034</v>
      </c>
      <c r="I8" s="3176">
        <v>2111</v>
      </c>
      <c r="J8" s="3176">
        <v>2121</v>
      </c>
      <c r="K8" s="3176">
        <v>200.93</v>
      </c>
      <c r="L8" s="3177">
        <f t="shared" si="0"/>
        <v>502.36</v>
      </c>
      <c r="M8" s="3176">
        <v>0.47</v>
      </c>
      <c r="N8" s="3176" t="s">
        <v>3035</v>
      </c>
    </row>
    <row r="9" spans="1:14" s="3191" customFormat="1">
      <c r="A9" s="3191" t="s">
        <v>3036</v>
      </c>
      <c r="B9" s="3191" t="s">
        <v>3009</v>
      </c>
      <c r="C9" s="3191" t="s">
        <v>3010</v>
      </c>
      <c r="D9" s="3191">
        <v>66804</v>
      </c>
      <c r="E9" s="3191">
        <v>133608</v>
      </c>
      <c r="F9" s="3191" t="s">
        <v>3030</v>
      </c>
      <c r="G9" s="3191" t="s">
        <v>3012</v>
      </c>
      <c r="H9" s="3191" t="s">
        <v>3037</v>
      </c>
      <c r="I9" s="3191">
        <v>33408</v>
      </c>
      <c r="J9" s="3191">
        <v>51108</v>
      </c>
      <c r="K9" s="3191">
        <v>3825.21</v>
      </c>
      <c r="L9" s="3192">
        <f t="shared" si="0"/>
        <v>7650.44</v>
      </c>
      <c r="M9" s="3191">
        <v>52.98</v>
      </c>
      <c r="N9" s="3191" t="s">
        <v>3038</v>
      </c>
    </row>
    <row r="10" spans="1:14" s="3178" customFormat="1">
      <c r="A10" s="3178" t="s">
        <v>3039</v>
      </c>
      <c r="B10" s="3178" t="s">
        <v>3009</v>
      </c>
      <c r="C10" s="3178" t="s">
        <v>3010</v>
      </c>
      <c r="D10" s="3178">
        <v>65649</v>
      </c>
      <c r="E10" s="3178">
        <v>78778.8</v>
      </c>
      <c r="F10" s="3178" t="s">
        <v>3040</v>
      </c>
      <c r="G10" s="3178" t="s">
        <v>3012</v>
      </c>
      <c r="H10" s="3178" t="s">
        <v>3037</v>
      </c>
      <c r="I10" s="3178">
        <v>29548</v>
      </c>
      <c r="J10" s="3178">
        <v>42848</v>
      </c>
      <c r="K10" s="3178">
        <v>5439.02</v>
      </c>
      <c r="L10" s="3179">
        <f t="shared" si="0"/>
        <v>6526.83</v>
      </c>
      <c r="M10" s="3178">
        <v>45.01</v>
      </c>
      <c r="N10" s="3178" t="s">
        <v>3041</v>
      </c>
    </row>
    <row r="11" spans="1:14" s="3191" customFormat="1">
      <c r="A11" s="3191" t="s">
        <v>3042</v>
      </c>
      <c r="B11" s="3191" t="s">
        <v>3009</v>
      </c>
      <c r="C11" s="3191" t="s">
        <v>3010</v>
      </c>
      <c r="D11" s="3191">
        <v>27573</v>
      </c>
      <c r="E11" s="3191">
        <v>60660.6</v>
      </c>
      <c r="F11" s="3191" t="s">
        <v>3043</v>
      </c>
      <c r="G11" s="3191" t="s">
        <v>3012</v>
      </c>
      <c r="H11" s="3191" t="s">
        <v>3044</v>
      </c>
      <c r="I11" s="3191">
        <v>15168</v>
      </c>
      <c r="J11" s="3191">
        <v>23068</v>
      </c>
      <c r="K11" s="3191">
        <v>3802.8</v>
      </c>
      <c r="L11" s="3192">
        <f t="shared" si="0"/>
        <v>8366.16</v>
      </c>
      <c r="M11" s="3191">
        <v>52.08</v>
      </c>
      <c r="N11" s="3191" t="s">
        <v>3045</v>
      </c>
    </row>
    <row r="12" spans="1:14" s="3191" customFormat="1">
      <c r="A12" s="3191" t="s">
        <v>3046</v>
      </c>
      <c r="B12" s="3191" t="s">
        <v>3009</v>
      </c>
      <c r="C12" s="3191" t="s">
        <v>3010</v>
      </c>
      <c r="D12" s="3191">
        <v>16706</v>
      </c>
      <c r="E12" s="3191">
        <v>30070.799999999999</v>
      </c>
      <c r="F12" s="3191" t="s">
        <v>3047</v>
      </c>
      <c r="G12" s="3191" t="s">
        <v>3012</v>
      </c>
      <c r="H12" s="3191" t="s">
        <v>3048</v>
      </c>
      <c r="I12" s="3191">
        <v>1300</v>
      </c>
      <c r="J12" s="3191">
        <v>1310</v>
      </c>
      <c r="K12" s="3191">
        <v>435.63</v>
      </c>
      <c r="L12" s="3192">
        <f t="shared" si="0"/>
        <v>784.15</v>
      </c>
      <c r="M12" s="3191">
        <v>0.77</v>
      </c>
      <c r="N12" s="3191" t="s">
        <v>3049</v>
      </c>
    </row>
    <row r="13" spans="1:14" s="3191" customFormat="1">
      <c r="A13" s="3191" t="s">
        <v>3050</v>
      </c>
      <c r="B13" s="3191" t="s">
        <v>3009</v>
      </c>
      <c r="C13" s="3191" t="s">
        <v>3010</v>
      </c>
      <c r="D13" s="3191">
        <v>1452</v>
      </c>
      <c r="E13" s="3191">
        <v>1742.4</v>
      </c>
      <c r="F13" s="3191" t="s">
        <v>3051</v>
      </c>
      <c r="G13" s="3191" t="s">
        <v>3012</v>
      </c>
      <c r="H13" s="3191" t="s">
        <v>3048</v>
      </c>
      <c r="I13" s="3191">
        <v>128</v>
      </c>
      <c r="J13" s="3191">
        <v>130</v>
      </c>
      <c r="K13" s="3191">
        <v>746.1</v>
      </c>
      <c r="L13" s="3192">
        <f t="shared" si="0"/>
        <v>895.32</v>
      </c>
      <c r="M13" s="3191">
        <v>1.56</v>
      </c>
      <c r="N13" s="3191" t="s">
        <v>3052</v>
      </c>
    </row>
    <row r="14" spans="1:14" s="3178" customFormat="1">
      <c r="A14" s="3178" t="s">
        <v>3053</v>
      </c>
      <c r="B14" s="3178" t="s">
        <v>3009</v>
      </c>
      <c r="C14" s="3178" t="s">
        <v>3010</v>
      </c>
      <c r="D14" s="3178">
        <v>44717</v>
      </c>
      <c r="E14" s="3178">
        <v>80490.600000000006</v>
      </c>
      <c r="F14" s="3178" t="s">
        <v>3020</v>
      </c>
      <c r="G14" s="3178" t="s">
        <v>3012</v>
      </c>
      <c r="H14" s="3178" t="s">
        <v>3054</v>
      </c>
      <c r="I14" s="3178">
        <v>30588</v>
      </c>
      <c r="J14" s="3178">
        <v>43388</v>
      </c>
      <c r="K14" s="3178">
        <v>5390.43</v>
      </c>
      <c r="L14" s="3179">
        <f t="shared" si="0"/>
        <v>9702.7999999999993</v>
      </c>
      <c r="M14" s="3178">
        <v>41.85</v>
      </c>
      <c r="N14" s="3178" t="s">
        <v>3055</v>
      </c>
    </row>
    <row r="15" spans="1:14" s="3178" customFormat="1">
      <c r="A15" s="3178" t="s">
        <v>3056</v>
      </c>
      <c r="B15" s="3178" t="s">
        <v>3009</v>
      </c>
      <c r="C15" s="3178" t="s">
        <v>3010</v>
      </c>
      <c r="D15" s="3178">
        <v>50868</v>
      </c>
      <c r="E15" s="3178">
        <v>91562.4</v>
      </c>
      <c r="F15" s="3178" t="s">
        <v>3020</v>
      </c>
      <c r="G15" s="3178" t="s">
        <v>3012</v>
      </c>
      <c r="H15" s="3178" t="s">
        <v>3054</v>
      </c>
      <c r="I15" s="3178">
        <v>34798</v>
      </c>
      <c r="J15" s="3178">
        <v>47398</v>
      </c>
      <c r="K15" s="3178">
        <v>5176.57</v>
      </c>
      <c r="L15" s="3179">
        <f t="shared" si="0"/>
        <v>9317.84</v>
      </c>
      <c r="M15" s="3178">
        <v>36.21</v>
      </c>
      <c r="N15" s="3178" t="s">
        <v>3057</v>
      </c>
    </row>
    <row r="16" spans="1:14">
      <c r="A16" s="3176" t="s">
        <v>3058</v>
      </c>
      <c r="B16" s="3176" t="s">
        <v>3009</v>
      </c>
      <c r="C16" s="3176" t="s">
        <v>3010</v>
      </c>
      <c r="D16" s="3176">
        <v>6646</v>
      </c>
      <c r="E16" s="3176">
        <v>9969</v>
      </c>
      <c r="F16" s="3176" t="s">
        <v>3016</v>
      </c>
      <c r="G16" s="3176" t="s">
        <v>3012</v>
      </c>
      <c r="H16" s="3176" t="s">
        <v>3059</v>
      </c>
      <c r="I16" s="3176">
        <v>548</v>
      </c>
      <c r="J16" s="3176">
        <v>578</v>
      </c>
      <c r="K16" s="3176">
        <v>579.79</v>
      </c>
      <c r="L16" s="3177">
        <f t="shared" si="0"/>
        <v>869.7</v>
      </c>
      <c r="M16" s="3176">
        <v>5.47</v>
      </c>
      <c r="N16" s="3176" t="s">
        <v>3060</v>
      </c>
    </row>
    <row r="17" spans="1:14">
      <c r="A17" s="3176" t="s">
        <v>3061</v>
      </c>
      <c r="B17" s="3176" t="s">
        <v>3009</v>
      </c>
      <c r="C17" s="3176" t="s">
        <v>3010</v>
      </c>
      <c r="D17" s="3176">
        <v>23409</v>
      </c>
      <c r="E17" s="3176">
        <v>35113.5</v>
      </c>
      <c r="F17" s="3176" t="s">
        <v>3016</v>
      </c>
      <c r="G17" s="3176" t="s">
        <v>3012</v>
      </c>
      <c r="H17" s="3176" t="s">
        <v>3062</v>
      </c>
      <c r="I17" s="3176">
        <v>2638</v>
      </c>
      <c r="J17" s="3176">
        <v>2688</v>
      </c>
      <c r="K17" s="3176">
        <v>765.51</v>
      </c>
      <c r="L17" s="3177">
        <f t="shared" si="0"/>
        <v>1148.28</v>
      </c>
      <c r="M17" s="3176">
        <v>1.9</v>
      </c>
      <c r="N17" s="3176" t="s">
        <v>3063</v>
      </c>
    </row>
    <row r="18" spans="1:14">
      <c r="A18" s="3176" t="s">
        <v>3064</v>
      </c>
      <c r="B18" s="3176" t="s">
        <v>3009</v>
      </c>
      <c r="C18" s="3176" t="s">
        <v>3010</v>
      </c>
      <c r="D18" s="3176">
        <v>42076.2</v>
      </c>
      <c r="E18" s="3176">
        <v>84152.4</v>
      </c>
      <c r="F18" s="3176" t="s">
        <v>3065</v>
      </c>
      <c r="G18" s="3176" t="s">
        <v>3012</v>
      </c>
      <c r="H18" s="3176" t="s">
        <v>3066</v>
      </c>
      <c r="I18" s="3176">
        <v>8058</v>
      </c>
      <c r="J18" s="3176">
        <v>8158</v>
      </c>
      <c r="K18" s="3176">
        <v>969.42</v>
      </c>
      <c r="L18" s="3177">
        <f t="shared" si="0"/>
        <v>1938.86</v>
      </c>
      <c r="M18" s="3176">
        <v>1.24</v>
      </c>
      <c r="N18" s="3176" t="s">
        <v>3067</v>
      </c>
    </row>
    <row r="19" spans="1:14">
      <c r="A19" s="3176" t="s">
        <v>3068</v>
      </c>
      <c r="B19" s="3176" t="s">
        <v>3009</v>
      </c>
      <c r="C19" s="3176" t="s">
        <v>3010</v>
      </c>
      <c r="D19" s="3176">
        <v>24020</v>
      </c>
      <c r="E19" s="3176">
        <v>43236</v>
      </c>
      <c r="F19" s="3176" t="s">
        <v>3069</v>
      </c>
      <c r="G19" s="3176" t="s">
        <v>3012</v>
      </c>
      <c r="H19" s="3176" t="s">
        <v>3066</v>
      </c>
      <c r="I19" s="3176">
        <v>3028</v>
      </c>
      <c r="J19" s="3176">
        <v>4908</v>
      </c>
      <c r="K19" s="3176">
        <v>1135.17</v>
      </c>
      <c r="L19" s="3177">
        <f t="shared" si="0"/>
        <v>2043.3</v>
      </c>
      <c r="M19" s="3176">
        <v>62.09</v>
      </c>
      <c r="N19" s="3176" t="s">
        <v>3070</v>
      </c>
    </row>
    <row r="20" spans="1:14">
      <c r="A20" s="3176" t="s">
        <v>3071</v>
      </c>
      <c r="B20" s="3176" t="s">
        <v>3009</v>
      </c>
      <c r="C20" s="3176" t="s">
        <v>3010</v>
      </c>
      <c r="D20" s="3176">
        <v>62610</v>
      </c>
      <c r="E20" s="3176">
        <v>106437</v>
      </c>
      <c r="F20" s="3176" t="s">
        <v>3072</v>
      </c>
      <c r="G20" s="3176" t="s">
        <v>3012</v>
      </c>
      <c r="H20" s="3176" t="s">
        <v>3073</v>
      </c>
      <c r="I20" s="3176">
        <v>6920</v>
      </c>
      <c r="J20" s="3176">
        <v>6970</v>
      </c>
      <c r="K20" s="3176">
        <v>654.85</v>
      </c>
      <c r="L20" s="3177">
        <f t="shared" si="0"/>
        <v>1113.24</v>
      </c>
      <c r="M20" s="3176">
        <v>0.72</v>
      </c>
      <c r="N20" s="3176" t="s">
        <v>3074</v>
      </c>
    </row>
    <row r="21" spans="1:14">
      <c r="A21" s="3176" t="s">
        <v>3071</v>
      </c>
      <c r="B21" s="3176" t="s">
        <v>3009</v>
      </c>
      <c r="C21" s="3176" t="s">
        <v>3010</v>
      </c>
      <c r="D21" s="3176">
        <v>19574</v>
      </c>
      <c r="E21" s="3176">
        <v>33275.800000000003</v>
      </c>
      <c r="F21" s="3176" t="s">
        <v>3072</v>
      </c>
      <c r="G21" s="3176" t="s">
        <v>3012</v>
      </c>
      <c r="H21" s="3176" t="s">
        <v>3073</v>
      </c>
      <c r="I21" s="3176">
        <v>2165</v>
      </c>
      <c r="J21" s="3176">
        <v>2195</v>
      </c>
      <c r="K21" s="3176">
        <v>659.63</v>
      </c>
      <c r="L21" s="3177">
        <f t="shared" si="0"/>
        <v>1121.3900000000001</v>
      </c>
      <c r="M21" s="3176">
        <v>1.39</v>
      </c>
      <c r="N21" s="3176" t="s">
        <v>3074</v>
      </c>
    </row>
    <row r="22" spans="1:14">
      <c r="A22" s="3176" t="s">
        <v>3075</v>
      </c>
      <c r="B22" s="3176" t="s">
        <v>3009</v>
      </c>
      <c r="C22" s="3176" t="s">
        <v>3010</v>
      </c>
      <c r="D22" s="3176">
        <v>40653</v>
      </c>
      <c r="E22" s="3176">
        <v>81306</v>
      </c>
      <c r="F22" s="3176" t="s">
        <v>3030</v>
      </c>
      <c r="G22" s="3176" t="s">
        <v>3012</v>
      </c>
      <c r="H22" s="3176" t="s">
        <v>3076</v>
      </c>
      <c r="I22" s="3176">
        <v>18298</v>
      </c>
      <c r="J22" s="3176">
        <v>19298</v>
      </c>
      <c r="K22" s="3176">
        <v>2373.5</v>
      </c>
      <c r="L22" s="3177">
        <f t="shared" si="0"/>
        <v>4747.01</v>
      </c>
      <c r="M22" s="3176">
        <v>5.47</v>
      </c>
      <c r="N22" s="3176" t="s">
        <v>3077</v>
      </c>
    </row>
    <row r="23" spans="1:14">
      <c r="A23" s="3176" t="s">
        <v>3078</v>
      </c>
      <c r="B23" s="3176" t="s">
        <v>3009</v>
      </c>
      <c r="C23" s="3176" t="s">
        <v>3010</v>
      </c>
      <c r="D23" s="3176">
        <v>43386</v>
      </c>
      <c r="E23" s="3176">
        <v>104126.39999999999</v>
      </c>
      <c r="F23" s="3176" t="s">
        <v>3079</v>
      </c>
      <c r="G23" s="3176" t="s">
        <v>3012</v>
      </c>
      <c r="H23" s="3176" t="s">
        <v>3076</v>
      </c>
      <c r="I23" s="3176">
        <v>10608</v>
      </c>
      <c r="J23" s="3176">
        <v>11208</v>
      </c>
      <c r="K23" s="3176">
        <v>1076.3800000000001</v>
      </c>
      <c r="L23" s="3177">
        <f t="shared" si="0"/>
        <v>2583.3200000000002</v>
      </c>
      <c r="M23" s="3176">
        <v>5.66</v>
      </c>
      <c r="N23" s="3176" t="s">
        <v>3045</v>
      </c>
    </row>
    <row r="24" spans="1:14">
      <c r="A24" s="3176" t="s">
        <v>3080</v>
      </c>
      <c r="B24" s="3176" t="s">
        <v>3009</v>
      </c>
      <c r="C24" s="3176" t="s">
        <v>3010</v>
      </c>
      <c r="D24" s="3176">
        <v>97</v>
      </c>
      <c r="E24" s="3176">
        <v>106.7</v>
      </c>
      <c r="F24" s="3176" t="s">
        <v>3081</v>
      </c>
      <c r="G24" s="3176" t="s">
        <v>3012</v>
      </c>
      <c r="H24" s="3176" t="s">
        <v>3082</v>
      </c>
      <c r="I24" s="3176">
        <v>12.09</v>
      </c>
      <c r="J24" s="3176">
        <v>12.19</v>
      </c>
      <c r="K24" s="3176">
        <v>1143.3900000000001</v>
      </c>
      <c r="L24" s="3177">
        <f t="shared" si="0"/>
        <v>1256.7</v>
      </c>
      <c r="M24" s="3176">
        <v>0.83</v>
      </c>
      <c r="N24" s="3176" t="s">
        <v>3083</v>
      </c>
    </row>
    <row r="25" spans="1:14">
      <c r="A25" s="3176" t="s">
        <v>3084</v>
      </c>
      <c r="B25" s="3176" t="s">
        <v>3009</v>
      </c>
      <c r="C25" s="3176" t="s">
        <v>3010</v>
      </c>
      <c r="D25" s="3176">
        <v>11383</v>
      </c>
      <c r="E25" s="3176">
        <v>27319.200000000001</v>
      </c>
      <c r="F25" s="3176" t="s">
        <v>3085</v>
      </c>
      <c r="G25" s="3176" t="s">
        <v>3012</v>
      </c>
      <c r="H25" s="3176" t="s">
        <v>3086</v>
      </c>
      <c r="I25" s="3176">
        <v>1150</v>
      </c>
      <c r="J25" s="3176">
        <v>1180</v>
      </c>
      <c r="K25" s="3176">
        <v>431.93</v>
      </c>
      <c r="L25" s="3177">
        <f t="shared" si="0"/>
        <v>1036.6300000000001</v>
      </c>
      <c r="M25" s="3176">
        <v>2.61</v>
      </c>
      <c r="N25" s="3176" t="s">
        <v>3087</v>
      </c>
    </row>
    <row r="26" spans="1:14">
      <c r="A26" s="3176" t="s">
        <v>3088</v>
      </c>
      <c r="B26" s="3176" t="s">
        <v>3009</v>
      </c>
      <c r="C26" s="3176" t="s">
        <v>3010</v>
      </c>
      <c r="D26" s="3176">
        <v>56230</v>
      </c>
      <c r="E26" s="3176">
        <v>123706</v>
      </c>
      <c r="F26" s="3176" t="s">
        <v>3089</v>
      </c>
      <c r="G26" s="3176" t="s">
        <v>3012</v>
      </c>
      <c r="H26" s="3176" t="s">
        <v>3086</v>
      </c>
      <c r="I26" s="3176">
        <v>49488</v>
      </c>
      <c r="J26" s="3176">
        <v>49888</v>
      </c>
      <c r="K26" s="3176">
        <v>4032.78</v>
      </c>
      <c r="L26" s="3177">
        <f t="shared" si="0"/>
        <v>8872.1299999999992</v>
      </c>
      <c r="M26" s="3176">
        <v>0.81</v>
      </c>
      <c r="N26" s="3176" t="s">
        <v>3090</v>
      </c>
    </row>
    <row r="27" spans="1:14">
      <c r="A27" s="3176" t="s">
        <v>3091</v>
      </c>
      <c r="B27" s="3176" t="s">
        <v>3009</v>
      </c>
      <c r="C27" s="3176" t="s">
        <v>3010</v>
      </c>
      <c r="D27" s="3176">
        <v>42244</v>
      </c>
      <c r="E27" s="3176">
        <v>92936.8</v>
      </c>
      <c r="F27" s="3176" t="s">
        <v>3089</v>
      </c>
      <c r="G27" s="3176" t="s">
        <v>3012</v>
      </c>
      <c r="H27" s="3176" t="s">
        <v>3086</v>
      </c>
      <c r="I27" s="3176">
        <v>37178</v>
      </c>
      <c r="J27" s="3176">
        <v>37578</v>
      </c>
      <c r="K27" s="3176">
        <v>4043.38</v>
      </c>
      <c r="L27" s="3177">
        <f t="shared" si="0"/>
        <v>8895.4599999999991</v>
      </c>
      <c r="M27" s="3176">
        <v>1.08</v>
      </c>
      <c r="N27" s="3176" t="s">
        <v>3092</v>
      </c>
    </row>
    <row r="28" spans="1:14">
      <c r="A28" s="3176" t="s">
        <v>3093</v>
      </c>
      <c r="B28" s="3176" t="s">
        <v>3009</v>
      </c>
      <c r="C28" s="3176" t="s">
        <v>3010</v>
      </c>
      <c r="D28" s="3176">
        <v>58403</v>
      </c>
      <c r="E28" s="3176">
        <v>128486.6</v>
      </c>
      <c r="F28" s="3176" t="s">
        <v>3094</v>
      </c>
      <c r="G28" s="3176" t="s">
        <v>3012</v>
      </c>
      <c r="H28" s="3176" t="s">
        <v>3095</v>
      </c>
      <c r="I28" s="3176">
        <v>11600</v>
      </c>
      <c r="J28" s="3176">
        <v>11750</v>
      </c>
      <c r="K28" s="3176">
        <v>914.49</v>
      </c>
      <c r="L28" s="3177">
        <f t="shared" si="0"/>
        <v>2011.88</v>
      </c>
      <c r="M28" s="3176">
        <v>1.29</v>
      </c>
      <c r="N28" s="3176" t="s">
        <v>3096</v>
      </c>
    </row>
    <row r="29" spans="1:14">
      <c r="A29" s="3176" t="s">
        <v>3097</v>
      </c>
      <c r="B29" s="3176" t="s">
        <v>3009</v>
      </c>
      <c r="C29" s="3176" t="s">
        <v>3010</v>
      </c>
      <c r="D29" s="3176">
        <v>1380</v>
      </c>
      <c r="E29" s="3176">
        <v>2208</v>
      </c>
      <c r="F29" s="3176" t="s">
        <v>3098</v>
      </c>
      <c r="G29" s="3176" t="s">
        <v>3012</v>
      </c>
      <c r="H29" s="3176" t="s">
        <v>3099</v>
      </c>
      <c r="I29" s="3176">
        <v>115</v>
      </c>
      <c r="J29" s="3176">
        <v>117</v>
      </c>
      <c r="K29" s="3176">
        <v>529.88</v>
      </c>
      <c r="L29" s="3177">
        <f t="shared" si="0"/>
        <v>847.83</v>
      </c>
      <c r="M29" s="3176">
        <v>1.74</v>
      </c>
      <c r="N29" s="3176" t="s">
        <v>3100</v>
      </c>
    </row>
    <row r="30" spans="1:14">
      <c r="A30" s="3176" t="s">
        <v>3101</v>
      </c>
      <c r="B30" s="3176" t="s">
        <v>3009</v>
      </c>
      <c r="C30" s="3176" t="s">
        <v>3010</v>
      </c>
      <c r="D30" s="3176">
        <v>70000</v>
      </c>
      <c r="E30" s="3176">
        <v>140000</v>
      </c>
      <c r="F30" s="3176" t="s">
        <v>3030</v>
      </c>
      <c r="G30" s="3176" t="s">
        <v>3012</v>
      </c>
      <c r="H30" s="3176" t="s">
        <v>3102</v>
      </c>
      <c r="I30" s="3176">
        <v>22400</v>
      </c>
      <c r="J30" s="3176">
        <v>48500</v>
      </c>
      <c r="K30" s="3176">
        <v>3464.28</v>
      </c>
      <c r="L30" s="3177">
        <f t="shared" si="0"/>
        <v>6928.57</v>
      </c>
      <c r="M30" s="3176">
        <v>116.52</v>
      </c>
      <c r="N30" s="3176" t="s">
        <v>3103</v>
      </c>
    </row>
    <row r="31" spans="1:14">
      <c r="A31" s="3176" t="s">
        <v>3104</v>
      </c>
      <c r="B31" s="3176" t="s">
        <v>3009</v>
      </c>
      <c r="C31" s="3176" t="s">
        <v>3010</v>
      </c>
      <c r="D31" s="3176">
        <v>57534</v>
      </c>
      <c r="E31" s="3176">
        <v>126574.8</v>
      </c>
      <c r="F31" s="3176" t="s">
        <v>3089</v>
      </c>
      <c r="G31" s="3176" t="s">
        <v>3012</v>
      </c>
      <c r="H31" s="3176" t="s">
        <v>3102</v>
      </c>
      <c r="I31" s="3176">
        <v>25918</v>
      </c>
      <c r="J31" s="3176">
        <v>57918</v>
      </c>
      <c r="K31" s="3176">
        <v>4575.78</v>
      </c>
      <c r="L31" s="3177">
        <f t="shared" si="0"/>
        <v>10066.74</v>
      </c>
      <c r="M31" s="3176">
        <v>123.47</v>
      </c>
      <c r="N31" s="3176" t="s">
        <v>3105</v>
      </c>
    </row>
    <row r="32" spans="1:14">
      <c r="A32" s="3176" t="s">
        <v>3106</v>
      </c>
      <c r="B32" s="3176" t="s">
        <v>3009</v>
      </c>
      <c r="C32" s="3176" t="s">
        <v>3010</v>
      </c>
      <c r="D32" s="3176">
        <v>63928</v>
      </c>
      <c r="E32" s="3176">
        <v>140641.60000000001</v>
      </c>
      <c r="F32" s="3176" t="s">
        <v>3089</v>
      </c>
      <c r="G32" s="3176" t="s">
        <v>3012</v>
      </c>
      <c r="H32" s="3176" t="s">
        <v>3102</v>
      </c>
      <c r="I32" s="3176">
        <v>29688</v>
      </c>
      <c r="J32" s="3176">
        <v>61688</v>
      </c>
      <c r="K32" s="3176">
        <v>4386.18</v>
      </c>
      <c r="L32" s="3177">
        <f t="shared" si="0"/>
        <v>9649.61</v>
      </c>
      <c r="M32" s="3176">
        <v>107.79</v>
      </c>
      <c r="N32" s="3176" t="s">
        <v>3105</v>
      </c>
    </row>
    <row r="33" spans="1:14">
      <c r="A33" s="3176" t="s">
        <v>3107</v>
      </c>
      <c r="B33" s="3176" t="s">
        <v>3009</v>
      </c>
      <c r="C33" s="3176" t="s">
        <v>3010</v>
      </c>
      <c r="D33" s="3176">
        <v>23748</v>
      </c>
      <c r="E33" s="3176">
        <v>42746.400000000001</v>
      </c>
      <c r="F33" s="3176" t="s">
        <v>3020</v>
      </c>
      <c r="G33" s="3176" t="s">
        <v>3012</v>
      </c>
      <c r="H33" s="3176" t="s">
        <v>3108</v>
      </c>
      <c r="I33" s="3176">
        <v>9408</v>
      </c>
      <c r="J33" s="3176">
        <v>20508</v>
      </c>
      <c r="K33" s="3176">
        <v>4797.6000000000004</v>
      </c>
      <c r="L33" s="3177">
        <f t="shared" si="0"/>
        <v>8635.67</v>
      </c>
      <c r="M33" s="3176">
        <v>117.98</v>
      </c>
      <c r="N33" s="3176" t="s">
        <v>3103</v>
      </c>
    </row>
    <row r="34" spans="1:14">
      <c r="A34" s="3176" t="s">
        <v>3109</v>
      </c>
      <c r="B34" s="3176" t="s">
        <v>3009</v>
      </c>
      <c r="C34" s="3176" t="s">
        <v>3010</v>
      </c>
      <c r="D34" s="3176">
        <v>633</v>
      </c>
      <c r="E34" s="3176">
        <v>696.3</v>
      </c>
      <c r="F34" s="3176" t="s">
        <v>3011</v>
      </c>
      <c r="G34" s="3176" t="s">
        <v>3012</v>
      </c>
      <c r="H34" s="3176" t="s">
        <v>3110</v>
      </c>
      <c r="I34" s="3176">
        <v>57</v>
      </c>
      <c r="J34" s="3176">
        <v>58</v>
      </c>
      <c r="K34" s="3176">
        <v>832.97</v>
      </c>
      <c r="L34" s="3177">
        <f t="shared" si="0"/>
        <v>916.27</v>
      </c>
      <c r="M34" s="3176">
        <v>1.75</v>
      </c>
      <c r="N34" s="3176" t="s">
        <v>3111</v>
      </c>
    </row>
    <row r="35" spans="1:14">
      <c r="A35" s="3176" t="s">
        <v>3112</v>
      </c>
      <c r="B35" s="3176" t="s">
        <v>3009</v>
      </c>
      <c r="C35" s="3176" t="s">
        <v>3010</v>
      </c>
      <c r="D35" s="3176">
        <v>61021</v>
      </c>
      <c r="E35" s="3176">
        <v>115939.9</v>
      </c>
      <c r="F35" s="3176" t="s">
        <v>3113</v>
      </c>
      <c r="G35" s="3176" t="s">
        <v>3012</v>
      </c>
      <c r="H35" s="3176" t="s">
        <v>3114</v>
      </c>
      <c r="I35" s="3176" t="s">
        <v>2816</v>
      </c>
      <c r="J35" s="3176">
        <v>2600</v>
      </c>
      <c r="K35" s="3176">
        <v>224.25</v>
      </c>
      <c r="L35" s="3177">
        <f t="shared" si="0"/>
        <v>426.08</v>
      </c>
      <c r="M35" s="3176" t="s">
        <v>2816</v>
      </c>
      <c r="N35" s="3176" t="s">
        <v>3115</v>
      </c>
    </row>
    <row r="36" spans="1:14">
      <c r="A36" s="3176" t="s">
        <v>3116</v>
      </c>
      <c r="B36" s="3176" t="s">
        <v>3009</v>
      </c>
      <c r="C36" s="3176" t="s">
        <v>3010</v>
      </c>
      <c r="D36" s="3176">
        <v>30207</v>
      </c>
      <c r="E36" s="3176">
        <v>60414</v>
      </c>
      <c r="F36" s="3176" t="s">
        <v>3117</v>
      </c>
      <c r="G36" s="3176" t="s">
        <v>3012</v>
      </c>
      <c r="H36" s="3176" t="s">
        <v>3114</v>
      </c>
      <c r="I36" s="3176" t="s">
        <v>2816</v>
      </c>
      <c r="J36" s="3176">
        <v>1830</v>
      </c>
      <c r="K36" s="3176">
        <v>302.91000000000003</v>
      </c>
      <c r="L36" s="3177">
        <f t="shared" si="0"/>
        <v>605.82000000000005</v>
      </c>
      <c r="M36" s="3176" t="s">
        <v>2816</v>
      </c>
      <c r="N36" s="3176" t="s">
        <v>3115</v>
      </c>
    </row>
    <row r="37" spans="1:14">
      <c r="A37" s="3176" t="s">
        <v>3118</v>
      </c>
      <c r="B37" s="3176" t="s">
        <v>3009</v>
      </c>
      <c r="C37" s="3176" t="s">
        <v>3010</v>
      </c>
      <c r="D37" s="3176">
        <v>4911</v>
      </c>
      <c r="E37" s="3176">
        <v>6875.4</v>
      </c>
      <c r="F37" s="3176" t="s">
        <v>3119</v>
      </c>
      <c r="G37" s="3176" t="s">
        <v>3012</v>
      </c>
      <c r="H37" s="3176" t="s">
        <v>3120</v>
      </c>
      <c r="I37" s="3176">
        <v>458</v>
      </c>
      <c r="J37" s="3176">
        <v>463</v>
      </c>
      <c r="K37" s="3176">
        <v>673.41</v>
      </c>
      <c r="L37" s="3177">
        <f t="shared" si="0"/>
        <v>942.78</v>
      </c>
      <c r="M37" s="3176">
        <v>1.0900000000000001</v>
      </c>
      <c r="N37" s="3176" t="s">
        <v>3121</v>
      </c>
    </row>
    <row r="38" spans="1:14">
      <c r="A38" s="3176" t="s">
        <v>3122</v>
      </c>
      <c r="B38" s="3176" t="s">
        <v>3009</v>
      </c>
      <c r="C38" s="3176" t="s">
        <v>3010</v>
      </c>
      <c r="D38" s="3176">
        <v>38105</v>
      </c>
      <c r="E38" s="3176">
        <v>64778.5</v>
      </c>
      <c r="F38" s="3176" t="s">
        <v>3123</v>
      </c>
      <c r="G38" s="3176" t="s">
        <v>3012</v>
      </c>
      <c r="H38" s="3176" t="s">
        <v>3124</v>
      </c>
      <c r="I38" s="3176">
        <v>12000</v>
      </c>
      <c r="J38" s="3176">
        <v>13650</v>
      </c>
      <c r="K38" s="3176">
        <v>2107.17</v>
      </c>
      <c r="L38" s="3177">
        <f t="shared" si="0"/>
        <v>3582.21</v>
      </c>
      <c r="M38" s="3176">
        <v>13.75</v>
      </c>
      <c r="N38" s="3176" t="s">
        <v>3125</v>
      </c>
    </row>
    <row r="39" spans="1:14">
      <c r="A39" s="3176" t="s">
        <v>3126</v>
      </c>
      <c r="B39" s="3176" t="s">
        <v>3009</v>
      </c>
      <c r="C39" s="3176" t="s">
        <v>3010</v>
      </c>
      <c r="D39" s="3176">
        <v>16970</v>
      </c>
      <c r="E39" s="3176">
        <v>44970.5</v>
      </c>
      <c r="F39" s="3176" t="s">
        <v>3127</v>
      </c>
      <c r="G39" s="3176" t="s">
        <v>3012</v>
      </c>
      <c r="H39" s="3176" t="s">
        <v>3128</v>
      </c>
      <c r="I39" s="3176">
        <v>815</v>
      </c>
      <c r="J39" s="3176">
        <v>820</v>
      </c>
      <c r="K39" s="3176">
        <v>182.34</v>
      </c>
      <c r="L39" s="3177">
        <f t="shared" si="0"/>
        <v>483.21</v>
      </c>
      <c r="M39" s="3176">
        <v>0.61</v>
      </c>
      <c r="N39" s="3176" t="s">
        <v>3083</v>
      </c>
    </row>
    <row r="40" spans="1:14">
      <c r="A40" s="3176" t="s">
        <v>3129</v>
      </c>
      <c r="B40" s="3176" t="s">
        <v>3009</v>
      </c>
      <c r="C40" s="3176" t="s">
        <v>3010</v>
      </c>
      <c r="D40" s="3176">
        <v>1449</v>
      </c>
      <c r="E40" s="3176">
        <v>1593.9</v>
      </c>
      <c r="F40" s="3176" t="s">
        <v>3130</v>
      </c>
      <c r="G40" s="3176" t="s">
        <v>3012</v>
      </c>
      <c r="H40" s="3176" t="s">
        <v>3128</v>
      </c>
      <c r="I40" s="3176">
        <v>190</v>
      </c>
      <c r="J40" s="3176">
        <v>190</v>
      </c>
      <c r="K40" s="3176">
        <v>1192.03</v>
      </c>
      <c r="L40" s="3177">
        <f t="shared" si="0"/>
        <v>1311.25</v>
      </c>
      <c r="M40" s="3176">
        <v>0</v>
      </c>
      <c r="N40" s="3176" t="s">
        <v>3131</v>
      </c>
    </row>
    <row r="41" spans="1:14">
      <c r="A41" s="3176" t="s">
        <v>3132</v>
      </c>
      <c r="B41" s="3176" t="s">
        <v>3009</v>
      </c>
      <c r="C41" s="3176" t="s">
        <v>3010</v>
      </c>
      <c r="D41" s="3176">
        <v>60509</v>
      </c>
      <c r="E41" s="3176">
        <v>111941.6</v>
      </c>
      <c r="F41" s="3176" t="s">
        <v>3133</v>
      </c>
      <c r="G41" s="3176" t="s">
        <v>3012</v>
      </c>
      <c r="H41" s="3176" t="s">
        <v>3128</v>
      </c>
      <c r="I41" s="3176">
        <v>10755</v>
      </c>
      <c r="J41" s="3176">
        <v>10805</v>
      </c>
      <c r="K41" s="3176">
        <v>965.24</v>
      </c>
      <c r="L41" s="3177">
        <f t="shared" si="0"/>
        <v>1785.68</v>
      </c>
      <c r="M41" s="3176">
        <v>0.46</v>
      </c>
      <c r="N41" s="3176" t="s">
        <v>3070</v>
      </c>
    </row>
    <row r="42" spans="1:14">
      <c r="A42" s="3176" t="s">
        <v>3134</v>
      </c>
      <c r="B42" s="3176" t="s">
        <v>3009</v>
      </c>
      <c r="C42" s="3176" t="s">
        <v>3010</v>
      </c>
      <c r="D42" s="3176">
        <v>15463</v>
      </c>
      <c r="E42" s="3176">
        <v>42523.25</v>
      </c>
      <c r="F42" s="3176" t="s">
        <v>3135</v>
      </c>
      <c r="G42" s="3176" t="s">
        <v>3012</v>
      </c>
      <c r="H42" s="3176" t="s">
        <v>3136</v>
      </c>
      <c r="I42" s="3176">
        <v>658</v>
      </c>
      <c r="J42" s="3176">
        <v>663</v>
      </c>
      <c r="K42" s="3176">
        <v>155.9</v>
      </c>
      <c r="L42" s="3177">
        <f t="shared" si="0"/>
        <v>428.77</v>
      </c>
      <c r="M42" s="3176">
        <v>0.76</v>
      </c>
      <c r="N42" s="3176" t="s">
        <v>3028</v>
      </c>
    </row>
    <row r="43" spans="1:14">
      <c r="A43" s="3176" t="s">
        <v>3137</v>
      </c>
      <c r="B43" s="3176" t="s">
        <v>3009</v>
      </c>
      <c r="C43" s="3176" t="s">
        <v>3010</v>
      </c>
      <c r="D43" s="3176">
        <v>56501</v>
      </c>
      <c r="E43" s="3176">
        <v>79101.399999999994</v>
      </c>
      <c r="F43" s="3176" t="s">
        <v>3138</v>
      </c>
      <c r="G43" s="3176" t="s">
        <v>3012</v>
      </c>
      <c r="H43" s="3176" t="s">
        <v>3136</v>
      </c>
      <c r="I43" s="3176">
        <v>2402</v>
      </c>
      <c r="J43" s="3176">
        <v>2407</v>
      </c>
      <c r="K43" s="3176">
        <v>304.29000000000002</v>
      </c>
      <c r="L43" s="3177">
        <f t="shared" si="0"/>
        <v>426.01</v>
      </c>
      <c r="M43" s="3176">
        <v>0.21</v>
      </c>
      <c r="N43" s="3176" t="s">
        <v>3028</v>
      </c>
    </row>
    <row r="44" spans="1:14">
      <c r="A44" s="3176" t="s">
        <v>3139</v>
      </c>
      <c r="B44" s="3176" t="s">
        <v>3009</v>
      </c>
      <c r="C44" s="3176" t="s">
        <v>3010</v>
      </c>
      <c r="D44" s="3176">
        <v>2275</v>
      </c>
      <c r="E44" s="3176">
        <v>23375.3</v>
      </c>
      <c r="F44" s="3176" t="s">
        <v>3140</v>
      </c>
      <c r="G44" s="3176" t="s">
        <v>3012</v>
      </c>
      <c r="H44" s="3176" t="s">
        <v>3141</v>
      </c>
      <c r="I44" s="3176">
        <v>136</v>
      </c>
      <c r="J44" s="3176">
        <v>146</v>
      </c>
      <c r="K44" s="3176">
        <v>62.46</v>
      </c>
      <c r="L44" s="3177">
        <f t="shared" si="0"/>
        <v>641.76</v>
      </c>
      <c r="M44" s="3176">
        <v>7.35</v>
      </c>
      <c r="N44" s="3176" t="s">
        <v>3142</v>
      </c>
    </row>
    <row r="45" spans="1:14">
      <c r="A45" s="3176" t="s">
        <v>3143</v>
      </c>
      <c r="B45" s="3176" t="s">
        <v>3009</v>
      </c>
      <c r="C45" s="3176" t="s">
        <v>3010</v>
      </c>
      <c r="D45" s="3176">
        <v>35697</v>
      </c>
      <c r="E45" s="3176">
        <v>71394</v>
      </c>
      <c r="F45" s="3176" t="s">
        <v>3144</v>
      </c>
      <c r="G45" s="3176" t="s">
        <v>3012</v>
      </c>
      <c r="H45" s="3176" t="s">
        <v>3145</v>
      </c>
      <c r="I45" s="3176">
        <v>1520</v>
      </c>
      <c r="J45" s="3176">
        <v>1525</v>
      </c>
      <c r="K45" s="3176">
        <v>213.59</v>
      </c>
      <c r="L45" s="3177">
        <f t="shared" si="0"/>
        <v>427.21</v>
      </c>
      <c r="M45" s="3176">
        <v>0.33</v>
      </c>
      <c r="N45" s="3176" t="s">
        <v>3028</v>
      </c>
    </row>
    <row r="46" spans="1:14">
      <c r="A46" s="3176" t="s">
        <v>3146</v>
      </c>
      <c r="B46" s="3176" t="s">
        <v>3009</v>
      </c>
      <c r="C46" s="3176" t="s">
        <v>3010</v>
      </c>
      <c r="D46" s="3176">
        <v>44081</v>
      </c>
      <c r="E46" s="3176">
        <v>110202.5</v>
      </c>
      <c r="F46" s="3176" t="s">
        <v>3147</v>
      </c>
      <c r="G46" s="3176" t="s">
        <v>3012</v>
      </c>
      <c r="H46" s="3176" t="s">
        <v>3148</v>
      </c>
      <c r="I46" s="3176">
        <v>1874</v>
      </c>
      <c r="J46" s="3176">
        <v>1879</v>
      </c>
      <c r="K46" s="3176">
        <v>170.5</v>
      </c>
      <c r="L46" s="3177">
        <f t="shared" si="0"/>
        <v>426.26</v>
      </c>
      <c r="M46" s="3176">
        <v>0.27</v>
      </c>
      <c r="N46" s="3176" t="s">
        <v>3028</v>
      </c>
    </row>
    <row r="49" spans="11:12">
      <c r="K49" s="3176" t="s">
        <v>3182</v>
      </c>
      <c r="L49" s="3177" t="s">
        <v>3183</v>
      </c>
    </row>
    <row r="50" spans="11:12">
      <c r="K50" s="3176">
        <v>2018.3</v>
      </c>
      <c r="L50" s="3177">
        <v>0.71</v>
      </c>
    </row>
    <row r="51" spans="11:12">
      <c r="K51" s="3176">
        <v>2018.2</v>
      </c>
      <c r="L51" s="3177">
        <v>1.24</v>
      </c>
    </row>
    <row r="52" spans="11:12">
      <c r="K52" s="3176">
        <v>2018.1</v>
      </c>
      <c r="L52" s="3177">
        <v>0.92</v>
      </c>
    </row>
    <row r="53" spans="11:12">
      <c r="K53" s="3176">
        <v>2017.4</v>
      </c>
      <c r="L53" s="3177">
        <v>1.43</v>
      </c>
    </row>
    <row r="54" spans="11:12">
      <c r="K54" s="3176">
        <v>2017.3</v>
      </c>
      <c r="L54" s="3177">
        <v>2.17</v>
      </c>
    </row>
    <row r="55" spans="11:12">
      <c r="K55" s="3176">
        <v>2017.2</v>
      </c>
      <c r="L55" s="3177">
        <v>2.83</v>
      </c>
    </row>
    <row r="56" spans="11:12">
      <c r="K56" s="3176">
        <v>2017.1</v>
      </c>
      <c r="L56" s="3177">
        <v>1.68</v>
      </c>
    </row>
    <row r="57" spans="11:12">
      <c r="K57" s="3176">
        <v>2016.4</v>
      </c>
      <c r="L57" s="3177">
        <v>3.12</v>
      </c>
    </row>
    <row r="58" spans="11:12">
      <c r="K58" s="3176">
        <v>2016.3</v>
      </c>
      <c r="L58" s="3177">
        <v>3.15</v>
      </c>
    </row>
    <row r="59" spans="11:12">
      <c r="K59" s="3176">
        <v>2016.2</v>
      </c>
      <c r="L59" s="3177">
        <v>3.42</v>
      </c>
    </row>
    <row r="60" spans="11:12">
      <c r="K60" s="3176">
        <v>2016.1</v>
      </c>
      <c r="L60" s="3177">
        <v>2.23</v>
      </c>
    </row>
  </sheetData>
  <phoneticPr fontId="2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19" workbookViewId="0">
      <selection activeCell="O25" sqref="O25"/>
    </sheetView>
  </sheetViews>
  <sheetFormatPr defaultRowHeight="13.5"/>
  <sheetData>
    <row r="30" spans="1:1">
      <c r="A30" s="3204" t="s">
        <v>3251</v>
      </c>
    </row>
  </sheetData>
  <phoneticPr fontId="2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L17" sqref="L17"/>
    </sheetView>
  </sheetViews>
  <sheetFormatPr defaultRowHeight="13.5"/>
  <cols>
    <col min="1" max="4" width="9" style="3205"/>
    <col min="5" max="5" width="12.25" style="3205" customWidth="1"/>
    <col min="6" max="7" width="9" style="3205"/>
  </cols>
  <sheetData>
    <row r="1" spans="1:8">
      <c r="D1" s="3206" t="s">
        <v>3289</v>
      </c>
      <c r="E1" s="3206" t="s">
        <v>3290</v>
      </c>
      <c r="F1" s="3206" t="s">
        <v>3291</v>
      </c>
      <c r="G1" s="3206" t="s">
        <v>3292</v>
      </c>
    </row>
    <row r="2" spans="1:8">
      <c r="A2" s="3205">
        <v>1</v>
      </c>
      <c r="B2" s="3206" t="s">
        <v>3276</v>
      </c>
      <c r="C2" s="3206" t="s">
        <v>3277</v>
      </c>
      <c r="D2" s="3205">
        <f>'[7]数据-基础表'!$A$3</f>
        <v>44435</v>
      </c>
      <c r="E2" s="3205">
        <f>'[7]数据-基础表'!$B$3</f>
        <v>128445</v>
      </c>
      <c r="F2" s="3205">
        <f ca="1">[1]结果表!$G$19</f>
        <v>52729</v>
      </c>
      <c r="G2" s="3205">
        <f ca="1">[1]结果表!$G$20</f>
        <v>4106</v>
      </c>
    </row>
    <row r="3" spans="1:8">
      <c r="A3" s="3205">
        <v>2</v>
      </c>
      <c r="B3" s="3206" t="s">
        <v>3278</v>
      </c>
      <c r="C3" s="3206" t="s">
        <v>3279</v>
      </c>
      <c r="D3" s="3205">
        <f>'[8]数据-基础表'!$A$3</f>
        <v>44652</v>
      </c>
      <c r="E3" s="3205">
        <f>'[8]数据-基础表'!$B$3</f>
        <v>131917</v>
      </c>
      <c r="F3" s="3205">
        <f ca="1">[2]结果表!$G$19</f>
        <v>57665</v>
      </c>
      <c r="G3" s="3205">
        <f ca="1">[2]结果表!$G$20</f>
        <v>4371</v>
      </c>
    </row>
    <row r="4" spans="1:8">
      <c r="A4" s="3205">
        <v>3</v>
      </c>
      <c r="B4" s="3206" t="s">
        <v>3280</v>
      </c>
      <c r="C4" s="3206" t="s">
        <v>3286</v>
      </c>
      <c r="D4" s="3205">
        <f>'[9]数据-基础表'!$A$3</f>
        <v>27020</v>
      </c>
      <c r="E4" s="3205">
        <f>'[9]数据-基础表'!$B$3</f>
        <v>72545</v>
      </c>
      <c r="F4" s="3205">
        <f ca="1">[3]结果表!$G$19</f>
        <v>31039</v>
      </c>
      <c r="G4" s="3205">
        <f ca="1">[3]结果表!$G$20</f>
        <v>4279</v>
      </c>
    </row>
    <row r="5" spans="1:8">
      <c r="A5" s="3205">
        <v>4</v>
      </c>
      <c r="B5" s="3206" t="s">
        <v>3281</v>
      </c>
      <c r="C5" s="3206" t="s">
        <v>3287</v>
      </c>
      <c r="D5" s="3205">
        <f>'[10]数据-基础表'!$A$3</f>
        <v>21946</v>
      </c>
      <c r="E5" s="3205">
        <f>'[10]数据-基础表'!$B$3</f>
        <v>56036</v>
      </c>
      <c r="F5" s="3205">
        <f ca="1">[4]结果表!$G$19</f>
        <v>24032</v>
      </c>
      <c r="G5" s="3205">
        <f ca="1">[4]结果表!$G$20</f>
        <v>4289</v>
      </c>
    </row>
    <row r="6" spans="1:8">
      <c r="A6" s="3205">
        <v>5</v>
      </c>
      <c r="B6" s="3206" t="s">
        <v>3282</v>
      </c>
      <c r="C6" s="3206" t="s">
        <v>3288</v>
      </c>
      <c r="D6" s="3205">
        <f>'[11]数据-基础表'!$A$3</f>
        <v>18344.5</v>
      </c>
      <c r="E6" s="3205">
        <f>'[11]数据-基础表'!$B$3</f>
        <v>68439.159999999989</v>
      </c>
      <c r="F6" s="3205">
        <f ca="1">[5]结果表!$G$19</f>
        <v>21737</v>
      </c>
      <c r="G6" s="3205">
        <f ca="1">[5]结果表!$G$20</f>
        <v>3176</v>
      </c>
    </row>
    <row r="7" spans="1:8">
      <c r="A7" s="3205">
        <v>6</v>
      </c>
      <c r="B7" s="3206" t="s">
        <v>3283</v>
      </c>
      <c r="D7" s="3205">
        <f>'数据-基础表'!A3</f>
        <v>56910</v>
      </c>
      <c r="E7" s="3205">
        <f>'数据-基础表'!B3</f>
        <v>148752</v>
      </c>
      <c r="F7" s="3205">
        <f ca="1">结果表!G19</f>
        <v>43015</v>
      </c>
      <c r="G7" s="3205">
        <f ca="1">结果表!G20</f>
        <v>2892</v>
      </c>
    </row>
    <row r="8" spans="1:8">
      <c r="A8" s="3205">
        <v>7</v>
      </c>
      <c r="B8" s="3206" t="s">
        <v>3284</v>
      </c>
      <c r="C8" s="3206" t="s">
        <v>3285</v>
      </c>
      <c r="D8" s="3205">
        <f>'[12]数据-基础表'!$A$3</f>
        <v>69978.899999999994</v>
      </c>
      <c r="E8" s="3205">
        <f>'[12]数据-基础表'!$B$3</f>
        <v>121729.71999999999</v>
      </c>
      <c r="F8" s="3205">
        <f ca="1">[6]结果表!$G$19</f>
        <v>38089</v>
      </c>
      <c r="G8" s="3205">
        <f ca="1">[6]结果表!$G$20</f>
        <v>3129</v>
      </c>
    </row>
    <row r="9" spans="1:8">
      <c r="D9" s="3205">
        <f>SUM(D2:D8)</f>
        <v>283286.40000000002</v>
      </c>
      <c r="E9" s="3205">
        <f>SUM(E2:E8)</f>
        <v>727863.87999999989</v>
      </c>
      <c r="F9" s="3205">
        <f ca="1">SUM(F2:F8)</f>
        <v>268306</v>
      </c>
    </row>
    <row r="10" spans="1:8">
      <c r="F10" s="3205">
        <f>[13]典型户型修正!$S$22</f>
        <v>47333</v>
      </c>
    </row>
    <row r="11" spans="1:8">
      <c r="F11" s="3205">
        <f ca="1">F9+F10</f>
        <v>315639</v>
      </c>
    </row>
    <row r="13" spans="1:8">
      <c r="F13" s="3205">
        <v>262635</v>
      </c>
    </row>
    <row r="14" spans="1:8">
      <c r="F14" s="3205">
        <v>78438</v>
      </c>
    </row>
    <row r="15" spans="1:8">
      <c r="F15" s="3205">
        <f>F13+F14</f>
        <v>341073</v>
      </c>
      <c r="H15">
        <f ca="1">F11-F15</f>
        <v>-25434</v>
      </c>
    </row>
    <row r="16" spans="1:8">
      <c r="H16" s="3204" t="s">
        <v>3295</v>
      </c>
    </row>
  </sheetData>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2039</v>
      </c>
      <c r="B1" s="3224"/>
      <c r="C1" s="3224"/>
      <c r="D1" s="3224"/>
      <c r="E1" s="3224"/>
      <c r="F1" s="3224"/>
      <c r="G1" s="3224"/>
      <c r="H1" s="3224"/>
      <c r="I1" s="3224"/>
      <c r="J1" s="3224"/>
      <c r="K1" s="3224"/>
      <c r="L1" s="3224"/>
      <c r="M1" s="3224"/>
      <c r="N1" s="3224"/>
      <c r="O1" s="3224"/>
      <c r="P1" s="3224"/>
      <c r="Q1" s="3224"/>
      <c r="R1" s="3224"/>
    </row>
    <row r="2" spans="1:18">
      <c r="A2" s="1805" t="s">
        <v>2041</v>
      </c>
      <c r="B2" s="1805"/>
      <c r="C2" s="1805"/>
      <c r="D2" s="1805"/>
      <c r="E2" s="1805"/>
      <c r="F2" s="1805"/>
      <c r="G2" s="1805"/>
      <c r="H2" s="1805"/>
      <c r="I2" s="1806"/>
      <c r="J2" s="1806"/>
      <c r="K2" s="1807" t="str">
        <f>"估价期日："&amp;TEXT(项目基本情况!D3,"yyyy年m月d日;;")</f>
        <v>估价期日：2018年10月18日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5" t="s">
        <v>2030</v>
      </c>
      <c r="B3" s="3225" t="s">
        <v>2729</v>
      </c>
      <c r="C3" s="3226" t="s">
        <v>2031</v>
      </c>
      <c r="D3" s="3225" t="s">
        <v>2733</v>
      </c>
      <c r="E3" s="3220" t="s">
        <v>2032</v>
      </c>
      <c r="F3" s="3220"/>
      <c r="G3" s="3220"/>
      <c r="H3" s="3220" t="s">
        <v>2033</v>
      </c>
      <c r="I3" s="3220"/>
      <c r="J3" s="3220"/>
      <c r="K3" s="3226" t="s">
        <v>2034</v>
      </c>
      <c r="L3" s="3226" t="s">
        <v>2035</v>
      </c>
      <c r="M3" s="3225" t="s">
        <v>2730</v>
      </c>
      <c r="N3" s="3227" t="str">
        <f>"（分摊）"&amp;项目基本情况!B16&amp;"国有建设用地使用权面积/㎡"</f>
        <v>（分摊）出让国有建设用地使用权面积/㎡</v>
      </c>
      <c r="O3" s="3225" t="s">
        <v>2064</v>
      </c>
      <c r="P3" s="3226" t="s">
        <v>2044</v>
      </c>
      <c r="Q3" s="3226" t="s">
        <v>2065</v>
      </c>
      <c r="R3" s="3226" t="s">
        <v>2036</v>
      </c>
    </row>
    <row r="4" spans="1:18" ht="36.75" customHeight="1">
      <c r="A4" s="3225"/>
      <c r="B4" s="3225"/>
      <c r="C4" s="3226"/>
      <c r="D4" s="3225"/>
      <c r="E4" s="2647" t="s">
        <v>2043</v>
      </c>
      <c r="F4" s="2647" t="s">
        <v>2742</v>
      </c>
      <c r="G4" s="2647" t="s">
        <v>2037</v>
      </c>
      <c r="H4" s="2647" t="s">
        <v>2038</v>
      </c>
      <c r="I4" s="2647" t="s">
        <v>2743</v>
      </c>
      <c r="J4" s="2647" t="s">
        <v>2037</v>
      </c>
      <c r="K4" s="3226"/>
      <c r="L4" s="3226"/>
      <c r="M4" s="3225"/>
      <c r="N4" s="3227"/>
      <c r="O4" s="3225"/>
      <c r="P4" s="3226"/>
      <c r="Q4" s="3226"/>
      <c r="R4" s="3226"/>
    </row>
    <row r="5" spans="1:18" ht="135" customHeight="1">
      <c r="A5" s="1941" t="s">
        <v>2653</v>
      </c>
      <c r="B5" s="2865" t="s">
        <v>2651</v>
      </c>
      <c r="C5" s="2646">
        <v>22</v>
      </c>
      <c r="D5" s="2645" t="s">
        <v>2652</v>
      </c>
      <c r="E5" s="1808" t="str">
        <f>项目基本情况!B12</f>
        <v>城镇住宅、批发零售</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f>IF(项目基本情况!B16="出让",项目基本情况!D20,"——")</f>
        <v>0</v>
      </c>
      <c r="N5" s="1808">
        <f>项目基本情况!C22</f>
        <v>56910</v>
      </c>
      <c r="O5" s="1808">
        <f>项目基本情况!C21</f>
        <v>148752</v>
      </c>
      <c r="P5" s="1808">
        <f ca="1">结果表!E42</f>
        <v>7558</v>
      </c>
      <c r="Q5" s="1808">
        <f ca="1">结果表!D42</f>
        <v>2892</v>
      </c>
      <c r="R5" s="1809">
        <f ca="1">结果表!C42</f>
        <v>43015</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0">
        <f ca="1">结果表!O39</f>
        <v>43015</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0"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9" t="s">
        <v>2066</v>
      </c>
      <c r="B1" s="3229"/>
      <c r="C1" s="3229"/>
      <c r="D1" s="3229"/>
    </row>
    <row r="2" spans="1:4" ht="47.25" customHeight="1">
      <c r="A2" s="3230" t="str">
        <f>"1.权利限制："&amp;项目基本情况!L24&amp;"未设定租赁等其他他项权利。"</f>
        <v>1.权利限制：根据估价对象《不动产权证书》原件、，截至估价期日，估价对象抵押权未见登记。未设定租赁等其他他项权利。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28" t="s">
        <v>2067</v>
      </c>
      <c r="B5" s="3228"/>
      <c r="C5" s="3228"/>
      <c r="D5" s="3228"/>
    </row>
    <row r="6" spans="1:4">
      <c r="A6" s="3229" t="s">
        <v>2045</v>
      </c>
      <c r="B6" s="3229"/>
      <c r="C6" s="3229"/>
      <c r="D6" s="3229"/>
    </row>
    <row r="7" spans="1:4" ht="33" customHeight="1">
      <c r="A7" s="3229" t="s">
        <v>2574</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（1）根据估价对象《不动产权证书》原件、，截至估价期日，估价对象抵押权未见登记。</v>
      </c>
      <c r="B11" s="3231"/>
      <c r="C11" s="3231"/>
      <c r="D11" s="3231"/>
    </row>
    <row r="12" spans="1:4" ht="168" customHeight="1">
      <c r="A12" s="3228" t="s">
        <v>2069</v>
      </c>
      <c r="B12" s="3228"/>
      <c r="C12" s="3228"/>
      <c r="D12" s="3228"/>
    </row>
    <row r="13" spans="1:4">
      <c r="A13" s="3232" t="s">
        <v>2744</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2700</v>
      </c>
      <c r="B17" s="3229"/>
      <c r="C17" s="3229"/>
      <c r="D17" s="3229"/>
    </row>
    <row r="18" spans="1:4">
      <c r="A18" s="3229" t="s">
        <v>2692</v>
      </c>
      <c r="B18" s="3229"/>
      <c r="C18" s="3229"/>
      <c r="D18" s="3229"/>
    </row>
    <row r="19" spans="1:4">
      <c r="A19" s="2866" t="s">
        <v>2693</v>
      </c>
      <c r="B19" s="2866" t="s">
        <v>2694</v>
      </c>
      <c r="C19" s="2866" t="s">
        <v>2695</v>
      </c>
      <c r="D19" s="2866" t="s">
        <v>2696</v>
      </c>
    </row>
    <row r="20" spans="1:4">
      <c r="A20" s="2866" t="str">
        <f>项目基本情况!B4</f>
        <v>王鹏</v>
      </c>
      <c r="B20" s="2866">
        <f ca="1">项目基本情况!C4</f>
        <v>2002110030</v>
      </c>
      <c r="C20" s="2868"/>
      <c r="D20" s="1798" t="s">
        <v>2701</v>
      </c>
    </row>
    <row r="21" spans="1:4">
      <c r="A21" s="2866" t="str">
        <f>项目基本情况!D4</f>
        <v>郑燚</v>
      </c>
      <c r="B21" s="2866">
        <f>项目基本情况!E4</f>
        <v>2014110011</v>
      </c>
      <c r="C21" s="2868"/>
      <c r="D21" s="1798" t="s">
        <v>2702</v>
      </c>
    </row>
    <row r="23" spans="1:4">
      <c r="A23" s="3229" t="s">
        <v>2697</v>
      </c>
      <c r="B23" s="3229"/>
      <c r="C23" s="3229"/>
      <c r="D23" s="3229"/>
    </row>
    <row r="24" spans="1:4">
      <c r="A24" s="2866" t="s">
        <v>2693</v>
      </c>
      <c r="B24" s="2866" t="s">
        <v>2698</v>
      </c>
      <c r="C24" s="2866" t="s">
        <v>2695</v>
      </c>
      <c r="D24" s="2866" t="s">
        <v>2696</v>
      </c>
    </row>
    <row r="25" spans="1:4">
      <c r="A25" s="2869" t="s">
        <v>2699</v>
      </c>
      <c r="B25" s="2866" t="s">
        <v>951</v>
      </c>
      <c r="C25" s="2868"/>
      <c r="D25" s="1798" t="s">
        <v>2702</v>
      </c>
    </row>
    <row r="29" spans="1:4">
      <c r="D29" s="2867" t="s">
        <v>2040</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40" t="s">
        <v>53</v>
      </c>
      <c r="B15" s="3241" t="s">
        <v>845</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836</v>
      </c>
    </row>
    <row r="25" spans="1:3" ht="14.25">
      <c r="A25" s="3239"/>
      <c r="B25" s="3243"/>
      <c r="C25" s="1175" t="s">
        <v>837</v>
      </c>
    </row>
    <row r="26" spans="1:3" ht="14.25">
      <c r="A26" s="3239"/>
      <c r="B26" s="3243"/>
      <c r="C26" s="1175" t="s">
        <v>838</v>
      </c>
    </row>
    <row r="27" spans="1:3" ht="14.25">
      <c r="A27" s="3239"/>
      <c r="B27" s="3243"/>
      <c r="C27" s="1175" t="s">
        <v>839</v>
      </c>
    </row>
    <row r="28" spans="1:3" ht="14.25">
      <c r="A28" s="3239"/>
      <c r="B28" s="3243"/>
      <c r="C28" s="1175" t="s">
        <v>840</v>
      </c>
    </row>
    <row r="29" spans="1:3" ht="14.25">
      <c r="A29" s="3239"/>
      <c r="B29" s="3243"/>
      <c r="C29" s="1175" t="s">
        <v>841</v>
      </c>
    </row>
    <row r="30" spans="1:3" ht="14.25">
      <c r="A30" s="3239"/>
      <c r="B30" s="3243"/>
      <c r="C30" s="1175" t="s">
        <v>842</v>
      </c>
    </row>
    <row r="31" spans="1:3" ht="14.25">
      <c r="A31" s="3239"/>
      <c r="B31" s="3243"/>
      <c r="C31" s="1175" t="s">
        <v>843</v>
      </c>
    </row>
    <row r="32" spans="1:3" ht="14.25">
      <c r="A32" s="3239"/>
      <c r="B32" s="3243"/>
      <c r="C32" s="1175" t="s">
        <v>1646</v>
      </c>
    </row>
    <row r="33" spans="1:3" ht="14.25">
      <c r="A33" s="3239"/>
      <c r="B33" s="3233" t="s">
        <v>1652</v>
      </c>
      <c r="C33" s="1175" t="s">
        <v>1647</v>
      </c>
    </row>
    <row r="34" spans="1:3" ht="14.25">
      <c r="A34" s="3239"/>
      <c r="B34" s="3234"/>
      <c r="C34" s="1180" t="s">
        <v>1648</v>
      </c>
    </row>
    <row r="35" spans="1:3" ht="14.25">
      <c r="A35" s="3239"/>
      <c r="B35" s="3234"/>
      <c r="C35" s="1181" t="s">
        <v>1649</v>
      </c>
    </row>
    <row r="36" spans="1:3" ht="14.25">
      <c r="A36" s="3239"/>
      <c r="B36" s="3234"/>
      <c r="C36" s="1181" t="s">
        <v>1650</v>
      </c>
    </row>
    <row r="37" spans="1:3" ht="14.25">
      <c r="A37" s="3239"/>
      <c r="B37" s="323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43401</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f ca="1">IF(C10&lt;B2,"已过期",1120060040)</f>
        <v>1120060040</v>
      </c>
      <c r="C10" s="3003">
        <v>43483</v>
      </c>
      <c r="D10" s="2341" t="s">
        <v>1920</v>
      </c>
      <c r="E10" s="2341">
        <f ca="1">IF(F10&lt;B2,"已过期",2004110096)</f>
        <v>2004110096</v>
      </c>
      <c r="F10" s="3004">
        <v>47118</v>
      </c>
    </row>
    <row r="11" spans="1:6" ht="20.25" customHeight="1">
      <c r="A11" s="2341" t="s">
        <v>1921</v>
      </c>
      <c r="B11" s="2341">
        <f ca="1">IF(C11&lt;B2,"已过期",1120100036)</f>
        <v>1120100036</v>
      </c>
      <c r="C11" s="3003">
        <v>43622</v>
      </c>
      <c r="D11" s="2341" t="s">
        <v>1921</v>
      </c>
      <c r="E11" s="2341">
        <f ca="1">IF(F11&lt;B2,"已过期",2010110070)</f>
        <v>2010110070</v>
      </c>
      <c r="F11" s="3004">
        <v>47907</v>
      </c>
    </row>
    <row r="12" spans="1:6" ht="20.25" customHeight="1">
      <c r="A12" s="2341" t="s">
        <v>2971</v>
      </c>
      <c r="B12" s="2341">
        <v>1120110054</v>
      </c>
      <c r="C12" s="3003">
        <v>43937</v>
      </c>
      <c r="D12" s="2341" t="s">
        <v>2971</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f ca="1">IF(C14&lt;B2,"已过期",1120130020)</f>
        <v>1120130020</v>
      </c>
      <c r="C14" s="3003">
        <v>43622</v>
      </c>
      <c r="D14" s="2341"/>
      <c r="E14" s="2341"/>
      <c r="F14" s="2341"/>
    </row>
    <row r="15" spans="1:6" ht="20.25" customHeight="1">
      <c r="A15" s="2341" t="s">
        <v>2573</v>
      </c>
      <c r="B15" s="2341">
        <v>1120070085</v>
      </c>
      <c r="C15" s="3003">
        <v>43814</v>
      </c>
      <c r="D15" s="2341" t="s">
        <v>2573</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f ca="1">IF(C23&lt;B2,"已过期",1120130048)</f>
        <v>1120130048</v>
      </c>
      <c r="C23" s="3003">
        <v>43686</v>
      </c>
      <c r="D23" s="2341"/>
      <c r="E23" s="2341"/>
      <c r="F23" s="2341"/>
    </row>
    <row r="24" spans="1:7" s="2345" customFormat="1" ht="20.25" customHeight="1">
      <c r="A24" s="2343" t="s">
        <v>2054</v>
      </c>
      <c r="B24" s="2343" t="s">
        <v>2054</v>
      </c>
      <c r="C24" s="3003"/>
      <c r="D24" s="3005" t="s">
        <v>2054</v>
      </c>
      <c r="E24" s="2343" t="s">
        <v>2054</v>
      </c>
      <c r="F24" s="2344"/>
    </row>
    <row r="25" spans="1:7" ht="20.25" customHeight="1">
      <c r="A25" s="3244" t="s">
        <v>1928</v>
      </c>
      <c r="B25" s="3244"/>
      <c r="C25" s="3244"/>
      <c r="D25" s="3244"/>
      <c r="E25" s="3244"/>
      <c r="F25" s="3244"/>
      <c r="G25" s="3244"/>
    </row>
    <row r="26" spans="1:7" ht="20.25" customHeight="1">
      <c r="A26" s="3245" t="s">
        <v>1929</v>
      </c>
      <c r="B26" s="3245"/>
      <c r="C26" s="3245"/>
      <c r="D26" s="3245" t="s">
        <v>1930</v>
      </c>
      <c r="E26" s="3245"/>
      <c r="F26" s="3245"/>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06" t="s">
        <v>2949</v>
      </c>
      <c r="C18" s="1553"/>
    </row>
    <row r="19" spans="1:3">
      <c r="A19" s="8" t="s">
        <v>120</v>
      </c>
      <c r="B19" s="3106" t="s">
        <v>2957</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银杏路北侧、济川路东侧1号地块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46"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c r="D53" s="1765"/>
      <c r="E53" s="1765"/>
    </row>
    <row r="54" spans="1:5">
      <c r="A54" s="3246"/>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土地检索数据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2018-10-28T06:18:50Z</dcterms:modified>
</cp:coreProperties>
</file>