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defaultThemeVersion="124226"/>
  <mc:AlternateContent xmlns:mc="http://schemas.openxmlformats.org/markup-compatibility/2006">
    <mc:Choice Requires="x15">
      <x15ac:absPath xmlns:x15ac="http://schemas.microsoft.com/office/spreadsheetml/2010/11/ac" url="F:\军队两套房\2024-1-0920丰体时代花园\"/>
    </mc:Choice>
  </mc:AlternateContent>
  <xr:revisionPtr revIDLastSave="0" documentId="13_ncr:1_{B353B6DD-2056-44C2-82FD-C17C6D565722}" xr6:coauthVersionLast="47" xr6:coauthVersionMax="47" xr10:uidLastSave="{00000000-0000-0000-0000-000000000000}"/>
  <bookViews>
    <workbookView xWindow="-120" yWindow="-120" windowWidth="38640" windowHeight="21240" tabRatio="899" firstSheet="11" activeTab="19"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成本法 (元)" sheetId="69"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案例" sheetId="8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19">'比较法-住宅'!$A$1:$K$54,'比较法-住宅'!$A$57:$M$131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7" i="21" l="1"/>
  <c r="G47" i="21" l="1"/>
  <c r="G7" i="21"/>
  <c r="G33" i="21" l="1"/>
  <c r="I47" i="21"/>
  <c r="E47" i="21"/>
  <c r="I33" i="21"/>
  <c r="E33" i="21"/>
  <c r="C90" i="21"/>
  <c r="I27" i="21"/>
  <c r="F90" i="21" s="1"/>
  <c r="E90" i="21"/>
  <c r="E27" i="21"/>
  <c r="D90" i="21" s="1"/>
  <c r="N6" i="1"/>
  <c r="N18" i="1"/>
  <c r="I7" i="21"/>
  <c r="E7" i="21"/>
  <c r="I5" i="21"/>
  <c r="G5" i="21"/>
  <c r="E5" i="21"/>
  <c r="C6" i="69"/>
  <c r="D104" i="21" l="1"/>
  <c r="E104" i="21" s="1"/>
  <c r="F104" i="21" s="1"/>
  <c r="M41" i="21" l="1"/>
  <c r="D126" i="21" l="1"/>
  <c r="C126" i="21"/>
  <c r="M59" i="21"/>
  <c r="L59" i="21"/>
  <c r="D5" i="9" l="1"/>
  <c r="J59" i="21" l="1"/>
  <c r="I59" i="21"/>
  <c r="G59" i="21"/>
  <c r="F59" i="21"/>
  <c r="F19" i="6"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L17" i="79"/>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M26" i="79"/>
  <c r="P26" i="79" s="1"/>
  <c r="N26" i="79"/>
  <c r="S15" i="79"/>
  <c r="Z3" i="79"/>
  <c r="R13" i="79"/>
  <c r="V13" i="79"/>
  <c r="S14" i="79"/>
  <c r="T15" i="79"/>
  <c r="W15" i="79" s="1"/>
  <c r="U17" i="79"/>
  <c r="S28" i="79"/>
  <c r="AA26" i="79"/>
  <c r="AD26" i="79" s="1"/>
  <c r="T30" i="79"/>
  <c r="W30" i="79" s="1"/>
  <c r="U36" i="79"/>
  <c r="AD37" i="79"/>
  <c r="S38" i="79"/>
  <c r="U40" i="79"/>
  <c r="AD41" i="79"/>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W36" i="79" s="1"/>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5" i="62"/>
  <c r="A14" i="62"/>
  <c r="B60" i="72" s="1"/>
  <c r="A13" i="62"/>
  <c r="B59" i="72" s="1"/>
  <c r="A19" i="62"/>
  <c r="B65" i="72" s="1"/>
  <c r="A12" i="62"/>
  <c r="B58" i="72" s="1"/>
  <c r="A120" i="9"/>
  <c r="A6" i="52" s="1"/>
  <c r="B57" i="72" s="1"/>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C76" i="71"/>
  <c r="C75" i="71" s="1"/>
  <c r="B76" i="71"/>
  <c r="S76" i="71" s="1"/>
  <c r="Q75" i="71"/>
  <c r="P75" i="71"/>
  <c r="O75" i="71"/>
  <c r="N75" i="71"/>
  <c r="Q74" i="71"/>
  <c r="P74" i="71"/>
  <c r="O74" i="71"/>
  <c r="N74" i="71"/>
  <c r="Q73" i="71"/>
  <c r="P73" i="71"/>
  <c r="O73" i="71"/>
  <c r="N73" i="71"/>
  <c r="D73" i="71"/>
  <c r="Q72" i="71"/>
  <c r="P72" i="71"/>
  <c r="O72" i="71"/>
  <c r="N72" i="71"/>
  <c r="F72" i="71"/>
  <c r="E72" i="71"/>
  <c r="U72" i="71" s="1"/>
  <c r="C72" i="71"/>
  <c r="T72" i="71" s="1"/>
  <c r="B72" i="71"/>
  <c r="B71" i="71" s="1"/>
  <c r="B70" i="71" s="1"/>
  <c r="Q71" i="71"/>
  <c r="P71" i="71"/>
  <c r="O71" i="71"/>
  <c r="N71" i="71"/>
  <c r="Q70" i="71"/>
  <c r="P70" i="71"/>
  <c r="O70" i="71"/>
  <c r="N70" i="71"/>
  <c r="Q69" i="71"/>
  <c r="P69" i="71"/>
  <c r="O69" i="71"/>
  <c r="N69" i="71"/>
  <c r="D69" i="71"/>
  <c r="F68" i="71"/>
  <c r="F67" i="71" s="1"/>
  <c r="E68" i="71"/>
  <c r="E67" i="71" s="1"/>
  <c r="P67"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C59" i="71" s="1"/>
  <c r="C60"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N38" i="71"/>
  <c r="Q37" i="71"/>
  <c r="F38" i="71" s="1"/>
  <c r="F39" i="71" s="1"/>
  <c r="P37" i="71"/>
  <c r="E38" i="71" s="1"/>
  <c r="O37" i="71"/>
  <c r="N37" i="71"/>
  <c r="B38" i="71" s="1"/>
  <c r="D37" i="71"/>
  <c r="Q36" i="71"/>
  <c r="P36" i="71"/>
  <c r="O36" i="71"/>
  <c r="N36" i="71"/>
  <c r="Q35" i="71"/>
  <c r="P35" i="71"/>
  <c r="O35" i="71"/>
  <c r="N35" i="71"/>
  <c r="Q34" i="71"/>
  <c r="P34" i="71"/>
  <c r="O34" i="71"/>
  <c r="N34" i="71"/>
  <c r="Q33" i="71"/>
  <c r="F34" i="71" s="1"/>
  <c r="P33" i="71"/>
  <c r="O33" i="71"/>
  <c r="C34" i="71" s="1"/>
  <c r="N33" i="71"/>
  <c r="B34" i="71" s="1"/>
  <c r="B35" i="71" s="1"/>
  <c r="B36" i="71" s="1"/>
  <c r="S36" i="71" s="1"/>
  <c r="D33" i="71"/>
  <c r="Q32" i="71"/>
  <c r="P32" i="71"/>
  <c r="O32" i="71"/>
  <c r="N32" i="71"/>
  <c r="Q31" i="71"/>
  <c r="P31" i="71"/>
  <c r="O31" i="71"/>
  <c r="N31" i="71"/>
  <c r="Q30" i="71"/>
  <c r="P30" i="71"/>
  <c r="O30" i="71"/>
  <c r="N30" i="71"/>
  <c r="Q29" i="71"/>
  <c r="F30" i="71" s="1"/>
  <c r="P29" i="71"/>
  <c r="O29" i="71"/>
  <c r="N29" i="71"/>
  <c r="D29" i="71"/>
  <c r="O28" i="71"/>
  <c r="C28" i="71" s="1"/>
  <c r="N28" i="71"/>
  <c r="B28" i="71" s="1"/>
  <c r="B27" i="71" s="1"/>
  <c r="B30" i="71"/>
  <c r="B31" i="71" s="1"/>
  <c r="B32" i="71" s="1"/>
  <c r="S32" i="71" s="1"/>
  <c r="N68" i="71"/>
  <c r="C30" i="71"/>
  <c r="P28" i="71"/>
  <c r="E28" i="71" s="1"/>
  <c r="Q28" i="71"/>
  <c r="F28" i="71" s="1"/>
  <c r="C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E83" i="21" s="1"/>
  <c r="F83" i="21" s="1"/>
  <c r="G83" i="21" s="1"/>
  <c r="F21" i="21"/>
  <c r="AA21" i="21" s="1"/>
  <c r="D81" i="21"/>
  <c r="F19" i="21" s="1"/>
  <c r="AA19" i="21" s="1"/>
  <c r="G20" i="20"/>
  <c r="C25" i="40" s="1"/>
  <c r="C22" i="20"/>
  <c r="C29" i="39" s="1"/>
  <c r="H25" i="40"/>
  <c r="J25" i="40"/>
  <c r="H29" i="39"/>
  <c r="AB29" i="39" s="1"/>
  <c r="J29" i="39"/>
  <c r="AC29" i="39" s="1"/>
  <c r="J18" i="36"/>
  <c r="H18" i="35"/>
  <c r="AB18" i="35" s="1"/>
  <c r="J18" i="35"/>
  <c r="H21" i="37"/>
  <c r="AB21" i="37" s="1"/>
  <c r="F21" i="37"/>
  <c r="H21" i="34"/>
  <c r="H21" i="33"/>
  <c r="F21" i="33"/>
  <c r="AA21" i="33" s="1"/>
  <c r="H1" i="69"/>
  <c r="S21" i="33"/>
  <c r="J21" i="37"/>
  <c r="J21" i="34"/>
  <c r="W21" i="34" s="1"/>
  <c r="J21" i="33"/>
  <c r="W21" i="33" s="1"/>
  <c r="H21" i="21"/>
  <c r="U21" i="21" s="1"/>
  <c r="F38" i="69"/>
  <c r="E37" i="69"/>
  <c r="F36" i="69"/>
  <c r="F35" i="69"/>
  <c r="F21" i="69"/>
  <c r="F20" i="69"/>
  <c r="F39" i="69" s="1"/>
  <c r="E10" i="69"/>
  <c r="E9"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J30" i="36"/>
  <c r="H30" i="36"/>
  <c r="F30" i="36"/>
  <c r="AA30" i="36" s="1"/>
  <c r="C26" i="35"/>
  <c r="C79" i="35" s="1"/>
  <c r="J31" i="35"/>
  <c r="H31" i="35"/>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F42" i="34"/>
  <c r="S42" i="34" s="1"/>
  <c r="J38" i="34"/>
  <c r="W38" i="34" s="1"/>
  <c r="D114" i="34"/>
  <c r="F38" i="34"/>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F39" i="40" s="1"/>
  <c r="AA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U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s="1"/>
  <c r="G94" i="39" s="1"/>
  <c r="D92" i="39"/>
  <c r="E92" i="39" s="1"/>
  <c r="F92" i="39" s="1"/>
  <c r="G92" i="39" s="1"/>
  <c r="D90" i="39"/>
  <c r="E90" i="39" s="1"/>
  <c r="F90" i="39" s="1"/>
  <c r="G90" i="39" s="1"/>
  <c r="D88" i="39"/>
  <c r="E88" i="39" s="1"/>
  <c r="F88" i="39" s="1"/>
  <c r="G88" i="39" s="1"/>
  <c r="B85" i="39"/>
  <c r="B83" i="39"/>
  <c r="H13" i="39" s="1"/>
  <c r="U13" i="39" s="1"/>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F38" i="37" s="1"/>
  <c r="S38" i="37" s="1"/>
  <c r="C23" i="37"/>
  <c r="C19" i="37"/>
  <c r="C17" i="37"/>
  <c r="C15" i="37"/>
  <c r="B112" i="37"/>
  <c r="J40" i="37" s="1"/>
  <c r="W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D73" i="37"/>
  <c r="E73" i="37" s="1"/>
  <c r="F73" i="37" s="1"/>
  <c r="G73" i="37" s="1"/>
  <c r="D71" i="37"/>
  <c r="E71" i="37" s="1"/>
  <c r="F71" i="37" s="1"/>
  <c r="G71" i="37" s="1"/>
  <c r="H15" i="37"/>
  <c r="AB15" i="37" s="1"/>
  <c r="B68" i="37"/>
  <c r="H14" i="37" s="1"/>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AB33" i="36" s="1"/>
  <c r="B91" i="36"/>
  <c r="F32" i="36" s="1"/>
  <c r="AA32" i="36" s="1"/>
  <c r="B95" i="36"/>
  <c r="F34" i="36" s="1"/>
  <c r="S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F23" i="36" s="1"/>
  <c r="D70" i="36"/>
  <c r="H22" i="36"/>
  <c r="AB22" i="36" s="1"/>
  <c r="D68" i="36"/>
  <c r="E68" i="36" s="1"/>
  <c r="F68" i="36" s="1"/>
  <c r="G68" i="36" s="1"/>
  <c r="D64" i="36"/>
  <c r="E64" i="36" s="1"/>
  <c r="F64" i="36" s="1"/>
  <c r="G64" i="36" s="1"/>
  <c r="J16" i="36"/>
  <c r="W16" i="36" s="1"/>
  <c r="D62" i="36"/>
  <c r="E62" i="36" s="1"/>
  <c r="F62" i="36" s="1"/>
  <c r="G62" i="36" s="1"/>
  <c r="B59" i="36"/>
  <c r="F13" i="36" s="1"/>
  <c r="S13" i="36" s="1"/>
  <c r="B57" i="36"/>
  <c r="F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F35" i="35" s="1"/>
  <c r="S35" i="35" s="1"/>
  <c r="B97" i="35"/>
  <c r="H34" i="35" s="1"/>
  <c r="B77" i="35"/>
  <c r="F25" i="35" s="1"/>
  <c r="S25" i="35" s="1"/>
  <c r="B75" i="35"/>
  <c r="J24" i="35" s="1"/>
  <c r="AC24" i="35" s="1"/>
  <c r="B73" i="35"/>
  <c r="B57" i="35"/>
  <c r="H11" i="35" s="1"/>
  <c r="AB11" i="35" s="1"/>
  <c r="B61" i="35"/>
  <c r="F13" i="35" s="1"/>
  <c r="B59" i="35"/>
  <c r="B131" i="34"/>
  <c r="B129" i="34"/>
  <c r="B127" i="34"/>
  <c r="F45" i="34" s="1"/>
  <c r="B99" i="34"/>
  <c r="J32" i="34" s="1"/>
  <c r="W32" i="34" s="1"/>
  <c r="B97" i="34"/>
  <c r="B95" i="34"/>
  <c r="J30" i="34" s="1"/>
  <c r="B93" i="34"/>
  <c r="F29" i="34" s="1"/>
  <c r="S29" i="34" s="1"/>
  <c r="B75" i="34"/>
  <c r="J14" i="34" s="1"/>
  <c r="W14" i="34" s="1"/>
  <c r="B73" i="34"/>
  <c r="B71" i="34"/>
  <c r="J12" i="34" s="1"/>
  <c r="W12" i="34" s="1"/>
  <c r="B130" i="33"/>
  <c r="F46" i="33" s="1"/>
  <c r="AA46" i="33" s="1"/>
  <c r="B128" i="33"/>
  <c r="H45" i="33" s="1"/>
  <c r="B126" i="33"/>
  <c r="B98" i="33"/>
  <c r="F31" i="33" s="1"/>
  <c r="AA31" i="33" s="1"/>
  <c r="B96" i="33"/>
  <c r="F30" i="33" s="1"/>
  <c r="S30" i="33" s="1"/>
  <c r="B94" i="33"/>
  <c r="F29" i="33" s="1"/>
  <c r="B74" i="33"/>
  <c r="B72" i="33"/>
  <c r="F13" i="33" s="1"/>
  <c r="B70" i="33"/>
  <c r="H12" i="33" s="1"/>
  <c r="U12" i="33" s="1"/>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W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AA27" i="33" s="1"/>
  <c r="D87" i="33"/>
  <c r="E87" i="33" s="1"/>
  <c r="F87" i="33" s="1"/>
  <c r="G87" i="33" s="1"/>
  <c r="H87" i="33" s="1"/>
  <c r="I87" i="33" s="1"/>
  <c r="J87" i="33" s="1"/>
  <c r="K87" i="33" s="1"/>
  <c r="L87" i="33" s="1"/>
  <c r="M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Q38" i="33"/>
  <c r="Z38" i="33"/>
  <c r="J38" i="33"/>
  <c r="AC38" i="33" s="1"/>
  <c r="H38" i="33"/>
  <c r="AB38" i="33" s="1"/>
  <c r="F38" i="33"/>
  <c r="AA38" i="33" s="1"/>
  <c r="Q37" i="33"/>
  <c r="Z37" i="33"/>
  <c r="Q36" i="33"/>
  <c r="Z36" i="33" s="1"/>
  <c r="Q35" i="33"/>
  <c r="Z35" i="33" s="1"/>
  <c r="H35" i="33"/>
  <c r="Q34" i="33"/>
  <c r="Z34" i="33"/>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s="1"/>
  <c r="G15" i="20"/>
  <c r="B83" i="43" s="1"/>
  <c r="C24" i="20"/>
  <c r="B97" i="43" s="1"/>
  <c r="B75" i="43"/>
  <c r="C21" i="20"/>
  <c r="C20" i="20"/>
  <c r="C18" i="20"/>
  <c r="B94" i="43" s="1"/>
  <c r="C17" i="20"/>
  <c r="B61" i="43" s="1"/>
  <c r="C16" i="20"/>
  <c r="C17" i="39" s="1"/>
  <c r="C15" i="20"/>
  <c r="B72" i="43" s="1"/>
  <c r="E54" i="21"/>
  <c r="F54" i="21" s="1"/>
  <c r="I54" i="21"/>
  <c r="J54" i="21" s="1"/>
  <c r="G54" i="21"/>
  <c r="H54" i="21" s="1"/>
  <c r="D125" i="21"/>
  <c r="E125" i="21" s="1"/>
  <c r="F125" i="21" s="1"/>
  <c r="G125" i="21" s="1"/>
  <c r="D123" i="21"/>
  <c r="E123"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85" i="21" s="1"/>
  <c r="G85" i="21" s="1"/>
  <c r="E81" i="21"/>
  <c r="F81" i="21" s="1"/>
  <c r="G81" i="21" s="1"/>
  <c r="D77" i="21"/>
  <c r="E77" i="21" s="1"/>
  <c r="F77" i="21" s="1"/>
  <c r="G77" i="21" s="1"/>
  <c r="B130" i="21"/>
  <c r="B128" i="21"/>
  <c r="B126" i="21"/>
  <c r="B98" i="21"/>
  <c r="B96" i="21"/>
  <c r="H30" i="21" s="1"/>
  <c r="U30" i="21" s="1"/>
  <c r="B94" i="21"/>
  <c r="J29" i="21" s="1"/>
  <c r="B92" i="21"/>
  <c r="H28" i="21" s="1"/>
  <c r="AB28" i="21" s="1"/>
  <c r="B90" i="21"/>
  <c r="H27" i="21" s="1"/>
  <c r="AB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P5" i="3" s="1"/>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F26" i="21"/>
  <c r="S26" i="21" s="1"/>
  <c r="AB41" i="21"/>
  <c r="F39" i="37"/>
  <c r="S39" i="37" s="1"/>
  <c r="F29" i="36"/>
  <c r="AA29" i="36" s="1"/>
  <c r="F16" i="36"/>
  <c r="AA16" i="36" s="1"/>
  <c r="H22" i="35"/>
  <c r="AB22" i="35" s="1"/>
  <c r="F36" i="34"/>
  <c r="AA36" i="34" s="1"/>
  <c r="J35" i="34"/>
  <c r="W35" i="34" s="1"/>
  <c r="H39" i="33"/>
  <c r="AB39" i="33"/>
  <c r="W33" i="33"/>
  <c r="F11" i="40"/>
  <c r="AA11" i="40"/>
  <c r="H11" i="40"/>
  <c r="AA9" i="40"/>
  <c r="U34" i="40"/>
  <c r="F42" i="39"/>
  <c r="F41" i="39"/>
  <c r="S41" i="39" s="1"/>
  <c r="H40" i="39"/>
  <c r="H39" i="39"/>
  <c r="U39" i="39" s="1"/>
  <c r="H34" i="39"/>
  <c r="H19" i="39"/>
  <c r="AB19" i="39" s="1"/>
  <c r="F19" i="39"/>
  <c r="H17" i="39"/>
  <c r="AB17" i="39" s="1"/>
  <c r="F17" i="39"/>
  <c r="J23" i="40"/>
  <c r="AC23" i="40" s="1"/>
  <c r="F21" i="40"/>
  <c r="AA21" i="40" s="1"/>
  <c r="J21" i="40"/>
  <c r="W21" i="40" s="1"/>
  <c r="H42" i="39"/>
  <c r="AB42" i="39" s="1"/>
  <c r="J34" i="39"/>
  <c r="AC34" i="39" s="1"/>
  <c r="H27" i="39"/>
  <c r="U27" i="39" s="1"/>
  <c r="J19" i="39"/>
  <c r="AC19" i="39" s="1"/>
  <c r="J17" i="39"/>
  <c r="J27" i="39"/>
  <c r="AC27" i="39" s="1"/>
  <c r="F27" i="39"/>
  <c r="F11" i="21"/>
  <c r="S11" i="21" s="1"/>
  <c r="H11" i="39"/>
  <c r="H32" i="33"/>
  <c r="H11" i="21"/>
  <c r="U11" i="21" s="1"/>
  <c r="J11" i="21"/>
  <c r="W11" i="21" s="1"/>
  <c r="H37" i="40"/>
  <c r="U37" i="40" s="1"/>
  <c r="H36" i="40"/>
  <c r="AB36" i="40" s="1"/>
  <c r="F35" i="40"/>
  <c r="AA35" i="40" s="1"/>
  <c r="H23" i="40"/>
  <c r="AB23" i="40" s="1"/>
  <c r="H17" i="40"/>
  <c r="U17" i="40" s="1"/>
  <c r="J15" i="40"/>
  <c r="W15" i="40" s="1"/>
  <c r="J11" i="40"/>
  <c r="W11" i="40" s="1"/>
  <c r="AC12" i="34"/>
  <c r="W32" i="40"/>
  <c r="F37" i="39"/>
  <c r="AA37" i="39" s="1"/>
  <c r="J30" i="35"/>
  <c r="W30" i="35" s="1"/>
  <c r="H30" i="35"/>
  <c r="AB30" i="35" s="1"/>
  <c r="F22" i="35"/>
  <c r="AA22" i="35" s="1"/>
  <c r="H10" i="35"/>
  <c r="U10" i="35" s="1"/>
  <c r="H16" i="36"/>
  <c r="J29" i="36"/>
  <c r="AC29" i="36" s="1"/>
  <c r="F14" i="35"/>
  <c r="AA14" i="35" s="1"/>
  <c r="J32" i="35"/>
  <c r="AC32" i="35" s="1"/>
  <c r="J16" i="35"/>
  <c r="H16" i="35"/>
  <c r="U16" i="35" s="1"/>
  <c r="F16" i="35"/>
  <c r="AA16" i="35" s="1"/>
  <c r="H14" i="35"/>
  <c r="AB14" i="35" s="1"/>
  <c r="J29" i="35"/>
  <c r="W29" i="35" s="1"/>
  <c r="H33" i="35"/>
  <c r="J20" i="35"/>
  <c r="F35" i="37"/>
  <c r="S35" i="37" s="1"/>
  <c r="J34" i="37"/>
  <c r="AC34" i="37" s="1"/>
  <c r="J33" i="37"/>
  <c r="AC33" i="37" s="1"/>
  <c r="U42" i="34"/>
  <c r="H40" i="34"/>
  <c r="U40" i="34" s="1"/>
  <c r="E114" i="34"/>
  <c r="F114" i="34" s="1"/>
  <c r="G114" i="34" s="1"/>
  <c r="H114" i="34" s="1"/>
  <c r="I114" i="34" s="1"/>
  <c r="J114" i="34" s="1"/>
  <c r="K114" i="34" s="1"/>
  <c r="L114" i="34" s="1"/>
  <c r="M114" i="34" s="1"/>
  <c r="H36" i="34"/>
  <c r="U36" i="34" s="1"/>
  <c r="F37" i="34"/>
  <c r="F25" i="34"/>
  <c r="S25" i="34" s="1"/>
  <c r="H23" i="34"/>
  <c r="J23" i="34"/>
  <c r="W23" i="34" s="1"/>
  <c r="F19" i="34"/>
  <c r="AA19" i="34" s="1"/>
  <c r="H17" i="34"/>
  <c r="F15" i="34"/>
  <c r="AA15" i="34" s="1"/>
  <c r="J15" i="34"/>
  <c r="W15" i="34" s="1"/>
  <c r="H15" i="34"/>
  <c r="AB15" i="34" s="1"/>
  <c r="F41" i="33"/>
  <c r="AA41" i="33" s="1"/>
  <c r="S38" i="33"/>
  <c r="F32" i="33"/>
  <c r="AA32" i="33" s="1"/>
  <c r="J19" i="33"/>
  <c r="AC19" i="33" s="1"/>
  <c r="J15" i="33"/>
  <c r="F11" i="33"/>
  <c r="AA11" i="33" s="1"/>
  <c r="F37" i="40"/>
  <c r="F36" i="40"/>
  <c r="AA36" i="40" s="1"/>
  <c r="H28" i="40"/>
  <c r="AB28" i="40" s="1"/>
  <c r="F23" i="40"/>
  <c r="F17" i="40"/>
  <c r="AA17" i="40" s="1"/>
  <c r="J17" i="40"/>
  <c r="AC17" i="40" s="1"/>
  <c r="F15" i="40"/>
  <c r="S15" i="40" s="1"/>
  <c r="H15" i="40"/>
  <c r="AB15" i="40" s="1"/>
  <c r="F29" i="35"/>
  <c r="H29" i="35"/>
  <c r="AB29" i="35" s="1"/>
  <c r="H33" i="37"/>
  <c r="F33" i="37"/>
  <c r="AA33" i="37" s="1"/>
  <c r="U34" i="37"/>
  <c r="S34" i="37"/>
  <c r="AA34" i="37"/>
  <c r="J43" i="34"/>
  <c r="W43" i="34" s="1"/>
  <c r="AB42" i="34"/>
  <c r="J40" i="34"/>
  <c r="W40" i="34" s="1"/>
  <c r="H38" i="34"/>
  <c r="AB38" i="34" s="1"/>
  <c r="J36" i="34"/>
  <c r="W36" i="34" s="1"/>
  <c r="H37" i="34"/>
  <c r="U37" i="34" s="1"/>
  <c r="H25" i="34"/>
  <c r="J25" i="34"/>
  <c r="AC25" i="34" s="1"/>
  <c r="F23" i="34"/>
  <c r="J19" i="34"/>
  <c r="AC19" i="34" s="1"/>
  <c r="F17" i="34"/>
  <c r="J17" i="34"/>
  <c r="W17" i="34" s="1"/>
  <c r="H37" i="33"/>
  <c r="AB37" i="33" s="1"/>
  <c r="H15" i="33"/>
  <c r="AB15" i="33" s="1"/>
  <c r="H11" i="33"/>
  <c r="F28" i="40"/>
  <c r="AA28" i="40" s="1"/>
  <c r="AA42" i="34"/>
  <c r="AC38" i="34"/>
  <c r="J37" i="34"/>
  <c r="AC37" i="34" s="1"/>
  <c r="J11" i="33"/>
  <c r="J44" i="34"/>
  <c r="AC44" i="34" s="1"/>
  <c r="F44" i="34"/>
  <c r="AA44" i="34" s="1"/>
  <c r="J10" i="35"/>
  <c r="AC10" i="35" s="1"/>
  <c r="J14" i="21"/>
  <c r="W14" i="21" s="1"/>
  <c r="F14" i="21"/>
  <c r="S14" i="21" s="1"/>
  <c r="H14" i="21"/>
  <c r="U14" i="21" s="1"/>
  <c r="F28" i="21"/>
  <c r="AA28" i="21" s="1"/>
  <c r="J28" i="21"/>
  <c r="J30" i="21"/>
  <c r="AC30" i="21" s="1"/>
  <c r="J44" i="21"/>
  <c r="AC44" i="21" s="1"/>
  <c r="H44" i="21"/>
  <c r="U44" i="21" s="1"/>
  <c r="F44" i="21"/>
  <c r="F28" i="33"/>
  <c r="S28" i="33" s="1"/>
  <c r="F33" i="35"/>
  <c r="S33" i="35" s="1"/>
  <c r="J33" i="35"/>
  <c r="AC33" i="35" s="1"/>
  <c r="F30" i="35"/>
  <c r="S30" i="35" s="1"/>
  <c r="H10" i="36"/>
  <c r="AB10" i="36" s="1"/>
  <c r="J14" i="36"/>
  <c r="AC14" i="36" s="1"/>
  <c r="H14" i="36"/>
  <c r="F28" i="36"/>
  <c r="AA28" i="36" s="1"/>
  <c r="J13" i="21"/>
  <c r="AC13" i="21" s="1"/>
  <c r="J13" i="33"/>
  <c r="AC13" i="33" s="1"/>
  <c r="H13" i="33"/>
  <c r="U13" i="33" s="1"/>
  <c r="J31" i="33"/>
  <c r="H31" i="33"/>
  <c r="H30" i="34"/>
  <c r="AB30" i="34" s="1"/>
  <c r="H46" i="34"/>
  <c r="U46" i="34" s="1"/>
  <c r="F46" i="34"/>
  <c r="J46" i="34"/>
  <c r="W46" i="34" s="1"/>
  <c r="F11" i="35"/>
  <c r="S11" i="35" s="1"/>
  <c r="J26" i="36"/>
  <c r="W26" i="36" s="1"/>
  <c r="H28" i="36"/>
  <c r="U28" i="36" s="1"/>
  <c r="J32" i="36"/>
  <c r="W32" i="36" s="1"/>
  <c r="J29" i="37"/>
  <c r="W29" i="37" s="1"/>
  <c r="F29" i="37"/>
  <c r="S29" i="37" s="1"/>
  <c r="H36" i="37"/>
  <c r="J37" i="37"/>
  <c r="H37" i="37"/>
  <c r="U37" i="37" s="1"/>
  <c r="F40" i="37"/>
  <c r="AA40" i="37" s="1"/>
  <c r="AC12" i="40"/>
  <c r="W12" i="40"/>
  <c r="H14" i="33"/>
  <c r="F14" i="33"/>
  <c r="J14" i="33"/>
  <c r="AC14" i="33" s="1"/>
  <c r="H30" i="33"/>
  <c r="AB30" i="33" s="1"/>
  <c r="H44" i="33"/>
  <c r="U44" i="33" s="1"/>
  <c r="J44" i="33"/>
  <c r="AC44" i="33" s="1"/>
  <c r="F44" i="33"/>
  <c r="S44" i="33" s="1"/>
  <c r="H13" i="34"/>
  <c r="U13" i="34" s="1"/>
  <c r="J13" i="34"/>
  <c r="F13" i="34"/>
  <c r="H29" i="34"/>
  <c r="AB29" i="34" s="1"/>
  <c r="J31" i="34"/>
  <c r="AC31" i="34" s="1"/>
  <c r="H31" i="34"/>
  <c r="F31" i="34"/>
  <c r="S31" i="34" s="1"/>
  <c r="H45" i="34"/>
  <c r="H47" i="34"/>
  <c r="AB47" i="34" s="1"/>
  <c r="F47" i="34"/>
  <c r="S47" i="34" s="1"/>
  <c r="J47" i="34"/>
  <c r="W47" i="34" s="1"/>
  <c r="H13" i="35"/>
  <c r="J25" i="35"/>
  <c r="AC25" i="35" s="1"/>
  <c r="H25" i="35"/>
  <c r="AB25" i="35" s="1"/>
  <c r="H28" i="37"/>
  <c r="F43" i="39"/>
  <c r="F12" i="40"/>
  <c r="S12" i="40" s="1"/>
  <c r="H12" i="40"/>
  <c r="AB12" i="40" s="1"/>
  <c r="H30" i="40"/>
  <c r="AB30" i="40" s="1"/>
  <c r="H33" i="40"/>
  <c r="U33" i="40" s="1"/>
  <c r="J35" i="40"/>
  <c r="J37" i="40"/>
  <c r="AC37" i="40" s="1"/>
  <c r="H14" i="40"/>
  <c r="AB14" i="40" s="1"/>
  <c r="J14" i="40"/>
  <c r="W14" i="40" s="1"/>
  <c r="F14" i="40"/>
  <c r="AA14" i="40" s="1"/>
  <c r="J36" i="37"/>
  <c r="AC36" i="37" s="1"/>
  <c r="J10" i="36"/>
  <c r="AC10" i="36" s="1"/>
  <c r="F17" i="21"/>
  <c r="H17" i="21"/>
  <c r="AB17" i="21" s="1"/>
  <c r="F15" i="21"/>
  <c r="S15" i="21" s="1"/>
  <c r="J41" i="39"/>
  <c r="W41" i="39" s="1"/>
  <c r="G560" i="3"/>
  <c r="BA587" i="3"/>
  <c r="AC557" i="3"/>
  <c r="G557" i="3" s="1"/>
  <c r="BQ557" i="3"/>
  <c r="BQ583" i="3"/>
  <c r="BQ581" i="3"/>
  <c r="BQ579" i="3"/>
  <c r="BQ577" i="3"/>
  <c r="BQ575" i="3"/>
  <c r="BQ573" i="3"/>
  <c r="BQ571" i="3"/>
  <c r="BQ569" i="3"/>
  <c r="BQ567" i="3"/>
  <c r="BQ565" i="3"/>
  <c r="BQ563" i="3"/>
  <c r="BQ561" i="3"/>
  <c r="BQ559" i="3"/>
  <c r="G543" i="3"/>
  <c r="BQ555" i="3"/>
  <c r="BQ553" i="3"/>
  <c r="BQ551" i="3"/>
  <c r="BQ549" i="3"/>
  <c r="BQ547" i="3"/>
  <c r="BQ545" i="3"/>
  <c r="BQ543" i="3"/>
  <c r="BQ541" i="3"/>
  <c r="BQ539" i="3"/>
  <c r="BQ537" i="3"/>
  <c r="BQ535" i="3"/>
  <c r="BQ533" i="3"/>
  <c r="BQ531" i="3"/>
  <c r="BQ529" i="3"/>
  <c r="BQ527" i="3"/>
  <c r="BQ525" i="3"/>
  <c r="BQ523" i="3"/>
  <c r="AC521" i="3"/>
  <c r="BQ521" i="3"/>
  <c r="G513" i="3"/>
  <c r="BQ519" i="3"/>
  <c r="BQ517" i="3"/>
  <c r="BQ515" i="3"/>
  <c r="BQ513" i="3"/>
  <c r="BQ511" i="3"/>
  <c r="AC509" i="3"/>
  <c r="G509" i="3" s="1"/>
  <c r="BQ509"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H43" i="33"/>
  <c r="H17" i="37"/>
  <c r="U17" i="37" s="1"/>
  <c r="F39" i="33"/>
  <c r="AA39" i="33" s="1"/>
  <c r="E123" i="33"/>
  <c r="F42" i="33"/>
  <c r="AA42" i="33" s="1"/>
  <c r="H28" i="34"/>
  <c r="F14" i="36"/>
  <c r="AA14" i="36" s="1"/>
  <c r="F22" i="36"/>
  <c r="S22" i="36" s="1"/>
  <c r="F26" i="36"/>
  <c r="S26" i="36" s="1"/>
  <c r="H27" i="34"/>
  <c r="AB27" i="34" s="1"/>
  <c r="H35" i="34"/>
  <c r="U35" i="34" s="1"/>
  <c r="F41" i="34"/>
  <c r="H41" i="34"/>
  <c r="U41" i="34" s="1"/>
  <c r="J41" i="34"/>
  <c r="F10" i="35"/>
  <c r="S10" i="35" s="1"/>
  <c r="H24" i="35"/>
  <c r="AB24" i="35" s="1"/>
  <c r="H23" i="37"/>
  <c r="AB23" i="37" s="1"/>
  <c r="J32" i="37"/>
  <c r="AC32" i="37" s="1"/>
  <c r="F36" i="37"/>
  <c r="AA36" i="37"/>
  <c r="F37" i="37"/>
  <c r="S37" i="37" s="1"/>
  <c r="F32" i="40"/>
  <c r="AA32" i="40" s="1"/>
  <c r="S32" i="40"/>
  <c r="H32" i="40"/>
  <c r="AB32" i="40" s="1"/>
  <c r="J36" i="40"/>
  <c r="W36" i="40" s="1"/>
  <c r="H19" i="37"/>
  <c r="AB19" i="37" s="1"/>
  <c r="F123" i="33"/>
  <c r="G123" i="33" s="1"/>
  <c r="H123" i="33" s="1"/>
  <c r="I123" i="33" s="1"/>
  <c r="J123" i="33" s="1"/>
  <c r="K123" i="33" s="1"/>
  <c r="L123" i="33" s="1"/>
  <c r="M123" i="33" s="1"/>
  <c r="H42" i="33"/>
  <c r="AB42" i="33" s="1"/>
  <c r="J43" i="33"/>
  <c r="AC43" i="33" s="1"/>
  <c r="S28" i="31"/>
  <c r="S27" i="31"/>
  <c r="S26" i="31"/>
  <c r="U26" i="37"/>
  <c r="W44" i="33"/>
  <c r="F43" i="33"/>
  <c r="H19" i="34"/>
  <c r="AB19" i="34" s="1"/>
  <c r="F36" i="35"/>
  <c r="H9" i="37"/>
  <c r="U9" i="37" s="1"/>
  <c r="J12" i="37"/>
  <c r="W12" i="37" s="1"/>
  <c r="H12" i="37"/>
  <c r="AB12" i="37" s="1"/>
  <c r="F12" i="37"/>
  <c r="S12" i="37" s="1"/>
  <c r="F15" i="37"/>
  <c r="F31" i="37"/>
  <c r="F12" i="39"/>
  <c r="S12" i="39" s="1"/>
  <c r="J42" i="39"/>
  <c r="AC42" i="39" s="1"/>
  <c r="H21" i="40"/>
  <c r="AB21" i="40" s="1"/>
  <c r="H31" i="37"/>
  <c r="U31" i="37" s="1"/>
  <c r="J15" i="37"/>
  <c r="W15" i="37" s="1"/>
  <c r="AT6" i="3"/>
  <c r="H19" i="40"/>
  <c r="U19" i="40" s="1"/>
  <c r="F19" i="40"/>
  <c r="H37" i="39"/>
  <c r="AB37" i="39" s="1"/>
  <c r="AC37" i="39"/>
  <c r="W37" i="39"/>
  <c r="H25" i="39"/>
  <c r="J25" i="39"/>
  <c r="AC25" i="39" s="1"/>
  <c r="F25" i="39"/>
  <c r="AA25" i="39" s="1"/>
  <c r="F15" i="39"/>
  <c r="AA15" i="39" s="1"/>
  <c r="H15" i="39"/>
  <c r="U15" i="39" s="1"/>
  <c r="J15" i="39"/>
  <c r="W15" i="39" s="1"/>
  <c r="H41" i="39"/>
  <c r="J19" i="40"/>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G4" i="4"/>
  <c r="I4" i="4"/>
  <c r="A2" i="9"/>
  <c r="F61" i="4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06"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AZ369" i="3" s="1"/>
  <c r="BL370" i="3"/>
  <c r="G371" i="3"/>
  <c r="BA373" i="3"/>
  <c r="AZ373" i="3" s="1"/>
  <c r="BL374" i="3"/>
  <c r="G375" i="3"/>
  <c r="BA377" i="3"/>
  <c r="BA379" i="3"/>
  <c r="BL380" i="3"/>
  <c r="G381" i="3"/>
  <c r="BA383" i="3"/>
  <c r="BL384" i="3"/>
  <c r="G385" i="3"/>
  <c r="BA387" i="3"/>
  <c r="BL388" i="3"/>
  <c r="G389" i="3"/>
  <c r="BA391" i="3"/>
  <c r="BL392" i="3"/>
  <c r="G393" i="3"/>
  <c r="G17" i="3"/>
  <c r="BA17" i="3"/>
  <c r="BA15" i="3"/>
  <c r="AZ380" i="3"/>
  <c r="F83" i="43"/>
  <c r="H85" i="43" s="1"/>
  <c r="F50" i="43"/>
  <c r="H54" i="43" s="1"/>
  <c r="F72" i="43"/>
  <c r="H75" i="43" s="1"/>
  <c r="U17" i="39"/>
  <c r="AC35" i="21"/>
  <c r="G10" i="1"/>
  <c r="AC11" i="39"/>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H35" i="37"/>
  <c r="H20" i="35"/>
  <c r="F20" i="35"/>
  <c r="S20" i="35" s="1"/>
  <c r="H32" i="37"/>
  <c r="J27" i="40"/>
  <c r="J30" i="40"/>
  <c r="F30" i="40"/>
  <c r="S11" i="40"/>
  <c r="E98" i="40"/>
  <c r="F98" i="40" s="1"/>
  <c r="G98" i="40" s="1"/>
  <c r="H98" i="40" s="1"/>
  <c r="I98" i="40" s="1"/>
  <c r="J98" i="40" s="1"/>
  <c r="K98" i="40" s="1"/>
  <c r="L98" i="40" s="1"/>
  <c r="M98" i="40" s="1"/>
  <c r="F10" i="33"/>
  <c r="S10" i="33" s="1"/>
  <c r="F34" i="33"/>
  <c r="H34" i="33"/>
  <c r="U34" i="33" s="1"/>
  <c r="F35" i="33"/>
  <c r="S35" i="33" s="1"/>
  <c r="F39" i="34"/>
  <c r="AA39" i="34" s="1"/>
  <c r="J39" i="34"/>
  <c r="W39" i="34" s="1"/>
  <c r="F40" i="34"/>
  <c r="S40" i="34" s="1"/>
  <c r="F43" i="34"/>
  <c r="H44" i="34"/>
  <c r="U44" i="34" s="1"/>
  <c r="AC38" i="39"/>
  <c r="F39" i="39"/>
  <c r="S39" i="39" s="1"/>
  <c r="J39" i="39"/>
  <c r="AC39" i="39" s="1"/>
  <c r="E96" i="39"/>
  <c r="F96" i="39" s="1"/>
  <c r="G96" i="39" s="1"/>
  <c r="C40" i="11"/>
  <c r="F23" i="39"/>
  <c r="H27" i="36"/>
  <c r="U27" i="36" s="1"/>
  <c r="F27" i="36"/>
  <c r="AA27" i="36" s="1"/>
  <c r="H33" i="34"/>
  <c r="F32" i="37"/>
  <c r="AA32" i="37" s="1"/>
  <c r="G96" i="37"/>
  <c r="H96" i="37" s="1"/>
  <c r="I96" i="37" s="1"/>
  <c r="J96" i="37" s="1"/>
  <c r="K96" i="37" s="1"/>
  <c r="L96" i="37" s="1"/>
  <c r="M96" i="37" s="1"/>
  <c r="F20" i="36"/>
  <c r="AA20" i="36" s="1"/>
  <c r="J33" i="34"/>
  <c r="AC33" i="34" s="1"/>
  <c r="H23" i="39"/>
  <c r="U23" i="39" s="1"/>
  <c r="D48" i="9"/>
  <c r="M52" i="9" s="1"/>
  <c r="K9" i="1"/>
  <c r="M9" i="1" s="1"/>
  <c r="D93" i="9"/>
  <c r="K6" i="1"/>
  <c r="AP6" i="1" s="1"/>
  <c r="S32" i="36"/>
  <c r="BL14" i="3"/>
  <c r="U30" i="33"/>
  <c r="H12" i="39"/>
  <c r="U12" i="39" s="1"/>
  <c r="AB12" i="39"/>
  <c r="BA14" i="3"/>
  <c r="B12" i="1"/>
  <c r="E12" i="1" s="1"/>
  <c r="B10" i="1"/>
  <c r="E10" i="1" s="1"/>
  <c r="K12" i="1"/>
  <c r="M12" i="1" s="1"/>
  <c r="S13" i="1"/>
  <c r="AR13" i="1" s="1"/>
  <c r="R13" i="1"/>
  <c r="J51" i="67"/>
  <c r="C42" i="1"/>
  <c r="C24" i="12" s="1"/>
  <c r="B41" i="1"/>
  <c r="F48" i="9" s="1"/>
  <c r="O52" i="9" s="1"/>
  <c r="AB37" i="40"/>
  <c r="S35" i="40"/>
  <c r="S17" i="40"/>
  <c r="F32" i="39"/>
  <c r="AA32" i="39" s="1"/>
  <c r="AB27" i="39"/>
  <c r="J21" i="39"/>
  <c r="W21" i="39" s="1"/>
  <c r="F21" i="39"/>
  <c r="S21" i="39" s="1"/>
  <c r="H21" i="39"/>
  <c r="W19" i="39"/>
  <c r="U19" i="39"/>
  <c r="U26" i="36"/>
  <c r="AC26" i="36"/>
  <c r="W14" i="36"/>
  <c r="S16" i="36"/>
  <c r="S14" i="36"/>
  <c r="AA25" i="35"/>
  <c r="U32" i="35"/>
  <c r="AA33" i="35"/>
  <c r="AC30" i="35"/>
  <c r="U14" i="35"/>
  <c r="AC9" i="35"/>
  <c r="F9" i="35"/>
  <c r="S9" i="35" s="1"/>
  <c r="H9" i="35"/>
  <c r="U9" i="35" s="1"/>
  <c r="AC29" i="37"/>
  <c r="S32" i="37"/>
  <c r="W30" i="37"/>
  <c r="S36" i="37"/>
  <c r="AA38" i="37"/>
  <c r="J17" i="37"/>
  <c r="F17" i="37"/>
  <c r="AB17" i="37"/>
  <c r="F75" i="37"/>
  <c r="G75" i="37" s="1"/>
  <c r="F19" i="37"/>
  <c r="S19" i="37" s="1"/>
  <c r="F23" i="37"/>
  <c r="U15" i="37"/>
  <c r="H10" i="37"/>
  <c r="AB10" i="37" s="1"/>
  <c r="F11" i="37"/>
  <c r="S11" i="37" s="1"/>
  <c r="W25" i="34"/>
  <c r="AB8" i="34"/>
  <c r="AA33" i="34"/>
  <c r="U43" i="34"/>
  <c r="AB35" i="34"/>
  <c r="U15" i="34"/>
  <c r="H10" i="34"/>
  <c r="AB10" i="34" s="1"/>
  <c r="F11" i="34"/>
  <c r="S11" i="34" s="1"/>
  <c r="AA35" i="33"/>
  <c r="W38" i="33"/>
  <c r="H41" i="33"/>
  <c r="AB41" i="33" s="1"/>
  <c r="F36" i="33"/>
  <c r="AA36" i="33" s="1"/>
  <c r="J35" i="33"/>
  <c r="W35" i="33" s="1"/>
  <c r="S37" i="33"/>
  <c r="AA37" i="33"/>
  <c r="J32" i="33"/>
  <c r="W32" i="33" s="1"/>
  <c r="W43" i="33"/>
  <c r="F91" i="33"/>
  <c r="G91" i="33" s="1"/>
  <c r="H91" i="33" s="1"/>
  <c r="I91" i="33" s="1"/>
  <c r="J91" i="33" s="1"/>
  <c r="K91" i="33" s="1"/>
  <c r="L91" i="33" s="1"/>
  <c r="M91" i="33" s="1"/>
  <c r="H27" i="33"/>
  <c r="H25" i="33"/>
  <c r="U25" i="33" s="1"/>
  <c r="F25" i="33"/>
  <c r="S25" i="33" s="1"/>
  <c r="J23" i="33"/>
  <c r="AC23" i="33" s="1"/>
  <c r="H23" i="33"/>
  <c r="U23" i="33" s="1"/>
  <c r="F81" i="33"/>
  <c r="G81" i="33" s="1"/>
  <c r="F19" i="33"/>
  <c r="S19" i="33" s="1"/>
  <c r="J17" i="33"/>
  <c r="W17" i="33" s="1"/>
  <c r="J10" i="33"/>
  <c r="W10" i="33" s="1"/>
  <c r="H10" i="33"/>
  <c r="U10" i="33" s="1"/>
  <c r="W36" i="21"/>
  <c r="AB39" i="21"/>
  <c r="AA43" i="21"/>
  <c r="AA38" i="21"/>
  <c r="J15" i="21"/>
  <c r="W15" i="21" s="1"/>
  <c r="F23" i="21"/>
  <c r="S23" i="21" s="1"/>
  <c r="F34" i="67"/>
  <c r="F62" i="67" s="1"/>
  <c r="M20" i="67"/>
  <c r="F34" i="15"/>
  <c r="F62" i="15" s="1"/>
  <c r="G13" i="3"/>
  <c r="BL17" i="3"/>
  <c r="BL13" i="3"/>
  <c r="J56" i="9"/>
  <c r="J57" i="9" s="1"/>
  <c r="J59" i="9" s="1"/>
  <c r="J61" i="9" s="1"/>
  <c r="A24" i="51"/>
  <c r="B18" i="72"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8" i="40"/>
  <c r="W37" i="40"/>
  <c r="AA15" i="40"/>
  <c r="AB17" i="40"/>
  <c r="U42" i="39"/>
  <c r="W25" i="39"/>
  <c r="AB11" i="39"/>
  <c r="U11" i="39"/>
  <c r="AA27" i="39"/>
  <c r="S27" i="39"/>
  <c r="W17" i="39"/>
  <c r="AC17" i="39"/>
  <c r="AB39" i="39"/>
  <c r="W34" i="39"/>
  <c r="AA13" i="36"/>
  <c r="AA35" i="37"/>
  <c r="AA29" i="37"/>
  <c r="U38" i="34"/>
  <c r="AA8" i="34"/>
  <c r="AC43" i="34"/>
  <c r="AC35" i="34"/>
  <c r="U39" i="33"/>
  <c r="U38" i="33"/>
  <c r="S33" i="33"/>
  <c r="W13" i="33"/>
  <c r="S11" i="33"/>
  <c r="H15" i="21"/>
  <c r="U15" i="21" s="1"/>
  <c r="J17" i="21"/>
  <c r="W17" i="21" s="1"/>
  <c r="H45" i="21"/>
  <c r="U45" i="21" s="1"/>
  <c r="F29" i="21"/>
  <c r="AA29" i="21" s="1"/>
  <c r="F13" i="21"/>
  <c r="AC38" i="21"/>
  <c r="H32" i="21"/>
  <c r="U32" i="21" s="1"/>
  <c r="H9" i="21"/>
  <c r="J9" i="21"/>
  <c r="J32" i="21"/>
  <c r="W32" i="21" s="1"/>
  <c r="F32" i="21"/>
  <c r="AA32" i="21" s="1"/>
  <c r="S9" i="21"/>
  <c r="AA9" i="21"/>
  <c r="K141" i="21"/>
  <c r="K144" i="21"/>
  <c r="K143" i="21"/>
  <c r="AB25" i="21"/>
  <c r="F10" i="21"/>
  <c r="AA10" i="21" s="1"/>
  <c r="K145" i="21"/>
  <c r="C17" i="40"/>
  <c r="C23" i="40"/>
  <c r="B56" i="43"/>
  <c r="B51" i="43"/>
  <c r="B54" i="43"/>
  <c r="B62" i="43"/>
  <c r="B65" i="43"/>
  <c r="D23" i="15"/>
  <c r="D22" i="15"/>
  <c r="E4" i="4"/>
  <c r="B5" i="62" s="1"/>
  <c r="B73" i="72" s="1"/>
  <c r="C4" i="4"/>
  <c r="J32" i="39"/>
  <c r="AC32" i="39" s="1"/>
  <c r="H32" i="39"/>
  <c r="AB32" i="39" s="1"/>
  <c r="J19" i="37"/>
  <c r="W19" i="37" s="1"/>
  <c r="AA19" i="37"/>
  <c r="J23" i="37"/>
  <c r="J10" i="37"/>
  <c r="W10" i="37" s="1"/>
  <c r="H11" i="37"/>
  <c r="AB11" i="37" s="1"/>
  <c r="H11" i="34"/>
  <c r="U11" i="34" s="1"/>
  <c r="J10" i="34"/>
  <c r="AC10" i="34" s="1"/>
  <c r="U41" i="33"/>
  <c r="J36" i="33"/>
  <c r="W36" i="33" s="1"/>
  <c r="H36" i="33"/>
  <c r="U36" i="33" s="1"/>
  <c r="S36" i="33"/>
  <c r="J27" i="33"/>
  <c r="J25" i="33"/>
  <c r="AC25" i="33" s="1"/>
  <c r="AB23" i="33"/>
  <c r="F23" i="33"/>
  <c r="H19" i="33"/>
  <c r="U19" i="33" s="1"/>
  <c r="H17" i="33"/>
  <c r="U17" i="33" s="1"/>
  <c r="F17" i="33"/>
  <c r="S17" i="33" s="1"/>
  <c r="AC17" i="33"/>
  <c r="J23" i="21"/>
  <c r="AC23" i="21" s="1"/>
  <c r="H23" i="21"/>
  <c r="AB23" i="21" s="1"/>
  <c r="AP7" i="1"/>
  <c r="A18" i="62"/>
  <c r="B64" i="72" s="1"/>
  <c r="J11" i="37"/>
  <c r="AC11" i="37" s="1"/>
  <c r="J11" i="34"/>
  <c r="W11" i="34" s="1"/>
  <c r="AA17" i="33"/>
  <c r="H109" i="9"/>
  <c r="M49" i="9" s="1"/>
  <c r="H112" i="9"/>
  <c r="D21" i="53" s="1"/>
  <c r="B39" i="72" s="1"/>
  <c r="H111" i="9"/>
  <c r="D126" i="9" s="1"/>
  <c r="AD3" i="71"/>
  <c r="J1" i="73"/>
  <c r="S24" i="71"/>
  <c r="AB22" i="71"/>
  <c r="X20" i="71"/>
  <c r="X19" i="71"/>
  <c r="AA20" i="71"/>
  <c r="AA19" i="71"/>
  <c r="X23" i="71"/>
  <c r="Y19" i="71"/>
  <c r="Z19" i="71" s="1"/>
  <c r="AB20" i="71"/>
  <c r="AB19" i="71"/>
  <c r="F21" i="71"/>
  <c r="F20" i="71" s="1"/>
  <c r="F19" i="71" s="1"/>
  <c r="F18" i="71" s="1"/>
  <c r="F17" i="71" s="1"/>
  <c r="Y20" i="71"/>
  <c r="Z20" i="71" s="1"/>
  <c r="X3" i="71"/>
  <c r="E8" i="76"/>
  <c r="B9" i="76"/>
  <c r="E7" i="76"/>
  <c r="L48" i="67"/>
  <c r="F7" i="73"/>
  <c r="B11" i="76"/>
  <c r="F4" i="73"/>
  <c r="B10" i="76"/>
  <c r="E10" i="76"/>
  <c r="B7" i="76"/>
  <c r="D35" i="9"/>
  <c r="F6" i="73"/>
  <c r="E2" i="68"/>
  <c r="E11" i="76"/>
  <c r="L47" i="67"/>
  <c r="AO13" i="1"/>
  <c r="F20" i="31"/>
  <c r="F5" i="73"/>
  <c r="M26" i="67"/>
  <c r="E12" i="76"/>
  <c r="F3" i="73"/>
  <c r="B12" i="76"/>
  <c r="F6" i="15"/>
  <c r="B13" i="76"/>
  <c r="E9" i="76"/>
  <c r="M23" i="67"/>
  <c r="E13" i="76"/>
  <c r="D34" i="9"/>
  <c r="E2" i="69"/>
  <c r="B8" i="76"/>
  <c r="D6" i="73"/>
  <c r="H19" i="21" l="1"/>
  <c r="T24" i="71"/>
  <c r="D24" i="71"/>
  <c r="U24" i="71" s="1"/>
  <c r="S19" i="34"/>
  <c r="W23" i="40"/>
  <c r="S15" i="33"/>
  <c r="W42" i="33"/>
  <c r="S28" i="35"/>
  <c r="U36" i="35"/>
  <c r="U22" i="36"/>
  <c r="AA34" i="36"/>
  <c r="U36" i="40"/>
  <c r="AZ390" i="3"/>
  <c r="S40" i="33"/>
  <c r="J26" i="21"/>
  <c r="W26" i="21" s="1"/>
  <c r="G421" i="3"/>
  <c r="BL465" i="3"/>
  <c r="G68" i="3"/>
  <c r="U29" i="39"/>
  <c r="C19" i="39"/>
  <c r="J14" i="37"/>
  <c r="F14" i="37"/>
  <c r="F36" i="39"/>
  <c r="BA572" i="3"/>
  <c r="BL570" i="3"/>
  <c r="BL556" i="3"/>
  <c r="BA556" i="3"/>
  <c r="BA535" i="3"/>
  <c r="BL526" i="3"/>
  <c r="BA522" i="3"/>
  <c r="BL508" i="3"/>
  <c r="BA507" i="3"/>
  <c r="BA413" i="3"/>
  <c r="G63" i="3"/>
  <c r="G71" i="3"/>
  <c r="BL91" i="3"/>
  <c r="G99" i="3"/>
  <c r="G111" i="3"/>
  <c r="X38" i="71"/>
  <c r="S68" i="71"/>
  <c r="V68" i="71"/>
  <c r="B75" i="71"/>
  <c r="B74" i="71" s="1"/>
  <c r="W14" i="33"/>
  <c r="AC37" i="33"/>
  <c r="AC41" i="39"/>
  <c r="AA36" i="21"/>
  <c r="AC39" i="34"/>
  <c r="AB44" i="39"/>
  <c r="F31" i="40"/>
  <c r="J38" i="37"/>
  <c r="W23" i="21"/>
  <c r="AB15" i="21"/>
  <c r="AC34" i="21"/>
  <c r="AB14" i="21"/>
  <c r="U30" i="34"/>
  <c r="S20" i="36"/>
  <c r="S36" i="40"/>
  <c r="U29" i="34"/>
  <c r="AZ17" i="3"/>
  <c r="W19" i="33"/>
  <c r="AA22" i="36"/>
  <c r="AC34" i="33"/>
  <c r="AC17" i="34"/>
  <c r="AZ345" i="3"/>
  <c r="AA41" i="39"/>
  <c r="H38" i="37"/>
  <c r="AB38" i="37" s="1"/>
  <c r="J11" i="35"/>
  <c r="W11" i="35" s="1"/>
  <c r="F30" i="34"/>
  <c r="H29" i="33"/>
  <c r="U29" i="33" s="1"/>
  <c r="H29" i="21"/>
  <c r="U29" i="21" s="1"/>
  <c r="J34" i="36"/>
  <c r="W34" i="36" s="1"/>
  <c r="W31" i="40"/>
  <c r="H12" i="34"/>
  <c r="H34" i="36"/>
  <c r="G398" i="3"/>
  <c r="G422" i="3"/>
  <c r="G460" i="3"/>
  <c r="G253" i="3"/>
  <c r="G299" i="3"/>
  <c r="G78" i="3"/>
  <c r="G98" i="3"/>
  <c r="G102" i="3"/>
  <c r="G106" i="3"/>
  <c r="G110" i="3"/>
  <c r="B77" i="43"/>
  <c r="D59" i="71"/>
  <c r="Y37" i="71"/>
  <c r="Z37" i="71" s="1"/>
  <c r="U27" i="21"/>
  <c r="F37" i="21"/>
  <c r="AA37" i="21" s="1"/>
  <c r="H37" i="21"/>
  <c r="U37" i="21" s="1"/>
  <c r="AA26" i="21"/>
  <c r="J37" i="21"/>
  <c r="W37" i="21" s="1"/>
  <c r="AZ556" i="3"/>
  <c r="AZ326" i="3"/>
  <c r="AC35" i="33"/>
  <c r="U40" i="21"/>
  <c r="U37" i="33"/>
  <c r="AC40" i="34"/>
  <c r="AB40" i="34"/>
  <c r="W29" i="36"/>
  <c r="S42" i="33"/>
  <c r="W39" i="37"/>
  <c r="AB16" i="35"/>
  <c r="W24" i="35"/>
  <c r="AA47" i="34"/>
  <c r="AZ322" i="3"/>
  <c r="AZ311" i="3"/>
  <c r="AZ327" i="3"/>
  <c r="J45" i="34"/>
  <c r="J46" i="33"/>
  <c r="J30" i="33"/>
  <c r="AC11" i="35"/>
  <c r="W34" i="37"/>
  <c r="BA586" i="3"/>
  <c r="J12" i="33"/>
  <c r="AC12" i="33" s="1"/>
  <c r="AA34" i="40"/>
  <c r="W33" i="40"/>
  <c r="H35" i="39"/>
  <c r="J35" i="39"/>
  <c r="AC35" i="39" s="1"/>
  <c r="G569" i="3"/>
  <c r="G568" i="3"/>
  <c r="U35" i="33"/>
  <c r="AB35" i="33"/>
  <c r="AA38" i="39"/>
  <c r="S38" i="39"/>
  <c r="AB30" i="36"/>
  <c r="U30" i="36"/>
  <c r="W32" i="39"/>
  <c r="AA30" i="33"/>
  <c r="W19" i="34"/>
  <c r="AB28" i="36"/>
  <c r="S8" i="39"/>
  <c r="AA14" i="21"/>
  <c r="AA25" i="34"/>
  <c r="AB27" i="35"/>
  <c r="AA26" i="36"/>
  <c r="U21" i="40"/>
  <c r="W27" i="39"/>
  <c r="AB33" i="40"/>
  <c r="J9" i="37"/>
  <c r="W9" i="37" s="1"/>
  <c r="F24" i="35"/>
  <c r="AB46" i="34"/>
  <c r="F33" i="40"/>
  <c r="J13" i="35"/>
  <c r="J29" i="34"/>
  <c r="H46" i="33"/>
  <c r="F27" i="21"/>
  <c r="AA27" i="21" s="1"/>
  <c r="S41" i="33"/>
  <c r="F35" i="39"/>
  <c r="W39" i="33"/>
  <c r="AC39" i="33"/>
  <c r="AB34" i="34"/>
  <c r="U34" i="34"/>
  <c r="AB25" i="33"/>
  <c r="W25" i="33"/>
  <c r="AA21" i="39"/>
  <c r="AB36" i="21"/>
  <c r="W13" i="21"/>
  <c r="U17" i="21"/>
  <c r="U19" i="34"/>
  <c r="AC20" i="36"/>
  <c r="U8" i="40"/>
  <c r="S39" i="21"/>
  <c r="S27" i="33"/>
  <c r="U39" i="34"/>
  <c r="S22" i="35"/>
  <c r="U29" i="35"/>
  <c r="AB20" i="36"/>
  <c r="F12" i="33"/>
  <c r="AC29" i="35"/>
  <c r="W44" i="34"/>
  <c r="AB38" i="21"/>
  <c r="AC47" i="34"/>
  <c r="U40" i="33"/>
  <c r="S16" i="35"/>
  <c r="J27" i="21"/>
  <c r="W27" i="21" s="1"/>
  <c r="C5" i="68"/>
  <c r="G570" i="3"/>
  <c r="G563" i="3"/>
  <c r="G519" i="3"/>
  <c r="G399" i="3"/>
  <c r="BA392" i="3"/>
  <c r="AZ392" i="3" s="1"/>
  <c r="G396" i="3"/>
  <c r="BA396" i="3"/>
  <c r="BL74" i="3"/>
  <c r="G566" i="3"/>
  <c r="BA565" i="3"/>
  <c r="BL564" i="3"/>
  <c r="BA564" i="3"/>
  <c r="BL562" i="3"/>
  <c r="BL561" i="3"/>
  <c r="BA561" i="3"/>
  <c r="BL560" i="3"/>
  <c r="BA560" i="3"/>
  <c r="BA559" i="3"/>
  <c r="G559" i="3"/>
  <c r="BA557" i="3"/>
  <c r="BL552" i="3"/>
  <c r="BA544" i="3"/>
  <c r="BA538" i="3"/>
  <c r="G537" i="3"/>
  <c r="G536" i="3"/>
  <c r="BL533" i="3"/>
  <c r="BA533" i="3"/>
  <c r="BA530" i="3"/>
  <c r="BA527" i="3"/>
  <c r="BL524" i="3"/>
  <c r="BA524" i="3"/>
  <c r="G521" i="3"/>
  <c r="BA515" i="3"/>
  <c r="BA514" i="3"/>
  <c r="BL512" i="3"/>
  <c r="BL506" i="3"/>
  <c r="BA504" i="3"/>
  <c r="AZ504" i="3" s="1"/>
  <c r="G501" i="3"/>
  <c r="BA499" i="3"/>
  <c r="BH5" i="3"/>
  <c r="BA498" i="3"/>
  <c r="C18" i="9"/>
  <c r="D18" i="9" s="1"/>
  <c r="K10" i="1"/>
  <c r="M10" i="1" s="1"/>
  <c r="O10" i="1" s="1"/>
  <c r="P10" i="1" s="1"/>
  <c r="G417" i="3"/>
  <c r="G492" i="3"/>
  <c r="BA319" i="3"/>
  <c r="AZ319" i="3" s="1"/>
  <c r="G220" i="3"/>
  <c r="BA225" i="3"/>
  <c r="G287" i="3"/>
  <c r="G48" i="3"/>
  <c r="BA50" i="3"/>
  <c r="G51" i="3"/>
  <c r="G52" i="3"/>
  <c r="BA52" i="3"/>
  <c r="G56" i="3"/>
  <c r="G60" i="3"/>
  <c r="BL62" i="3"/>
  <c r="BL63" i="3"/>
  <c r="G69" i="3"/>
  <c r="G73" i="3"/>
  <c r="C51" i="71"/>
  <c r="B43" i="71"/>
  <c r="B44" i="71" s="1"/>
  <c r="S44" i="71" s="1"/>
  <c r="B63" i="71"/>
  <c r="B64" i="71" s="1"/>
  <c r="S64" i="71" s="1"/>
  <c r="G441" i="3"/>
  <c r="BL441" i="3"/>
  <c r="BL442" i="3"/>
  <c r="BA465" i="3"/>
  <c r="AZ465" i="3" s="1"/>
  <c r="G215" i="3"/>
  <c r="BL219" i="3"/>
  <c r="G231" i="3"/>
  <c r="BA293" i="3"/>
  <c r="G302" i="3"/>
  <c r="G136" i="3"/>
  <c r="G140" i="3"/>
  <c r="BA149" i="3"/>
  <c r="G152" i="3"/>
  <c r="G176" i="3"/>
  <c r="BL181" i="3"/>
  <c r="G184" i="3"/>
  <c r="BA185" i="3"/>
  <c r="G188" i="3"/>
  <c r="BA189" i="3"/>
  <c r="BL191" i="3"/>
  <c r="AZ191" i="3" s="1"/>
  <c r="G192" i="3"/>
  <c r="BA193" i="3"/>
  <c r="BL195" i="3"/>
  <c r="AZ195" i="3" s="1"/>
  <c r="G196" i="3"/>
  <c r="BA197" i="3"/>
  <c r="G42" i="3"/>
  <c r="G62" i="3"/>
  <c r="G76" i="3"/>
  <c r="G80" i="3"/>
  <c r="G84" i="3"/>
  <c r="G92" i="3"/>
  <c r="G96" i="3"/>
  <c r="BL99" i="3"/>
  <c r="G112" i="3"/>
  <c r="W29" i="39"/>
  <c r="Q68" i="71"/>
  <c r="B26" i="71"/>
  <c r="X35" i="71"/>
  <c r="F40" i="71"/>
  <c r="V40" i="71" s="1"/>
  <c r="AB38" i="71"/>
  <c r="AZ560" i="3"/>
  <c r="BA517" i="3"/>
  <c r="BA509" i="3"/>
  <c r="AC23" i="34"/>
  <c r="W43" i="21"/>
  <c r="AB29" i="33"/>
  <c r="S30" i="37"/>
  <c r="AB44" i="33"/>
  <c r="U38" i="37"/>
  <c r="U25" i="35"/>
  <c r="AA39" i="39"/>
  <c r="S46" i="33"/>
  <c r="U42" i="33"/>
  <c r="S32" i="33"/>
  <c r="U23" i="37"/>
  <c r="U22" i="35"/>
  <c r="U28" i="35"/>
  <c r="W8" i="39"/>
  <c r="AC15" i="34"/>
  <c r="U14" i="40"/>
  <c r="BL495" i="3"/>
  <c r="BL503" i="3"/>
  <c r="BL559" i="3"/>
  <c r="AZ559" i="3" s="1"/>
  <c r="BL565" i="3"/>
  <c r="AZ565" i="3" s="1"/>
  <c r="S12" i="36"/>
  <c r="AA12" i="36"/>
  <c r="AB40" i="39"/>
  <c r="U40" i="39"/>
  <c r="G586" i="3"/>
  <c r="S13" i="33"/>
  <c r="AA13" i="33"/>
  <c r="BA575" i="3"/>
  <c r="S23" i="39"/>
  <c r="AA23" i="39"/>
  <c r="AB36" i="33"/>
  <c r="AA19" i="33"/>
  <c r="W30" i="21"/>
  <c r="AC40" i="21"/>
  <c r="S37" i="39"/>
  <c r="U23" i="21"/>
  <c r="AA25" i="33"/>
  <c r="C15" i="40"/>
  <c r="S28" i="21"/>
  <c r="AC19" i="21"/>
  <c r="S35" i="21"/>
  <c r="AB36" i="34"/>
  <c r="AC35" i="37"/>
  <c r="AB31" i="37"/>
  <c r="U37" i="39"/>
  <c r="AC14" i="35"/>
  <c r="AA12" i="40"/>
  <c r="AZ379" i="3"/>
  <c r="AZ310" i="3"/>
  <c r="AZ356" i="3"/>
  <c r="AZ351" i="3"/>
  <c r="AZ355" i="3"/>
  <c r="AZ341" i="3"/>
  <c r="AA25" i="21"/>
  <c r="BL519" i="3"/>
  <c r="S44" i="34"/>
  <c r="S40" i="21"/>
  <c r="S27" i="35"/>
  <c r="W28" i="35"/>
  <c r="J45" i="21"/>
  <c r="F45" i="21"/>
  <c r="J9" i="33"/>
  <c r="H9" i="33"/>
  <c r="AC28" i="36"/>
  <c r="W28" i="36"/>
  <c r="H9" i="36"/>
  <c r="AB9" i="36" s="1"/>
  <c r="J9" i="36"/>
  <c r="BA558" i="3"/>
  <c r="BA553" i="3"/>
  <c r="BL532" i="3"/>
  <c r="H27" i="37"/>
  <c r="J27" i="37"/>
  <c r="AC15" i="40"/>
  <c r="AB33" i="34"/>
  <c r="U33" i="34"/>
  <c r="U43" i="21"/>
  <c r="BL515" i="3"/>
  <c r="BL563" i="3"/>
  <c r="F27" i="37"/>
  <c r="H40" i="37"/>
  <c r="F14" i="34"/>
  <c r="S14" i="34" s="1"/>
  <c r="F30" i="21"/>
  <c r="C15" i="39"/>
  <c r="J33" i="36"/>
  <c r="AC33" i="36" s="1"/>
  <c r="J12" i="36"/>
  <c r="H12" i="36"/>
  <c r="F28" i="37"/>
  <c r="J28" i="37"/>
  <c r="AC28" i="37" s="1"/>
  <c r="AA27" i="40"/>
  <c r="S27" i="40"/>
  <c r="AA31" i="35"/>
  <c r="S31" i="35"/>
  <c r="G553" i="3"/>
  <c r="BL546" i="3"/>
  <c r="G528" i="3"/>
  <c r="BA510" i="3"/>
  <c r="BA497" i="3"/>
  <c r="G493" i="3"/>
  <c r="AZ344" i="3"/>
  <c r="AZ336" i="3"/>
  <c r="H31" i="40"/>
  <c r="U31" i="40" s="1"/>
  <c r="BL523" i="3"/>
  <c r="BL531" i="3"/>
  <c r="BL537" i="3"/>
  <c r="BL557" i="3"/>
  <c r="H39" i="37"/>
  <c r="U9" i="39"/>
  <c r="J44" i="39"/>
  <c r="F44" i="39"/>
  <c r="G555" i="3"/>
  <c r="G554" i="3"/>
  <c r="G583" i="3"/>
  <c r="BL580" i="3"/>
  <c r="G575" i="3"/>
  <c r="BA568" i="3"/>
  <c r="G584" i="3"/>
  <c r="BL581" i="3"/>
  <c r="BA581" i="3"/>
  <c r="BA580" i="3"/>
  <c r="BL578" i="3"/>
  <c r="BA577" i="3"/>
  <c r="G577" i="3"/>
  <c r="BL576" i="3"/>
  <c r="BA576" i="3"/>
  <c r="G576" i="3"/>
  <c r="BL575" i="3"/>
  <c r="BL574" i="3"/>
  <c r="BA574" i="3"/>
  <c r="BA573" i="3"/>
  <c r="BL572" i="3"/>
  <c r="AZ572" i="3" s="1"/>
  <c r="BL571" i="3"/>
  <c r="BA569" i="3"/>
  <c r="BI5" i="3"/>
  <c r="BA567" i="3"/>
  <c r="G567" i="3"/>
  <c r="BL566" i="3"/>
  <c r="BA566" i="3"/>
  <c r="BA13" i="3"/>
  <c r="BL409" i="3"/>
  <c r="G410" i="3"/>
  <c r="BA424" i="3"/>
  <c r="BL430" i="3"/>
  <c r="BL455" i="3"/>
  <c r="G458" i="3"/>
  <c r="G462" i="3"/>
  <c r="BA462" i="3"/>
  <c r="BA473" i="3"/>
  <c r="BL316" i="3"/>
  <c r="BL340" i="3"/>
  <c r="AZ340" i="3" s="1"/>
  <c r="BA385" i="3"/>
  <c r="BL386" i="3"/>
  <c r="BL227" i="3"/>
  <c r="G232" i="3"/>
  <c r="G236" i="3"/>
  <c r="BL259" i="3"/>
  <c r="G261" i="3"/>
  <c r="BL261" i="3"/>
  <c r="BL298" i="3"/>
  <c r="BA132" i="3"/>
  <c r="AZ132" i="3" s="1"/>
  <c r="BA148" i="3"/>
  <c r="AZ148" i="3" s="1"/>
  <c r="BA162" i="3"/>
  <c r="BA177" i="3"/>
  <c r="BA43" i="3"/>
  <c r="BA97" i="3"/>
  <c r="D80" i="71"/>
  <c r="D72" i="71"/>
  <c r="G14" i="3"/>
  <c r="BL399" i="3"/>
  <c r="G401" i="3"/>
  <c r="BL412" i="3"/>
  <c r="BL420" i="3"/>
  <c r="G423" i="3"/>
  <c r="G448" i="3"/>
  <c r="G452" i="3"/>
  <c r="BA452" i="3"/>
  <c r="G470" i="3"/>
  <c r="BA470" i="3"/>
  <c r="G490" i="3"/>
  <c r="BL490" i="3"/>
  <c r="G358" i="3"/>
  <c r="BA358" i="3"/>
  <c r="AZ358" i="3" s="1"/>
  <c r="BL381" i="3"/>
  <c r="AZ381" i="3" s="1"/>
  <c r="BA212" i="3"/>
  <c r="BA214" i="3"/>
  <c r="BA219" i="3"/>
  <c r="AZ219" i="3" s="1"/>
  <c r="G223" i="3"/>
  <c r="BA223" i="3"/>
  <c r="BA231" i="3"/>
  <c r="BA235" i="3"/>
  <c r="BA240" i="3"/>
  <c r="BA245" i="3"/>
  <c r="BL267" i="3"/>
  <c r="G284" i="3"/>
  <c r="BA120" i="3"/>
  <c r="AZ120" i="3" s="1"/>
  <c r="BA157" i="3"/>
  <c r="BL173" i="3"/>
  <c r="BA33" i="3"/>
  <c r="BL76" i="3"/>
  <c r="BA77" i="3"/>
  <c r="G81" i="3"/>
  <c r="BA91" i="3"/>
  <c r="AZ91" i="3" s="1"/>
  <c r="BL106" i="3"/>
  <c r="BA108" i="3"/>
  <c r="S18" i="36"/>
  <c r="E79" i="71"/>
  <c r="E78" i="71" s="1"/>
  <c r="E71" i="71"/>
  <c r="E70" i="71" s="1"/>
  <c r="D58" i="71"/>
  <c r="AB32" i="71"/>
  <c r="C43" i="71"/>
  <c r="C44" i="71" s="1"/>
  <c r="G549" i="3"/>
  <c r="G541" i="3"/>
  <c r="G533" i="3"/>
  <c r="G532" i="3"/>
  <c r="G531" i="3"/>
  <c r="G524" i="3"/>
  <c r="G523" i="3"/>
  <c r="G522" i="3"/>
  <c r="G518" i="3"/>
  <c r="G516" i="3"/>
  <c r="G511" i="3"/>
  <c r="G505" i="3"/>
  <c r="G504" i="3"/>
  <c r="G502" i="3"/>
  <c r="G497" i="3"/>
  <c r="G496" i="3"/>
  <c r="G494" i="3"/>
  <c r="BA400" i="3"/>
  <c r="G403" i="3"/>
  <c r="G407" i="3"/>
  <c r="G408" i="3"/>
  <c r="G411" i="3"/>
  <c r="G420" i="3"/>
  <c r="G438" i="3"/>
  <c r="G450" i="3"/>
  <c r="G451" i="3"/>
  <c r="G463" i="3"/>
  <c r="BL469" i="3"/>
  <c r="BL479" i="3"/>
  <c r="G481" i="3"/>
  <c r="BA487" i="3"/>
  <c r="BL487" i="3"/>
  <c r="G488" i="3"/>
  <c r="G307" i="3"/>
  <c r="G323" i="3"/>
  <c r="G364" i="3"/>
  <c r="G380" i="3"/>
  <c r="G384" i="3"/>
  <c r="G229" i="3"/>
  <c r="BL230" i="3"/>
  <c r="G233" i="3"/>
  <c r="G237" i="3"/>
  <c r="G247" i="3"/>
  <c r="G251" i="3"/>
  <c r="G258" i="3"/>
  <c r="G266" i="3"/>
  <c r="G270" i="3"/>
  <c r="G286" i="3"/>
  <c r="G290" i="3"/>
  <c r="BA156" i="3"/>
  <c r="AZ156" i="3" s="1"/>
  <c r="BA168" i="3"/>
  <c r="AZ168" i="3" s="1"/>
  <c r="BL169" i="3"/>
  <c r="G202" i="3"/>
  <c r="G206" i="3"/>
  <c r="G19" i="3"/>
  <c r="BL23" i="3"/>
  <c r="G31" i="3"/>
  <c r="G66" i="3"/>
  <c r="BA67" i="3"/>
  <c r="BL69" i="3"/>
  <c r="G70" i="3"/>
  <c r="G79" i="3"/>
  <c r="G87" i="3"/>
  <c r="BL100" i="3"/>
  <c r="AC21" i="33"/>
  <c r="S28" i="71"/>
  <c r="C79" i="71"/>
  <c r="C71" i="71"/>
  <c r="F27" i="71"/>
  <c r="F26" i="71" s="1"/>
  <c r="C38" i="71"/>
  <c r="D38" i="71" s="1"/>
  <c r="AA38" i="71"/>
  <c r="F32" i="15"/>
  <c r="F60" i="15" s="1"/>
  <c r="F30" i="68"/>
  <c r="F48" i="68" s="1"/>
  <c r="AA23" i="40"/>
  <c r="S23" i="40"/>
  <c r="F25" i="37"/>
  <c r="AA25" i="37" s="1"/>
  <c r="H25" i="37"/>
  <c r="J25" i="37"/>
  <c r="S36" i="34"/>
  <c r="W12" i="33"/>
  <c r="AB30" i="21"/>
  <c r="J13" i="39"/>
  <c r="AA43" i="39"/>
  <c r="S43" i="39"/>
  <c r="AB36" i="37"/>
  <c r="U36" i="37"/>
  <c r="F32" i="34"/>
  <c r="F45" i="33"/>
  <c r="S17" i="34"/>
  <c r="AA17" i="34"/>
  <c r="AB25" i="34"/>
  <c r="U25" i="34"/>
  <c r="U23" i="34"/>
  <c r="AB23" i="34"/>
  <c r="J31" i="21"/>
  <c r="H31" i="21"/>
  <c r="F31" i="21"/>
  <c r="C21" i="40"/>
  <c r="B90" i="43"/>
  <c r="J26" i="33"/>
  <c r="F26" i="33"/>
  <c r="H31" i="39"/>
  <c r="F31" i="39"/>
  <c r="J43" i="39"/>
  <c r="H43" i="39"/>
  <c r="AB43" i="39" s="1"/>
  <c r="AA41" i="21"/>
  <c r="S41" i="21"/>
  <c r="AB36" i="39"/>
  <c r="U36" i="39"/>
  <c r="BA579" i="3"/>
  <c r="BA578" i="3"/>
  <c r="BA571" i="3"/>
  <c r="BA570" i="3"/>
  <c r="AC38" i="37"/>
  <c r="W38" i="37"/>
  <c r="S29" i="33"/>
  <c r="AA29" i="33"/>
  <c r="F12" i="35"/>
  <c r="J12" i="35"/>
  <c r="W12" i="35" s="1"/>
  <c r="AB31" i="36"/>
  <c r="U31" i="36"/>
  <c r="W42" i="34"/>
  <c r="AC42" i="34"/>
  <c r="U31" i="35"/>
  <c r="AB31" i="35"/>
  <c r="BL568" i="3"/>
  <c r="AZ568" i="3" s="1"/>
  <c r="AB19" i="33"/>
  <c r="S31" i="33"/>
  <c r="AC14" i="34"/>
  <c r="AA40" i="34"/>
  <c r="AA12" i="39"/>
  <c r="AC36" i="40"/>
  <c r="S30" i="40"/>
  <c r="AA30" i="40"/>
  <c r="S36" i="35"/>
  <c r="AA36" i="35"/>
  <c r="AA35" i="35"/>
  <c r="AA13" i="34"/>
  <c r="S13" i="34"/>
  <c r="F33" i="36"/>
  <c r="U32" i="39"/>
  <c r="F31" i="12"/>
  <c r="AA15" i="21"/>
  <c r="AC17" i="21"/>
  <c r="U28" i="21"/>
  <c r="U15" i="33"/>
  <c r="W33" i="34"/>
  <c r="S40" i="37"/>
  <c r="U15" i="40"/>
  <c r="AC14" i="40"/>
  <c r="D120" i="9"/>
  <c r="AB41" i="34"/>
  <c r="AB19" i="40"/>
  <c r="H27" i="40"/>
  <c r="U20" i="35"/>
  <c r="AB20" i="35"/>
  <c r="AB35" i="40"/>
  <c r="U35" i="40"/>
  <c r="U12" i="40"/>
  <c r="AZ394" i="3"/>
  <c r="AZ378" i="3"/>
  <c r="AC19" i="40"/>
  <c r="W19" i="40"/>
  <c r="U25" i="39"/>
  <c r="AB25" i="39"/>
  <c r="AA43" i="33"/>
  <c r="S43" i="33"/>
  <c r="BL577" i="3"/>
  <c r="AA14" i="34"/>
  <c r="F13" i="39"/>
  <c r="F13" i="40"/>
  <c r="W35" i="40"/>
  <c r="AC35" i="40"/>
  <c r="J35" i="35"/>
  <c r="W35" i="35" s="1"/>
  <c r="W25" i="35"/>
  <c r="U47" i="34"/>
  <c r="H32" i="34"/>
  <c r="H14" i="34"/>
  <c r="J45" i="33"/>
  <c r="AC11" i="40"/>
  <c r="J36" i="39"/>
  <c r="AC36" i="39" s="1"/>
  <c r="W29" i="21"/>
  <c r="AC29" i="21"/>
  <c r="W22" i="36"/>
  <c r="AC22" i="36"/>
  <c r="S23" i="36"/>
  <c r="AA23" i="36"/>
  <c r="AA8" i="40"/>
  <c r="S8" i="40"/>
  <c r="BA563" i="3"/>
  <c r="AZ563" i="3" s="1"/>
  <c r="BA562" i="3"/>
  <c r="BL558" i="3"/>
  <c r="BA541" i="3"/>
  <c r="BA525" i="3"/>
  <c r="BL521" i="3"/>
  <c r="BA516" i="3"/>
  <c r="BA505" i="3"/>
  <c r="BL499" i="3"/>
  <c r="AZ499" i="3" s="1"/>
  <c r="BF5" i="3"/>
  <c r="S14" i="33"/>
  <c r="AA14" i="33"/>
  <c r="U34" i="39"/>
  <c r="AB34" i="39"/>
  <c r="H24" i="36"/>
  <c r="J24" i="36"/>
  <c r="F24" i="36"/>
  <c r="U8" i="39"/>
  <c r="AB8" i="39"/>
  <c r="AA44" i="39"/>
  <c r="S44" i="39"/>
  <c r="AC23" i="39"/>
  <c r="W23" i="39"/>
  <c r="H45" i="39"/>
  <c r="F45" i="39"/>
  <c r="AA38" i="34"/>
  <c r="S38" i="34"/>
  <c r="BL579" i="3"/>
  <c r="AB45" i="21"/>
  <c r="AC32" i="33"/>
  <c r="AB29" i="21"/>
  <c r="S19" i="21"/>
  <c r="AC15" i="21"/>
  <c r="AB34" i="33"/>
  <c r="AC32" i="34"/>
  <c r="AA31" i="34"/>
  <c r="AB37" i="37"/>
  <c r="W36" i="37"/>
  <c r="AA29" i="34"/>
  <c r="S28" i="40"/>
  <c r="S34" i="33"/>
  <c r="AA34" i="33"/>
  <c r="AC21" i="40"/>
  <c r="AA20" i="35"/>
  <c r="AZ372" i="3"/>
  <c r="AZ347" i="3"/>
  <c r="AZ313" i="3"/>
  <c r="S11" i="39"/>
  <c r="AA11" i="39"/>
  <c r="W9" i="39"/>
  <c r="AB41" i="39"/>
  <c r="U41" i="39"/>
  <c r="AC12" i="37"/>
  <c r="AZ515" i="3"/>
  <c r="BL569" i="3"/>
  <c r="AZ569" i="3" s="1"/>
  <c r="AZ524" i="3"/>
  <c r="AZ564" i="3"/>
  <c r="W31" i="34"/>
  <c r="S14" i="37"/>
  <c r="AA14" i="37"/>
  <c r="H13" i="40"/>
  <c r="H35" i="35"/>
  <c r="U13" i="35"/>
  <c r="AB13" i="35"/>
  <c r="S45" i="34"/>
  <c r="AA45" i="34"/>
  <c r="AC40" i="37"/>
  <c r="J29" i="33"/>
  <c r="H26" i="33"/>
  <c r="AB26" i="33" s="1"/>
  <c r="AB11" i="33"/>
  <c r="U11" i="33"/>
  <c r="AB16" i="36"/>
  <c r="U16" i="36"/>
  <c r="J31" i="39"/>
  <c r="AA19" i="39"/>
  <c r="S19" i="39"/>
  <c r="AB38" i="39"/>
  <c r="U38" i="39"/>
  <c r="AC41" i="33"/>
  <c r="W41" i="33"/>
  <c r="BA552" i="3"/>
  <c r="AZ552" i="3" s="1"/>
  <c r="BA534" i="3"/>
  <c r="BL530" i="3"/>
  <c r="AZ530" i="3" s="1"/>
  <c r="BA521" i="3"/>
  <c r="BL510" i="3"/>
  <c r="AZ510" i="3" s="1"/>
  <c r="BR5" i="3"/>
  <c r="BL494" i="3"/>
  <c r="S14" i="35"/>
  <c r="AZ342" i="3"/>
  <c r="AZ337" i="3"/>
  <c r="AZ325" i="3"/>
  <c r="AZ320" i="3"/>
  <c r="BL527" i="3"/>
  <c r="AZ527" i="3" s="1"/>
  <c r="BL567" i="3"/>
  <c r="BL573" i="3"/>
  <c r="AZ573" i="3" s="1"/>
  <c r="F28" i="34"/>
  <c r="J28" i="34"/>
  <c r="W28" i="34" s="1"/>
  <c r="AB9" i="40"/>
  <c r="U9" i="40"/>
  <c r="AB12" i="36"/>
  <c r="U12" i="36"/>
  <c r="AA34" i="39"/>
  <c r="S34" i="39"/>
  <c r="G582" i="3"/>
  <c r="G574" i="3"/>
  <c r="G587" i="3"/>
  <c r="BL584" i="3"/>
  <c r="BA584" i="3"/>
  <c r="AZ584" i="3" s="1"/>
  <c r="BL582" i="3"/>
  <c r="G552" i="3"/>
  <c r="BL549" i="3"/>
  <c r="BA549" i="3"/>
  <c r="G546" i="3"/>
  <c r="G545" i="3"/>
  <c r="BL544" i="3"/>
  <c r="G544" i="3"/>
  <c r="BA543" i="3"/>
  <c r="BL542" i="3"/>
  <c r="BG5" i="3"/>
  <c r="BO5" i="3"/>
  <c r="BA540" i="3"/>
  <c r="BS5" i="3"/>
  <c r="AC5" i="3"/>
  <c r="BL536" i="3"/>
  <c r="BA532" i="3"/>
  <c r="AZ532" i="3" s="1"/>
  <c r="BL529" i="3"/>
  <c r="G529" i="3"/>
  <c r="BL528" i="3"/>
  <c r="BA519" i="3"/>
  <c r="AZ519" i="3" s="1"/>
  <c r="BA518" i="3"/>
  <c r="G515" i="3"/>
  <c r="BL514" i="3"/>
  <c r="AZ514" i="3" s="1"/>
  <c r="AA27" i="71"/>
  <c r="E30" i="71"/>
  <c r="E31" i="71" s="1"/>
  <c r="E32" i="71" s="1"/>
  <c r="U32" i="71" s="1"/>
  <c r="AA28" i="71"/>
  <c r="U76" i="71"/>
  <c r="E75" i="71"/>
  <c r="E74" i="71" s="1"/>
  <c r="BL402" i="3"/>
  <c r="BL406" i="3"/>
  <c r="BA408" i="3"/>
  <c r="BA409" i="3"/>
  <c r="AZ409" i="3" s="1"/>
  <c r="BL411" i="3"/>
  <c r="G427" i="3"/>
  <c r="BL427" i="3"/>
  <c r="BA432" i="3"/>
  <c r="BL440" i="3"/>
  <c r="G445" i="3"/>
  <c r="BL447" i="3"/>
  <c r="BA451" i="3"/>
  <c r="BA458" i="3"/>
  <c r="BL460" i="3"/>
  <c r="BL461" i="3"/>
  <c r="BA463" i="3"/>
  <c r="G467" i="3"/>
  <c r="BA467" i="3"/>
  <c r="BA468" i="3"/>
  <c r="BL472" i="3"/>
  <c r="G478" i="3"/>
  <c r="BA489" i="3"/>
  <c r="BA331" i="3"/>
  <c r="AZ331" i="3" s="1"/>
  <c r="BL350" i="3"/>
  <c r="BA353" i="3"/>
  <c r="BL353" i="3"/>
  <c r="BL395" i="3"/>
  <c r="G209" i="3"/>
  <c r="BA209" i="3"/>
  <c r="BA217" i="3"/>
  <c r="BL217" i="3"/>
  <c r="BL222" i="3"/>
  <c r="BA230" i="3"/>
  <c r="AZ230" i="3" s="1"/>
  <c r="G234" i="3"/>
  <c r="BL234" i="3"/>
  <c r="G238" i="3"/>
  <c r="BA238" i="3"/>
  <c r="G243" i="3"/>
  <c r="BA243" i="3"/>
  <c r="BL252" i="3"/>
  <c r="BA260" i="3"/>
  <c r="BA265" i="3"/>
  <c r="BA267" i="3"/>
  <c r="AZ267" i="3" s="1"/>
  <c r="BA269" i="3"/>
  <c r="AZ269" i="3" s="1"/>
  <c r="G281" i="3"/>
  <c r="BA281" i="3"/>
  <c r="BL289" i="3"/>
  <c r="G291" i="3"/>
  <c r="G116" i="3"/>
  <c r="BA116" i="3"/>
  <c r="AZ116" i="3" s="1"/>
  <c r="BA121" i="3"/>
  <c r="BL121" i="3"/>
  <c r="BL127" i="3"/>
  <c r="AZ127" i="3" s="1"/>
  <c r="BL161" i="3"/>
  <c r="D84" i="71"/>
  <c r="C83" i="71"/>
  <c r="G514" i="3"/>
  <c r="BA511" i="3"/>
  <c r="G508" i="3"/>
  <c r="BL501" i="3"/>
  <c r="BL500" i="3"/>
  <c r="G500" i="3"/>
  <c r="BA496" i="3"/>
  <c r="BA398" i="3"/>
  <c r="BA399" i="3"/>
  <c r="AZ399" i="3" s="1"/>
  <c r="BA402" i="3"/>
  <c r="BA406" i="3"/>
  <c r="G416" i="3"/>
  <c r="BL416" i="3"/>
  <c r="BA418" i="3"/>
  <c r="BL419" i="3"/>
  <c r="BA420" i="3"/>
  <c r="G425" i="3"/>
  <c r="BL425" i="3"/>
  <c r="BL426" i="3"/>
  <c r="G434" i="3"/>
  <c r="BA436" i="3"/>
  <c r="BL437" i="3"/>
  <c r="G439" i="3"/>
  <c r="G440" i="3"/>
  <c r="BL443" i="3"/>
  <c r="BA446" i="3"/>
  <c r="G449" i="3"/>
  <c r="BA449" i="3"/>
  <c r="BL451" i="3"/>
  <c r="BA456" i="3"/>
  <c r="BA457" i="3"/>
  <c r="G459" i="3"/>
  <c r="BL462" i="3"/>
  <c r="G464" i="3"/>
  <c r="G477" i="3"/>
  <c r="G485" i="3"/>
  <c r="BA349" i="3"/>
  <c r="AZ349" i="3" s="1"/>
  <c r="BL367" i="3"/>
  <c r="BA368" i="3"/>
  <c r="BL368" i="3"/>
  <c r="BA374" i="3"/>
  <c r="AZ374" i="3" s="1"/>
  <c r="BL383" i="3"/>
  <c r="AZ383" i="3" s="1"/>
  <c r="G397" i="3"/>
  <c r="BL208" i="3"/>
  <c r="G212" i="3"/>
  <c r="G217" i="3"/>
  <c r="G221" i="3"/>
  <c r="BA221" i="3"/>
  <c r="G224" i="3"/>
  <c r="G225" i="3"/>
  <c r="BA228" i="3"/>
  <c r="BL228" i="3"/>
  <c r="BA233" i="3"/>
  <c r="BL237" i="3"/>
  <c r="BL242" i="3"/>
  <c r="BA250" i="3"/>
  <c r="BL250" i="3"/>
  <c r="G252" i="3"/>
  <c r="BA257" i="3"/>
  <c r="BA259" i="3"/>
  <c r="AZ259" i="3" s="1"/>
  <c r="G262" i="3"/>
  <c r="G263" i="3"/>
  <c r="BA263" i="3"/>
  <c r="G267" i="3"/>
  <c r="G269" i="3"/>
  <c r="BA134" i="3"/>
  <c r="G138" i="3"/>
  <c r="G146" i="3"/>
  <c r="C39" i="71"/>
  <c r="B66" i="71"/>
  <c r="N67" i="71"/>
  <c r="BL15" i="3"/>
  <c r="AZ15" i="3" s="1"/>
  <c r="G400" i="3"/>
  <c r="BL401" i="3"/>
  <c r="G404" i="3"/>
  <c r="BL404" i="3"/>
  <c r="BL405" i="3"/>
  <c r="BA410" i="3"/>
  <c r="G414" i="3"/>
  <c r="BL414" i="3"/>
  <c r="BL415" i="3"/>
  <c r="BL423" i="3"/>
  <c r="G428" i="3"/>
  <c r="BA431" i="3"/>
  <c r="BL433" i="3"/>
  <c r="BA443" i="3"/>
  <c r="G446" i="3"/>
  <c r="BA448" i="3"/>
  <c r="BA453" i="3"/>
  <c r="BA455" i="3"/>
  <c r="AZ455" i="3" s="1"/>
  <c r="G468" i="3"/>
  <c r="BA471" i="3"/>
  <c r="BA476" i="3"/>
  <c r="G479" i="3"/>
  <c r="G480" i="3"/>
  <c r="BL488" i="3"/>
  <c r="BL308" i="3"/>
  <c r="AZ308" i="3" s="1"/>
  <c r="BL317" i="3"/>
  <c r="G318" i="3"/>
  <c r="G349" i="3"/>
  <c r="BL359" i="3"/>
  <c r="AZ359" i="3" s="1"/>
  <c r="G362" i="3"/>
  <c r="BL365" i="3"/>
  <c r="AZ365" i="3" s="1"/>
  <c r="G366" i="3"/>
  <c r="G374" i="3"/>
  <c r="G382" i="3"/>
  <c r="G387" i="3"/>
  <c r="BA388" i="3"/>
  <c r="AZ388" i="3" s="1"/>
  <c r="G210" i="3"/>
  <c r="BL211" i="3"/>
  <c r="BL216" i="3"/>
  <c r="BA220" i="3"/>
  <c r="BL224" i="3"/>
  <c r="G228" i="3"/>
  <c r="BL232" i="3"/>
  <c r="G235" i="3"/>
  <c r="BA236" i="3"/>
  <c r="G239" i="3"/>
  <c r="G244" i="3"/>
  <c r="BA248" i="3"/>
  <c r="BL248" i="3"/>
  <c r="G250" i="3"/>
  <c r="BA255" i="3"/>
  <c r="G259" i="3"/>
  <c r="BL262" i="3"/>
  <c r="G265" i="3"/>
  <c r="BA271" i="3"/>
  <c r="BL271" i="3"/>
  <c r="BA275" i="3"/>
  <c r="BA279" i="3"/>
  <c r="G282" i="3"/>
  <c r="BA286" i="3"/>
  <c r="BL286" i="3"/>
  <c r="G294" i="3"/>
  <c r="BL122" i="3"/>
  <c r="G128" i="3"/>
  <c r="BA133" i="3"/>
  <c r="BL135" i="3"/>
  <c r="AZ135" i="3" s="1"/>
  <c r="G164" i="3"/>
  <c r="AA21" i="37"/>
  <c r="S21" i="37"/>
  <c r="W25" i="40"/>
  <c r="AC25" i="40"/>
  <c r="AA37" i="71"/>
  <c r="S80" i="71"/>
  <c r="B79" i="71"/>
  <c r="B78" i="71" s="1"/>
  <c r="BL178" i="3"/>
  <c r="BA180" i="3"/>
  <c r="AZ180" i="3" s="1"/>
  <c r="BL182" i="3"/>
  <c r="BA188" i="3"/>
  <c r="AZ188" i="3" s="1"/>
  <c r="BL205" i="3"/>
  <c r="G23" i="3"/>
  <c r="BA40" i="3"/>
  <c r="BL44" i="3"/>
  <c r="BA45" i="3"/>
  <c r="BA46" i="3"/>
  <c r="BL47" i="3"/>
  <c r="G50" i="3"/>
  <c r="BA55" i="3"/>
  <c r="BL57" i="3"/>
  <c r="G59" i="3"/>
  <c r="BA65" i="3"/>
  <c r="BL67" i="3"/>
  <c r="AZ67" i="3" s="1"/>
  <c r="BA72" i="3"/>
  <c r="G88" i="3"/>
  <c r="BA94" i="3"/>
  <c r="F3" i="35"/>
  <c r="P27" i="6"/>
  <c r="E39" i="71"/>
  <c r="E40" i="71" s="1"/>
  <c r="U40" i="71" s="1"/>
  <c r="AB26" i="71"/>
  <c r="Y35" i="71"/>
  <c r="Z35" i="71" s="1"/>
  <c r="B39" i="71"/>
  <c r="B40" i="71" s="1"/>
  <c r="S40" i="71" s="1"/>
  <c r="BA145" i="3"/>
  <c r="G172" i="3"/>
  <c r="BL175" i="3"/>
  <c r="AZ175" i="3" s="1"/>
  <c r="BL186" i="3"/>
  <c r="BA201" i="3"/>
  <c r="BL201" i="3"/>
  <c r="BL203" i="3"/>
  <c r="AZ203" i="3" s="1"/>
  <c r="BA204" i="3"/>
  <c r="AZ204" i="3" s="1"/>
  <c r="G18" i="3"/>
  <c r="BA18" i="3"/>
  <c r="BA22" i="3"/>
  <c r="G26" i="3"/>
  <c r="BA30" i="3"/>
  <c r="BL34" i="3"/>
  <c r="BA36" i="3"/>
  <c r="BL38" i="3"/>
  <c r="BA39" i="3"/>
  <c r="G43" i="3"/>
  <c r="G44" i="3"/>
  <c r="BL52" i="3"/>
  <c r="AZ52" i="3" s="1"/>
  <c r="BL65" i="3"/>
  <c r="BL66" i="3"/>
  <c r="BA70" i="3"/>
  <c r="BA88" i="3"/>
  <c r="BA95" i="3"/>
  <c r="G105" i="3"/>
  <c r="BA105" i="3"/>
  <c r="BA109" i="3"/>
  <c r="AA35" i="71"/>
  <c r="BA276" i="3"/>
  <c r="BL280" i="3"/>
  <c r="G283" i="3"/>
  <c r="BA288" i="3"/>
  <c r="G289" i="3"/>
  <c r="G295" i="3"/>
  <c r="BA296" i="3"/>
  <c r="BA301" i="3"/>
  <c r="G123" i="3"/>
  <c r="BA124" i="3"/>
  <c r="AZ124" i="3" s="1"/>
  <c r="G134" i="3"/>
  <c r="G144" i="3"/>
  <c r="BA144" i="3"/>
  <c r="AZ144" i="3" s="1"/>
  <c r="BL146" i="3"/>
  <c r="G147" i="3"/>
  <c r="BL158" i="3"/>
  <c r="G159" i="3"/>
  <c r="BL163" i="3"/>
  <c r="AZ163" i="3" s="1"/>
  <c r="G170" i="3"/>
  <c r="G175" i="3"/>
  <c r="G190" i="3"/>
  <c r="BA194" i="3"/>
  <c r="BL198" i="3"/>
  <c r="G20" i="3"/>
  <c r="BA21" i="3"/>
  <c r="BL24" i="3"/>
  <c r="BA26" i="3"/>
  <c r="G28" i="3"/>
  <c r="BL28" i="3"/>
  <c r="BA29" i="3"/>
  <c r="G32" i="3"/>
  <c r="G33" i="3"/>
  <c r="G34" i="3"/>
  <c r="G41" i="3"/>
  <c r="G46" i="3"/>
  <c r="BA53" i="3"/>
  <c r="BA54" i="3"/>
  <c r="BL64" i="3"/>
  <c r="G65" i="3"/>
  <c r="BL70" i="3"/>
  <c r="BL71" i="3"/>
  <c r="BA78" i="3"/>
  <c r="BL82" i="3"/>
  <c r="G85" i="3"/>
  <c r="BL85" i="3"/>
  <c r="BA86" i="3"/>
  <c r="G95" i="3"/>
  <c r="BL101" i="3"/>
  <c r="BL102" i="3"/>
  <c r="BA104" i="3"/>
  <c r="BL110" i="3"/>
  <c r="BL111" i="3"/>
  <c r="S25" i="40"/>
  <c r="E66" i="71"/>
  <c r="P65" i="71" s="1"/>
  <c r="Y29" i="71"/>
  <c r="Z29" i="71" s="1"/>
  <c r="F75" i="71"/>
  <c r="F74" i="71" s="1"/>
  <c r="F123" i="21"/>
  <c r="H42" i="21" s="1"/>
  <c r="AB44" i="21"/>
  <c r="W44" i="21"/>
  <c r="AB32" i="21"/>
  <c r="S32" i="21"/>
  <c r="F30" i="69"/>
  <c r="F48" i="69" s="1"/>
  <c r="F52" i="9"/>
  <c r="D68" i="9"/>
  <c r="M18" i="15"/>
  <c r="M18" i="67"/>
  <c r="F30" i="11"/>
  <c r="C48" i="11" s="1"/>
  <c r="F54" i="9"/>
  <c r="F28" i="15"/>
  <c r="F32" i="67"/>
  <c r="F60" i="67" s="1"/>
  <c r="F28" i="67"/>
  <c r="C28" i="67" s="1"/>
  <c r="C40" i="68"/>
  <c r="C21" i="68"/>
  <c r="AZ544" i="3"/>
  <c r="H64" i="43"/>
  <c r="H69" i="43"/>
  <c r="AB32" i="33"/>
  <c r="U32" i="33"/>
  <c r="AA31" i="39"/>
  <c r="S31" i="39"/>
  <c r="AB11" i="40"/>
  <c r="U11" i="40"/>
  <c r="AC26" i="33"/>
  <c r="W26" i="33"/>
  <c r="W27" i="35"/>
  <c r="AC27" i="35"/>
  <c r="F25" i="36"/>
  <c r="H25" i="36"/>
  <c r="H13" i="37"/>
  <c r="J13" i="37"/>
  <c r="F14" i="39"/>
  <c r="J14" i="39"/>
  <c r="AC14" i="39" s="1"/>
  <c r="H14" i="39"/>
  <c r="W31" i="35"/>
  <c r="AC31" i="35"/>
  <c r="AC30" i="36"/>
  <c r="W30" i="36"/>
  <c r="BA583" i="3"/>
  <c r="BA582" i="3"/>
  <c r="AZ582" i="3" s="1"/>
  <c r="BA548" i="3"/>
  <c r="BL545" i="3"/>
  <c r="BT5" i="3"/>
  <c r="BJ5" i="3"/>
  <c r="BN5" i="3"/>
  <c r="G29" i="6" s="1"/>
  <c r="BE5" i="3"/>
  <c r="BM5" i="3"/>
  <c r="BD5" i="3"/>
  <c r="W27" i="33"/>
  <c r="AC27" i="33"/>
  <c r="W17" i="37"/>
  <c r="AC17" i="37"/>
  <c r="AC41" i="34"/>
  <c r="W41" i="34"/>
  <c r="W25" i="36"/>
  <c r="AC25" i="36"/>
  <c r="S32" i="34"/>
  <c r="AA32" i="34"/>
  <c r="D121" i="9"/>
  <c r="D7" i="52" s="1"/>
  <c r="D6" i="52"/>
  <c r="U27" i="33"/>
  <c r="AB27" i="33"/>
  <c r="AC15" i="37"/>
  <c r="AA17" i="21"/>
  <c r="S17" i="21"/>
  <c r="W13" i="34"/>
  <c r="AC13" i="34"/>
  <c r="U14" i="33"/>
  <c r="AB14" i="33"/>
  <c r="AC16" i="35"/>
  <c r="W16" i="35"/>
  <c r="H28" i="33"/>
  <c r="J28" i="33"/>
  <c r="U12" i="34"/>
  <c r="AB12" i="34"/>
  <c r="J23" i="35"/>
  <c r="H23" i="35"/>
  <c r="F23" i="35"/>
  <c r="AB34" i="35"/>
  <c r="U34" i="35"/>
  <c r="AC22" i="35"/>
  <c r="W22" i="35"/>
  <c r="J11" i="36"/>
  <c r="AC11" i="36" s="1"/>
  <c r="H11" i="36"/>
  <c r="U11" i="36" s="1"/>
  <c r="F11" i="36"/>
  <c r="H23" i="36"/>
  <c r="J23" i="36"/>
  <c r="AB8" i="37"/>
  <c r="U8" i="37"/>
  <c r="AB30" i="37"/>
  <c r="U30" i="37"/>
  <c r="AA9" i="39"/>
  <c r="S9" i="39"/>
  <c r="AA40" i="39"/>
  <c r="S40" i="39"/>
  <c r="AC12" i="39"/>
  <c r="W12" i="39"/>
  <c r="AC41" i="21"/>
  <c r="W41" i="21"/>
  <c r="BL555" i="3"/>
  <c r="BA555" i="3"/>
  <c r="BL554" i="3"/>
  <c r="BA554" i="3"/>
  <c r="BL551" i="3"/>
  <c r="BA551" i="3"/>
  <c r="BA550" i="3"/>
  <c r="BL548" i="3"/>
  <c r="BA547" i="3"/>
  <c r="G547" i="3"/>
  <c r="BA546" i="3"/>
  <c r="AZ546" i="3" s="1"/>
  <c r="BA545" i="3"/>
  <c r="BA542" i="3"/>
  <c r="AZ542" i="3" s="1"/>
  <c r="BL541" i="3"/>
  <c r="AZ541" i="3" s="1"/>
  <c r="BL540" i="3"/>
  <c r="AZ540" i="3" s="1"/>
  <c r="BA539" i="3"/>
  <c r="G539" i="3"/>
  <c r="BL538" i="3"/>
  <c r="AZ538" i="3" s="1"/>
  <c r="BA537" i="3"/>
  <c r="AZ537" i="3" s="1"/>
  <c r="BA536" i="3"/>
  <c r="BL534" i="3"/>
  <c r="AZ534" i="3" s="1"/>
  <c r="BA531" i="3"/>
  <c r="AZ531" i="3" s="1"/>
  <c r="BA529" i="3"/>
  <c r="AZ529" i="3" s="1"/>
  <c r="BA528" i="3"/>
  <c r="BA526" i="3"/>
  <c r="AZ526" i="3" s="1"/>
  <c r="BL525" i="3"/>
  <c r="BA523" i="3"/>
  <c r="AZ523" i="3" s="1"/>
  <c r="BL522" i="3"/>
  <c r="AZ522" i="3" s="1"/>
  <c r="BL520" i="3"/>
  <c r="BA520" i="3"/>
  <c r="BL518" i="3"/>
  <c r="AZ518" i="3" s="1"/>
  <c r="BL517" i="3"/>
  <c r="BL516" i="3"/>
  <c r="AZ516" i="3" s="1"/>
  <c r="BL513" i="3"/>
  <c r="BA513" i="3"/>
  <c r="BA512" i="3"/>
  <c r="AZ512" i="3" s="1"/>
  <c r="BL509" i="3"/>
  <c r="AZ509" i="3" s="1"/>
  <c r="BA508" i="3"/>
  <c r="AZ508" i="3" s="1"/>
  <c r="BA506" i="3"/>
  <c r="AZ506" i="3" s="1"/>
  <c r="BL505" i="3"/>
  <c r="AZ505" i="3" s="1"/>
  <c r="BA503" i="3"/>
  <c r="AZ503" i="3" s="1"/>
  <c r="BL502" i="3"/>
  <c r="BA502" i="3"/>
  <c r="BA501" i="3"/>
  <c r="AZ501" i="3" s="1"/>
  <c r="BA500" i="3"/>
  <c r="AZ500" i="3" s="1"/>
  <c r="BL498" i="3"/>
  <c r="AZ498" i="3" s="1"/>
  <c r="BL497" i="3"/>
  <c r="AZ497" i="3" s="1"/>
  <c r="BL496" i="3"/>
  <c r="BA495" i="3"/>
  <c r="AZ495" i="3" s="1"/>
  <c r="BA494" i="3"/>
  <c r="AZ494" i="3" s="1"/>
  <c r="BK5" i="3"/>
  <c r="BA493" i="3"/>
  <c r="BC5" i="3"/>
  <c r="S23" i="37"/>
  <c r="AA23" i="37"/>
  <c r="S25" i="37"/>
  <c r="AA11" i="35"/>
  <c r="S32" i="35"/>
  <c r="AB21" i="39"/>
  <c r="U21" i="39"/>
  <c r="W28" i="37"/>
  <c r="U33" i="36"/>
  <c r="AC27" i="34"/>
  <c r="AA43" i="34"/>
  <c r="S43" i="34"/>
  <c r="AC27" i="40"/>
  <c r="W27" i="40"/>
  <c r="AB32" i="37"/>
  <c r="U32" i="37"/>
  <c r="AZ376" i="3"/>
  <c r="S14" i="40"/>
  <c r="H5" i="3"/>
  <c r="AA15" i="37"/>
  <c r="S15" i="37"/>
  <c r="AC25" i="21"/>
  <c r="W25" i="21"/>
  <c r="AC28" i="34"/>
  <c r="F13" i="37"/>
  <c r="AC46" i="33"/>
  <c r="W46" i="33"/>
  <c r="J13" i="36"/>
  <c r="W13" i="36" s="1"/>
  <c r="W31" i="33"/>
  <c r="AC31" i="33"/>
  <c r="U14" i="36"/>
  <c r="AB14" i="36"/>
  <c r="W11" i="33"/>
  <c r="AC11" i="33"/>
  <c r="AA37" i="40"/>
  <c r="S37" i="40"/>
  <c r="AC15" i="33"/>
  <c r="W15" i="33"/>
  <c r="AA37" i="34"/>
  <c r="S37" i="34"/>
  <c r="W20" i="35"/>
  <c r="AC20" i="35"/>
  <c r="AC39" i="21"/>
  <c r="W39" i="21"/>
  <c r="H46" i="21"/>
  <c r="J46" i="21"/>
  <c r="F46" i="21"/>
  <c r="B99" i="43"/>
  <c r="B67" i="43"/>
  <c r="W23" i="37"/>
  <c r="AC23" i="37"/>
  <c r="S31" i="37"/>
  <c r="AA31" i="37"/>
  <c r="AB28" i="34"/>
  <c r="U28" i="34"/>
  <c r="AA27" i="37"/>
  <c r="S27" i="37"/>
  <c r="W13" i="40"/>
  <c r="AC13" i="40"/>
  <c r="AC35" i="35"/>
  <c r="U45" i="34"/>
  <c r="AB45" i="34"/>
  <c r="AA44" i="21"/>
  <c r="S44" i="21"/>
  <c r="W28" i="21"/>
  <c r="AC28" i="21"/>
  <c r="S29" i="35"/>
  <c r="AA29" i="35"/>
  <c r="W32" i="37"/>
  <c r="AB31" i="40"/>
  <c r="U35" i="37"/>
  <c r="AB35" i="37"/>
  <c r="U35" i="21"/>
  <c r="AZ309" i="3"/>
  <c r="BL583" i="3"/>
  <c r="AZ583" i="3" s="1"/>
  <c r="AC37" i="37"/>
  <c r="W37" i="37"/>
  <c r="H32" i="36"/>
  <c r="S46" i="34"/>
  <c r="AA46" i="34"/>
  <c r="U26" i="33"/>
  <c r="U17" i="34"/>
  <c r="AB17" i="34"/>
  <c r="B101" i="43"/>
  <c r="B79" i="43"/>
  <c r="S32" i="39"/>
  <c r="S39" i="40"/>
  <c r="B58" i="43"/>
  <c r="U30" i="40"/>
  <c r="W9" i="21"/>
  <c r="AC9" i="21"/>
  <c r="AA13" i="21"/>
  <c r="S13" i="21"/>
  <c r="AC14" i="21"/>
  <c r="AC46" i="34"/>
  <c r="U32" i="40"/>
  <c r="U27" i="34"/>
  <c r="AA23" i="21"/>
  <c r="B69" i="43"/>
  <c r="AB9" i="21"/>
  <c r="U9" i="21"/>
  <c r="W8" i="33"/>
  <c r="U19" i="37"/>
  <c r="U24" i="35"/>
  <c r="U43" i="39"/>
  <c r="AB13" i="39"/>
  <c r="W34" i="40"/>
  <c r="S39" i="33"/>
  <c r="AA17" i="37"/>
  <c r="S17" i="37"/>
  <c r="U29" i="37"/>
  <c r="AC12" i="35"/>
  <c r="S15" i="39"/>
  <c r="AC30" i="40"/>
  <c r="W30" i="40"/>
  <c r="U29" i="36"/>
  <c r="AZ377" i="3"/>
  <c r="AZ361" i="3"/>
  <c r="AZ357" i="3"/>
  <c r="AZ389" i="3"/>
  <c r="S19" i="40"/>
  <c r="AA19" i="40"/>
  <c r="AC36" i="34"/>
  <c r="AA37" i="37"/>
  <c r="BL547" i="3"/>
  <c r="AZ579" i="3"/>
  <c r="AZ570" i="3"/>
  <c r="H13" i="36"/>
  <c r="S30" i="34"/>
  <c r="AA30" i="34"/>
  <c r="U45" i="33"/>
  <c r="AB45" i="33"/>
  <c r="AA28" i="33"/>
  <c r="AA23" i="34"/>
  <c r="S23" i="34"/>
  <c r="W17" i="40"/>
  <c r="U28" i="40"/>
  <c r="C25" i="39"/>
  <c r="AA17" i="39"/>
  <c r="S17" i="39"/>
  <c r="AA42" i="39"/>
  <c r="S42" i="39"/>
  <c r="W31" i="37"/>
  <c r="U13" i="21"/>
  <c r="AB13" i="21"/>
  <c r="BB5" i="3"/>
  <c r="E5" i="6" s="1"/>
  <c r="D19" i="12" s="1"/>
  <c r="C19" i="12" s="1"/>
  <c r="AZ387" i="3"/>
  <c r="AZ338" i="3"/>
  <c r="AZ371" i="3"/>
  <c r="AZ305" i="3"/>
  <c r="AZ360" i="3"/>
  <c r="BL511" i="3"/>
  <c r="AZ511" i="3" s="1"/>
  <c r="BL539" i="3"/>
  <c r="AZ539" i="3" s="1"/>
  <c r="BL543" i="3"/>
  <c r="AZ543" i="3" s="1"/>
  <c r="BL553" i="3"/>
  <c r="AZ553" i="3" s="1"/>
  <c r="AB34" i="21"/>
  <c r="U34" i="21"/>
  <c r="AB33" i="33"/>
  <c r="U33" i="33"/>
  <c r="AC40" i="33"/>
  <c r="W40" i="33"/>
  <c r="F9" i="34"/>
  <c r="AA9" i="34" s="1"/>
  <c r="H9" i="34"/>
  <c r="J9" i="34"/>
  <c r="F38" i="40"/>
  <c r="H38" i="40"/>
  <c r="J38" i="40"/>
  <c r="AZ14" i="3"/>
  <c r="BL493" i="3"/>
  <c r="AZ391" i="3"/>
  <c r="AZ318" i="3"/>
  <c r="AZ364" i="3"/>
  <c r="AZ329" i="3"/>
  <c r="AZ304" i="3"/>
  <c r="AZ306" i="3"/>
  <c r="BL535" i="3"/>
  <c r="AZ535" i="3" s="1"/>
  <c r="AZ577" i="3"/>
  <c r="AZ557" i="3"/>
  <c r="AZ575" i="3"/>
  <c r="AZ566" i="3"/>
  <c r="AZ574" i="3"/>
  <c r="AA44" i="33"/>
  <c r="BL585" i="3"/>
  <c r="BA585" i="3"/>
  <c r="AZ585" i="3" s="1"/>
  <c r="AC8" i="34"/>
  <c r="W8" i="34"/>
  <c r="AC8" i="40"/>
  <c r="W8" i="40"/>
  <c r="J39" i="40"/>
  <c r="H39" i="40"/>
  <c r="G556" i="3"/>
  <c r="G585" i="3"/>
  <c r="BL587" i="3"/>
  <c r="AZ587" i="3" s="1"/>
  <c r="BL586" i="3"/>
  <c r="AZ586" i="3" s="1"/>
  <c r="AA35" i="34"/>
  <c r="S35" i="34"/>
  <c r="H12" i="35"/>
  <c r="AZ451" i="3"/>
  <c r="C55" i="71"/>
  <c r="D54" i="71"/>
  <c r="N65" i="71"/>
  <c r="N66" i="71"/>
  <c r="BL16" i="3"/>
  <c r="AZ16" i="3" s="1"/>
  <c r="BA407" i="3"/>
  <c r="BL408" i="3"/>
  <c r="AZ408" i="3" s="1"/>
  <c r="BA411" i="3"/>
  <c r="AZ411" i="3" s="1"/>
  <c r="BA414" i="3"/>
  <c r="AZ414" i="3" s="1"/>
  <c r="BA415" i="3"/>
  <c r="AZ415" i="3" s="1"/>
  <c r="BA416" i="3"/>
  <c r="AZ416" i="3" s="1"/>
  <c r="BA419" i="3"/>
  <c r="BL421" i="3"/>
  <c r="BL422" i="3"/>
  <c r="BA425" i="3"/>
  <c r="AZ425" i="3" s="1"/>
  <c r="BA426" i="3"/>
  <c r="BA427" i="3"/>
  <c r="G432" i="3"/>
  <c r="BL432" i="3"/>
  <c r="AZ432" i="3" s="1"/>
  <c r="BA434" i="3"/>
  <c r="BA435" i="3"/>
  <c r="BA444" i="3"/>
  <c r="BA445" i="3"/>
  <c r="BA447" i="3"/>
  <c r="BA450" i="3"/>
  <c r="BA454" i="3"/>
  <c r="BL458" i="3"/>
  <c r="AZ458" i="3" s="1"/>
  <c r="BL459" i="3"/>
  <c r="G461" i="3"/>
  <c r="BL463" i="3"/>
  <c r="G465" i="3"/>
  <c r="BL466" i="3"/>
  <c r="BA469" i="3"/>
  <c r="AZ469" i="3" s="1"/>
  <c r="G474" i="3"/>
  <c r="BL475" i="3"/>
  <c r="BA480" i="3"/>
  <c r="BA485" i="3"/>
  <c r="BL272" i="3"/>
  <c r="G558" i="3"/>
  <c r="BL400" i="3"/>
  <c r="AZ400" i="3" s="1"/>
  <c r="BA412" i="3"/>
  <c r="AZ412" i="3" s="1"/>
  <c r="BL417" i="3"/>
  <c r="BL418" i="3"/>
  <c r="AZ418" i="3" s="1"/>
  <c r="BA421" i="3"/>
  <c r="BA423" i="3"/>
  <c r="AZ423" i="3" s="1"/>
  <c r="BL428" i="3"/>
  <c r="BL429" i="3"/>
  <c r="BA437" i="3"/>
  <c r="AZ437" i="3" s="1"/>
  <c r="BA439" i="3"/>
  <c r="BA440" i="3"/>
  <c r="AZ440" i="3" s="1"/>
  <c r="BA442" i="3"/>
  <c r="AZ442" i="3" s="1"/>
  <c r="BL448" i="3"/>
  <c r="AZ448" i="3" s="1"/>
  <c r="BL464" i="3"/>
  <c r="W40" i="39"/>
  <c r="F12" i="34"/>
  <c r="S12" i="34" s="1"/>
  <c r="G551" i="3"/>
  <c r="BL550" i="3"/>
  <c r="G542" i="3"/>
  <c r="BL398" i="3"/>
  <c r="AZ398" i="3" s="1"/>
  <c r="G402" i="3"/>
  <c r="BL403" i="3"/>
  <c r="G405" i="3"/>
  <c r="G406" i="3"/>
  <c r="BL407" i="3"/>
  <c r="G413" i="3"/>
  <c r="BL413" i="3"/>
  <c r="AZ413" i="3" s="1"/>
  <c r="G415" i="3"/>
  <c r="BA417" i="3"/>
  <c r="G424" i="3"/>
  <c r="BL424" i="3"/>
  <c r="G426" i="3"/>
  <c r="BA428" i="3"/>
  <c r="BA429" i="3"/>
  <c r="BA430" i="3"/>
  <c r="AZ430" i="3" s="1"/>
  <c r="BA433" i="3"/>
  <c r="AZ433" i="3" s="1"/>
  <c r="G435" i="3"/>
  <c r="BL435" i="3"/>
  <c r="BL436" i="3"/>
  <c r="BA438" i="3"/>
  <c r="G442" i="3"/>
  <c r="G443" i="3"/>
  <c r="BL444" i="3"/>
  <c r="G447" i="3"/>
  <c r="G453" i="3"/>
  <c r="BL453" i="3"/>
  <c r="AZ453" i="3" s="1"/>
  <c r="BL454" i="3"/>
  <c r="BL457" i="3"/>
  <c r="AZ457" i="3" s="1"/>
  <c r="BA459" i="3"/>
  <c r="AZ459" i="3" s="1"/>
  <c r="BA460" i="3"/>
  <c r="AZ460" i="3" s="1"/>
  <c r="BA461" i="3"/>
  <c r="BA466" i="3"/>
  <c r="G471" i="3"/>
  <c r="BL471" i="3"/>
  <c r="AZ471" i="3" s="1"/>
  <c r="BA477" i="3"/>
  <c r="BL484" i="3"/>
  <c r="G271" i="3"/>
  <c r="G279" i="3"/>
  <c r="G469" i="3"/>
  <c r="BL476" i="3"/>
  <c r="AZ476" i="3" s="1"/>
  <c r="BL477" i="3"/>
  <c r="BL478" i="3"/>
  <c r="BL480" i="3"/>
  <c r="BA483" i="3"/>
  <c r="BL483" i="3"/>
  <c r="BA486" i="3"/>
  <c r="BL489" i="3"/>
  <c r="BL491" i="3"/>
  <c r="BL492" i="3"/>
  <c r="BA315" i="3"/>
  <c r="AZ315" i="3" s="1"/>
  <c r="BA333" i="3"/>
  <c r="BL346" i="3"/>
  <c r="AZ346" i="3" s="1"/>
  <c r="BA384" i="3"/>
  <c r="AZ384" i="3" s="1"/>
  <c r="BA395" i="3"/>
  <c r="BA208" i="3"/>
  <c r="AZ208" i="3" s="1"/>
  <c r="BA211" i="3"/>
  <c r="AZ211" i="3" s="1"/>
  <c r="BL213" i="3"/>
  <c r="BL215" i="3"/>
  <c r="BA222" i="3"/>
  <c r="AZ222" i="3" s="1"/>
  <c r="BA224" i="3"/>
  <c r="AZ224" i="3" s="1"/>
  <c r="BA226" i="3"/>
  <c r="BA237" i="3"/>
  <c r="AZ237" i="3" s="1"/>
  <c r="BL240" i="3"/>
  <c r="AZ240" i="3" s="1"/>
  <c r="BA242" i="3"/>
  <c r="AZ242" i="3" s="1"/>
  <c r="BL245" i="3"/>
  <c r="AZ245" i="3" s="1"/>
  <c r="BL255" i="3"/>
  <c r="BL257" i="3"/>
  <c r="BL258" i="3"/>
  <c r="BA262" i="3"/>
  <c r="AZ262" i="3" s="1"/>
  <c r="BL265" i="3"/>
  <c r="AZ265" i="3" s="1"/>
  <c r="BA273" i="3"/>
  <c r="BA278" i="3"/>
  <c r="AZ278" i="3" s="1"/>
  <c r="BA280" i="3"/>
  <c r="BL283" i="3"/>
  <c r="AZ283" i="3" s="1"/>
  <c r="BL284" i="3"/>
  <c r="G288" i="3"/>
  <c r="BL292" i="3"/>
  <c r="BA294" i="3"/>
  <c r="BL295" i="3"/>
  <c r="BA298" i="3"/>
  <c r="AZ298" i="3" s="1"/>
  <c r="BL301" i="3"/>
  <c r="AZ301" i="3" s="1"/>
  <c r="BL302" i="3"/>
  <c r="BA114" i="3"/>
  <c r="BL123" i="3"/>
  <c r="AZ123" i="3" s="1"/>
  <c r="BL125" i="3"/>
  <c r="BL126" i="3"/>
  <c r="BA150" i="3"/>
  <c r="BL155" i="3"/>
  <c r="AZ155" i="3" s="1"/>
  <c r="BA25" i="3"/>
  <c r="D34" i="71"/>
  <c r="C35" i="71"/>
  <c r="BA401" i="3"/>
  <c r="AZ401" i="3" s="1"/>
  <c r="BA403" i="3"/>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BL446" i="3"/>
  <c r="BL449" i="3"/>
  <c r="BL450" i="3"/>
  <c r="BL452" i="3"/>
  <c r="G454" i="3"/>
  <c r="G455" i="3"/>
  <c r="BL456" i="3"/>
  <c r="BA464" i="3"/>
  <c r="BL467" i="3"/>
  <c r="BL468" i="3"/>
  <c r="BL470" i="3"/>
  <c r="G472" i="3"/>
  <c r="G473" i="3"/>
  <c r="BL473" i="3"/>
  <c r="AZ473" i="3" s="1"/>
  <c r="BL474" i="3"/>
  <c r="G475" i="3"/>
  <c r="BA482" i="3"/>
  <c r="BA484" i="3"/>
  <c r="G491" i="3"/>
  <c r="BA303" i="3"/>
  <c r="AZ303" i="3" s="1"/>
  <c r="BA307" i="3"/>
  <c r="AZ307" i="3" s="1"/>
  <c r="G311" i="3"/>
  <c r="BL314" i="3"/>
  <c r="AZ314" i="3" s="1"/>
  <c r="G315" i="3"/>
  <c r="BA332" i="3"/>
  <c r="BL332" i="3"/>
  <c r="G339" i="3"/>
  <c r="BA367" i="3"/>
  <c r="AZ367" i="3" s="1"/>
  <c r="BA370" i="3"/>
  <c r="AZ370" i="3" s="1"/>
  <c r="BA386" i="3"/>
  <c r="AZ386" i="3" s="1"/>
  <c r="BA216" i="3"/>
  <c r="BA218" i="3"/>
  <c r="BL218" i="3"/>
  <c r="BL220" i="3"/>
  <c r="BL221" i="3"/>
  <c r="BL223" i="3"/>
  <c r="AZ223" i="3" s="1"/>
  <c r="BA227" i="3"/>
  <c r="AZ227" i="3" s="1"/>
  <c r="BA229" i="3"/>
  <c r="BL229" i="3"/>
  <c r="BL231" i="3"/>
  <c r="AZ231" i="3" s="1"/>
  <c r="BL233" i="3"/>
  <c r="AZ233" i="3" s="1"/>
  <c r="BL235" i="3"/>
  <c r="AZ235" i="3" s="1"/>
  <c r="BL236" i="3"/>
  <c r="BL238" i="3"/>
  <c r="AZ238" i="3" s="1"/>
  <c r="BL243" i="3"/>
  <c r="BA247" i="3"/>
  <c r="BL247" i="3"/>
  <c r="BA249" i="3"/>
  <c r="BL249" i="3"/>
  <c r="BA251" i="3"/>
  <c r="BL251" i="3"/>
  <c r="BA253" i="3"/>
  <c r="BL260" i="3"/>
  <c r="BL263" i="3"/>
  <c r="BL270" i="3"/>
  <c r="AZ270" i="3" s="1"/>
  <c r="BA272" i="3"/>
  <c r="BL275" i="3"/>
  <c r="AZ275" i="3" s="1"/>
  <c r="BL285" i="3"/>
  <c r="BL287" i="3"/>
  <c r="BA290" i="3"/>
  <c r="BL299" i="3"/>
  <c r="BL113" i="3"/>
  <c r="BL115" i="3"/>
  <c r="AZ115" i="3" s="1"/>
  <c r="BA118" i="3"/>
  <c r="BL118" i="3"/>
  <c r="BA122" i="3"/>
  <c r="BA129" i="3"/>
  <c r="BL133" i="3"/>
  <c r="AZ133" i="3" s="1"/>
  <c r="BL139" i="3"/>
  <c r="AZ139" i="3" s="1"/>
  <c r="BL141" i="3"/>
  <c r="BL143" i="3"/>
  <c r="AZ143" i="3" s="1"/>
  <c r="BA153" i="3"/>
  <c r="BA196" i="3"/>
  <c r="AZ196" i="3" s="1"/>
  <c r="G203" i="3"/>
  <c r="BA205" i="3"/>
  <c r="BL21" i="3"/>
  <c r="AZ21" i="3" s="1"/>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25" i="3"/>
  <c r="BA126" i="3"/>
  <c r="BA128" i="3"/>
  <c r="AZ128" i="3" s="1"/>
  <c r="BL134" i="3"/>
  <c r="BL137" i="3"/>
  <c r="G143" i="3"/>
  <c r="BA146" i="3"/>
  <c r="BL154" i="3"/>
  <c r="G156" i="3"/>
  <c r="BL157" i="3"/>
  <c r="AZ157" i="3" s="1"/>
  <c r="BL159" i="3"/>
  <c r="AZ159" i="3" s="1"/>
  <c r="G160" i="3"/>
  <c r="BL166" i="3"/>
  <c r="BL167" i="3"/>
  <c r="AZ167" i="3" s="1"/>
  <c r="BL177" i="3"/>
  <c r="AZ177" i="3" s="1"/>
  <c r="G179" i="3"/>
  <c r="BL183" i="3"/>
  <c r="AZ183" i="3" s="1"/>
  <c r="BA186" i="3"/>
  <c r="AZ186" i="3" s="1"/>
  <c r="BA190" i="3"/>
  <c r="BA207" i="3"/>
  <c r="BL20" i="3"/>
  <c r="G29" i="3"/>
  <c r="BL29" i="3"/>
  <c r="BL35" i="3"/>
  <c r="BA37" i="3"/>
  <c r="G39" i="3"/>
  <c r="BL39" i="3"/>
  <c r="AZ39" i="3" s="1"/>
  <c r="BA47" i="3"/>
  <c r="AZ47" i="3" s="1"/>
  <c r="BL49" i="3"/>
  <c r="BL50" i="3"/>
  <c r="AZ50" i="3" s="1"/>
  <c r="BL51" i="3"/>
  <c r="BA62" i="3"/>
  <c r="AZ62" i="3" s="1"/>
  <c r="D60" i="71"/>
  <c r="T60" i="71"/>
  <c r="D44" i="71"/>
  <c r="T44" i="71"/>
  <c r="G53" i="3"/>
  <c r="BL53" i="3"/>
  <c r="AZ53" i="3" s="1"/>
  <c r="BA56" i="3"/>
  <c r="BA57" i="3"/>
  <c r="AZ57" i="3" s="1"/>
  <c r="BL58" i="3"/>
  <c r="BA60" i="3"/>
  <c r="BA63" i="3"/>
  <c r="AZ63" i="3" s="1"/>
  <c r="BA66" i="3"/>
  <c r="AZ66" i="3" s="1"/>
  <c r="BA71" i="3"/>
  <c r="AZ71" i="3" s="1"/>
  <c r="AC18" i="36"/>
  <c r="W18" i="36"/>
  <c r="AB25" i="40"/>
  <c r="U25" i="40"/>
  <c r="D75" i="71"/>
  <c r="C74" i="71"/>
  <c r="D74" i="71" s="1"/>
  <c r="C31" i="71"/>
  <c r="D30" i="71"/>
  <c r="Y27" i="71"/>
  <c r="Z27" i="71" s="1"/>
  <c r="Y26" i="71"/>
  <c r="Z26" i="71" s="1"/>
  <c r="BL72" i="3"/>
  <c r="AZ72" i="3" s="1"/>
  <c r="G74" i="3"/>
  <c r="G75" i="3"/>
  <c r="BL75" i="3"/>
  <c r="BA80" i="3"/>
  <c r="BL84" i="3"/>
  <c r="G89" i="3"/>
  <c r="BA92" i="3"/>
  <c r="BL96" i="3"/>
  <c r="BL97" i="3"/>
  <c r="AZ97" i="3" s="1"/>
  <c r="G103" i="3"/>
  <c r="BA103" i="3"/>
  <c r="BA110" i="3"/>
  <c r="AZ110" i="3" s="1"/>
  <c r="B13" i="1"/>
  <c r="E13" i="1" s="1"/>
  <c r="K13" i="1"/>
  <c r="M13" i="1" s="1"/>
  <c r="O13" i="1" s="1"/>
  <c r="P13" i="1" s="1"/>
  <c r="F40" i="69"/>
  <c r="C40" i="69"/>
  <c r="U21" i="33"/>
  <c r="AB21" i="33"/>
  <c r="AC18" i="35"/>
  <c r="W18" i="35"/>
  <c r="B100" i="43"/>
  <c r="B57" i="43"/>
  <c r="B68" i="43"/>
  <c r="AA18" i="35"/>
  <c r="C40" i="71"/>
  <c r="D39" i="71"/>
  <c r="Y28" i="71"/>
  <c r="Z28" i="71" s="1"/>
  <c r="Y30" i="71"/>
  <c r="Z30" i="71" s="1"/>
  <c r="X28" i="71"/>
  <c r="X31" i="71"/>
  <c r="X32" i="71"/>
  <c r="E34" i="71"/>
  <c r="E35" i="71" s="1"/>
  <c r="E36" i="71" s="1"/>
  <c r="U36" i="71" s="1"/>
  <c r="AA30" i="71"/>
  <c r="C67" i="71"/>
  <c r="T68" i="71"/>
  <c r="T76" i="71"/>
  <c r="D76" i="71"/>
  <c r="C23" i="71"/>
  <c r="B22" i="71"/>
  <c r="B21" i="71" s="1"/>
  <c r="B20" i="71" s="1"/>
  <c r="AA3" i="71"/>
  <c r="BA164" i="3"/>
  <c r="AZ164" i="3" s="1"/>
  <c r="BA166" i="3"/>
  <c r="BA169" i="3"/>
  <c r="AZ169" i="3" s="1"/>
  <c r="BL171" i="3"/>
  <c r="AZ171" i="3" s="1"/>
  <c r="BA176" i="3"/>
  <c r="AZ176" i="3" s="1"/>
  <c r="BA178" i="3"/>
  <c r="AZ178" i="3" s="1"/>
  <c r="BA184" i="3"/>
  <c r="AZ184" i="3" s="1"/>
  <c r="BL187" i="3"/>
  <c r="AZ187" i="3" s="1"/>
  <c r="BL189" i="3"/>
  <c r="AZ189" i="3" s="1"/>
  <c r="BL190" i="3"/>
  <c r="BA192" i="3"/>
  <c r="AZ192" i="3" s="1"/>
  <c r="BL197" i="3"/>
  <c r="AZ197" i="3" s="1"/>
  <c r="BL199" i="3"/>
  <c r="AZ199" i="3" s="1"/>
  <c r="BA200" i="3"/>
  <c r="AZ200" i="3" s="1"/>
  <c r="BA202" i="3"/>
  <c r="BL207" i="3"/>
  <c r="BL18" i="3"/>
  <c r="BL19" i="3"/>
  <c r="BA20" i="3"/>
  <c r="BL25" i="3"/>
  <c r="BL27" i="3"/>
  <c r="BA28" i="3"/>
  <c r="AZ28" i="3" s="1"/>
  <c r="BA31" i="3"/>
  <c r="BA32" i="3"/>
  <c r="G38" i="3"/>
  <c r="BA38" i="3"/>
  <c r="AZ38" i="3" s="1"/>
  <c r="BA41" i="3"/>
  <c r="BA42" i="3"/>
  <c r="G47" i="3"/>
  <c r="BL48" i="3"/>
  <c r="BL54" i="3"/>
  <c r="BL55" i="3"/>
  <c r="G58" i="3"/>
  <c r="BA59" i="3"/>
  <c r="BL61" i="3"/>
  <c r="G64" i="3"/>
  <c r="BA64" i="3"/>
  <c r="G67" i="3"/>
  <c r="BL68" i="3"/>
  <c r="BA69" i="3"/>
  <c r="AZ69" i="3" s="1"/>
  <c r="G72" i="3"/>
  <c r="BL73" i="3"/>
  <c r="BA74" i="3"/>
  <c r="AZ74" i="3" s="1"/>
  <c r="BA75" i="3"/>
  <c r="BL86" i="3"/>
  <c r="BL93" i="3"/>
  <c r="W21" i="37"/>
  <c r="AC21" i="37"/>
  <c r="U21" i="37"/>
  <c r="AB21" i="34"/>
  <c r="U21" i="34"/>
  <c r="D43" i="71"/>
  <c r="AB27" i="71"/>
  <c r="C86" i="71"/>
  <c r="D86" i="71" s="1"/>
  <c r="D87" i="71"/>
  <c r="O68" i="71"/>
  <c r="C52" i="71"/>
  <c r="D51" i="71"/>
  <c r="X26" i="71"/>
  <c r="Y25" i="71"/>
  <c r="Z25" i="71" s="1"/>
  <c r="AB34" i="71"/>
  <c r="C63" i="71"/>
  <c r="D62" i="71"/>
  <c r="F66" i="71"/>
  <c r="Q67" i="71"/>
  <c r="P68" i="71"/>
  <c r="U68" i="71"/>
  <c r="BA130" i="3"/>
  <c r="BL130" i="3"/>
  <c r="BA137" i="3"/>
  <c r="BL138" i="3"/>
  <c r="BA140" i="3"/>
  <c r="AZ140" i="3" s="1"/>
  <c r="BA142" i="3"/>
  <c r="BL149" i="3"/>
  <c r="AZ149" i="3" s="1"/>
  <c r="BL150" i="3"/>
  <c r="G151" i="3"/>
  <c r="BA152" i="3"/>
  <c r="AZ152" i="3" s="1"/>
  <c r="BA154" i="3"/>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AZ49" i="3" s="1"/>
  <c r="BA51" i="3"/>
  <c r="G54" i="3"/>
  <c r="G55" i="3"/>
  <c r="BL56" i="3"/>
  <c r="BA58" i="3"/>
  <c r="BL59" i="3"/>
  <c r="BL60" i="3"/>
  <c r="BA61" i="3"/>
  <c r="BA68" i="3"/>
  <c r="BA73" i="3"/>
  <c r="BL79" i="3"/>
  <c r="BL81" i="3"/>
  <c r="BA82" i="3"/>
  <c r="AZ82" i="3" s="1"/>
  <c r="BL83" i="3"/>
  <c r="G86" i="3"/>
  <c r="BA87" i="3"/>
  <c r="BA89" i="3"/>
  <c r="G93" i="3"/>
  <c r="BA98" i="3"/>
  <c r="BL103" i="3"/>
  <c r="G104" i="3"/>
  <c r="BA106" i="3"/>
  <c r="BL108" i="3"/>
  <c r="AZ108" i="3" s="1"/>
  <c r="W21" i="21"/>
  <c r="P66" i="71"/>
  <c r="AB25" i="71"/>
  <c r="AB28" i="71"/>
  <c r="D46" i="71"/>
  <c r="X25" i="71"/>
  <c r="T28" i="71"/>
  <c r="D28" i="71"/>
  <c r="U28" i="71" s="1"/>
  <c r="C27" i="71"/>
  <c r="X33" i="71"/>
  <c r="X34" i="71"/>
  <c r="X36" i="71"/>
  <c r="AB37" i="71"/>
  <c r="AB35" i="71"/>
  <c r="S72" i="71"/>
  <c r="V72" i="71"/>
  <c r="F71" i="71"/>
  <c r="F70" i="71" s="1"/>
  <c r="V80" i="71"/>
  <c r="V24" i="71"/>
  <c r="E23" i="71"/>
  <c r="E22" i="71" s="1"/>
  <c r="E21" i="71" s="1"/>
  <c r="E20" i="71" s="1"/>
  <c r="E19" i="71" s="1"/>
  <c r="E18" i="71" s="1"/>
  <c r="E17" i="71" s="1"/>
  <c r="E16" i="71" s="1"/>
  <c r="BL77" i="3"/>
  <c r="AZ77" i="3" s="1"/>
  <c r="BA79" i="3"/>
  <c r="G82" i="3"/>
  <c r="G83" i="3"/>
  <c r="BA84" i="3"/>
  <c r="AZ84" i="3" s="1"/>
  <c r="BL88" i="3"/>
  <c r="AZ88" i="3" s="1"/>
  <c r="G90" i="3"/>
  <c r="BL90" i="3"/>
  <c r="BL92" i="3"/>
  <c r="G101" i="3"/>
  <c r="BA101" i="3"/>
  <c r="AZ101" i="3" s="1"/>
  <c r="G108" i="3"/>
  <c r="G109" i="3"/>
  <c r="BL112" i="3"/>
  <c r="S21" i="34"/>
  <c r="B88" i="43"/>
  <c r="F35" i="71"/>
  <c r="F36" i="71" s="1"/>
  <c r="V36" i="71" s="1"/>
  <c r="AA34" i="71"/>
  <c r="B51" i="71"/>
  <c r="B52" i="71" s="1"/>
  <c r="S52" i="71" s="1"/>
  <c r="BA90" i="3"/>
  <c r="BL94" i="3"/>
  <c r="AZ94" i="3" s="1"/>
  <c r="BA100" i="3"/>
  <c r="AZ100" i="3" s="1"/>
  <c r="BA102" i="3"/>
  <c r="AZ102" i="3" s="1"/>
  <c r="BL105" i="3"/>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S23" i="33"/>
  <c r="AA23" i="33"/>
  <c r="AB17" i="33"/>
  <c r="S29" i="21"/>
  <c r="AB44" i="34"/>
  <c r="S39" i="34"/>
  <c r="AZ382" i="3"/>
  <c r="AZ321" i="3"/>
  <c r="AZ343" i="3"/>
  <c r="AZ517" i="3"/>
  <c r="AZ562" i="3"/>
  <c r="AZ578" i="3"/>
  <c r="AC13" i="36"/>
  <c r="AB31" i="33"/>
  <c r="U31" i="33"/>
  <c r="S15" i="34"/>
  <c r="AB33" i="35"/>
  <c r="U33" i="35"/>
  <c r="AB43" i="33"/>
  <c r="U43" i="33"/>
  <c r="AZ545" i="3"/>
  <c r="AZ581" i="3"/>
  <c r="AB33" i="37"/>
  <c r="U33" i="37"/>
  <c r="AC19" i="37"/>
  <c r="W23" i="33"/>
  <c r="AB13" i="34"/>
  <c r="S41" i="34"/>
  <c r="AA41" i="34"/>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9"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AZ261" i="3" s="1"/>
  <c r="BA264" i="3"/>
  <c r="AZ264" i="3" s="1"/>
  <c r="BA266" i="3"/>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AZ85" i="3" s="1"/>
  <c r="BL89" i="3"/>
  <c r="G94" i="3"/>
  <c r="G97" i="3"/>
  <c r="G100" i="3"/>
  <c r="BA107" i="3"/>
  <c r="BA112" i="3"/>
  <c r="AZ112" i="3" s="1"/>
  <c r="AC21" i="34"/>
  <c r="E27" i="71"/>
  <c r="E26" i="71" s="1"/>
  <c r="V28" i="71"/>
  <c r="BA76" i="3"/>
  <c r="AZ76" i="3" s="1"/>
  <c r="BL80" i="3"/>
  <c r="AZ80" i="3" s="1"/>
  <c r="BL87" i="3"/>
  <c r="AZ87" i="3" s="1"/>
  <c r="BA93" i="3"/>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0" i="35"/>
  <c r="U30" i="35"/>
  <c r="AA30" i="35"/>
  <c r="W32" i="35"/>
  <c r="W33" i="35"/>
  <c r="AA9" i="35"/>
  <c r="S8" i="35"/>
  <c r="AB9" i="35"/>
  <c r="U11" i="35"/>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I4" i="6"/>
  <c r="G3" i="43" s="1"/>
  <c r="G26" i="43"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3" i="6"/>
  <c r="P11" i="1"/>
  <c r="D9" i="11"/>
  <c r="C9" i="11"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J53" i="67"/>
  <c r="J57" i="67"/>
  <c r="J55" i="67" s="1"/>
  <c r="J58" i="67" s="1"/>
  <c r="Q50" i="67" s="1"/>
  <c r="L56" i="67"/>
  <c r="I54" i="67"/>
  <c r="N59" i="67"/>
  <c r="L59" i="67"/>
  <c r="L58" i="67"/>
  <c r="M59" i="67"/>
  <c r="B13" i="70"/>
  <c r="D9" i="68"/>
  <c r="F42" i="15"/>
  <c r="F9" i="15"/>
  <c r="C36" i="69"/>
  <c r="M9" i="15"/>
  <c r="F36" i="67"/>
  <c r="M22" i="67"/>
  <c r="D3" i="73"/>
  <c r="F7" i="67"/>
  <c r="F9" i="67"/>
  <c r="M22" i="15"/>
  <c r="F43" i="67"/>
  <c r="C76" i="15"/>
  <c r="M24" i="67"/>
  <c r="M8" i="15"/>
  <c r="F13" i="67"/>
  <c r="F16" i="15"/>
  <c r="F6" i="67"/>
  <c r="L47" i="15"/>
  <c r="M6" i="15"/>
  <c r="C76" i="67"/>
  <c r="F7" i="15"/>
  <c r="M8" i="67"/>
  <c r="D5" i="73"/>
  <c r="F26" i="67"/>
  <c r="L48" i="15"/>
  <c r="F38" i="67"/>
  <c r="M26" i="15"/>
  <c r="M6" i="67"/>
  <c r="M29" i="15"/>
  <c r="F26" i="15"/>
  <c r="F8" i="15"/>
  <c r="F8" i="67"/>
  <c r="M28" i="15"/>
  <c r="F38" i="15"/>
  <c r="M24" i="15"/>
  <c r="F42" i="67"/>
  <c r="F36" i="15"/>
  <c r="F16" i="67"/>
  <c r="M28" i="67"/>
  <c r="D7" i="73"/>
  <c r="M29" i="67"/>
  <c r="J15" i="15"/>
  <c r="D4" i="73"/>
  <c r="F13" i="15"/>
  <c r="J15" i="67"/>
  <c r="M23" i="15"/>
  <c r="F40" i="15"/>
  <c r="F37" i="15"/>
  <c r="D9" i="69"/>
  <c r="F40" i="67"/>
  <c r="M9" i="67"/>
  <c r="F43" i="15"/>
  <c r="F37" i="67"/>
  <c r="AC26" i="21" l="1"/>
  <c r="AB19" i="21"/>
  <c r="U19" i="21"/>
  <c r="S37" i="21"/>
  <c r="L58" i="15"/>
  <c r="Q73" i="15" s="1"/>
  <c r="M59" i="15"/>
  <c r="L59" i="15"/>
  <c r="Q74" i="15" s="1"/>
  <c r="N59" i="15"/>
  <c r="F64" i="15"/>
  <c r="J53" i="15"/>
  <c r="L56" i="15" s="1"/>
  <c r="J57" i="15"/>
  <c r="J55" i="15" s="1"/>
  <c r="J58" i="15" s="1"/>
  <c r="Q50" i="15" s="1"/>
  <c r="I54" i="15"/>
  <c r="AZ555" i="3"/>
  <c r="AZ571" i="3"/>
  <c r="U34" i="36"/>
  <c r="AB34" i="36"/>
  <c r="V20" i="71"/>
  <c r="AZ576" i="3"/>
  <c r="AZ79" i="3"/>
  <c r="AZ58" i="3"/>
  <c r="AZ154" i="3"/>
  <c r="AZ137" i="3"/>
  <c r="AZ48" i="3"/>
  <c r="AZ166" i="3"/>
  <c r="AZ271" i="3"/>
  <c r="AA31" i="40"/>
  <c r="S31" i="40"/>
  <c r="S36" i="39"/>
  <c r="AA36" i="39"/>
  <c r="S27" i="21"/>
  <c r="AC27" i="21"/>
  <c r="AB37" i="21"/>
  <c r="AC37" i="21"/>
  <c r="H26" i="43"/>
  <c r="N94" i="46"/>
  <c r="N370" i="46"/>
  <c r="F26" i="43"/>
  <c r="AC13" i="35"/>
  <c r="W13" i="35"/>
  <c r="AB35" i="39"/>
  <c r="U35" i="39"/>
  <c r="AZ68" i="3"/>
  <c r="AZ51" i="3"/>
  <c r="AZ60" i="3"/>
  <c r="AZ290" i="3"/>
  <c r="AZ258" i="3"/>
  <c r="AZ466" i="3"/>
  <c r="AZ445" i="3"/>
  <c r="AZ502" i="3"/>
  <c r="AZ65" i="3"/>
  <c r="AZ443" i="3"/>
  <c r="AZ402" i="3"/>
  <c r="AZ533" i="3"/>
  <c r="AZ561" i="3"/>
  <c r="AA33" i="40"/>
  <c r="S33" i="40"/>
  <c r="W45" i="34"/>
  <c r="AC45" i="34"/>
  <c r="AZ61" i="3"/>
  <c r="AZ125" i="3"/>
  <c r="AZ407" i="3"/>
  <c r="E11" i="6"/>
  <c r="E60" i="39" s="1"/>
  <c r="AB46" i="33"/>
  <c r="U46" i="33"/>
  <c r="AZ554" i="3"/>
  <c r="S12" i="33"/>
  <c r="AA12" i="33"/>
  <c r="AA35" i="39"/>
  <c r="S35" i="39"/>
  <c r="W29" i="34"/>
  <c r="AC29" i="34"/>
  <c r="AA24" i="35"/>
  <c r="S24" i="35"/>
  <c r="W30" i="33"/>
  <c r="AC30" i="33"/>
  <c r="C27" i="67"/>
  <c r="F51" i="67"/>
  <c r="M7" i="15"/>
  <c r="J6" i="15" s="1"/>
  <c r="J18" i="15" s="1"/>
  <c r="F50" i="15"/>
  <c r="AB39" i="37"/>
  <c r="U39" i="37"/>
  <c r="AA28" i="37"/>
  <c r="S28" i="37"/>
  <c r="AC27" i="37"/>
  <c r="W27" i="37"/>
  <c r="W45" i="21"/>
  <c r="AC45" i="21"/>
  <c r="AB11" i="36"/>
  <c r="AZ93" i="3"/>
  <c r="AZ107" i="3"/>
  <c r="AZ89" i="3"/>
  <c r="G30" i="6"/>
  <c r="G31" i="6" s="1"/>
  <c r="AZ194" i="3"/>
  <c r="AZ86" i="3"/>
  <c r="AZ64" i="3"/>
  <c r="AZ244" i="3"/>
  <c r="AZ239" i="3"/>
  <c r="AZ205" i="3"/>
  <c r="AZ216" i="3"/>
  <c r="AZ257" i="3"/>
  <c r="AZ461" i="3"/>
  <c r="AZ496" i="3"/>
  <c r="AZ528" i="3"/>
  <c r="AZ536" i="3"/>
  <c r="AZ217" i="3"/>
  <c r="C70" i="71"/>
  <c r="D70" i="71" s="1"/>
  <c r="D71" i="71"/>
  <c r="S30" i="21"/>
  <c r="AA30" i="21"/>
  <c r="U27" i="37"/>
  <c r="AB27" i="37"/>
  <c r="AC9" i="36"/>
  <c r="W9" i="36"/>
  <c r="AB9" i="33"/>
  <c r="U9" i="33"/>
  <c r="E10" i="6"/>
  <c r="E14" i="6"/>
  <c r="AZ104" i="3"/>
  <c r="AZ153" i="3"/>
  <c r="AZ253" i="3"/>
  <c r="AA12" i="34"/>
  <c r="AZ105" i="3"/>
  <c r="AZ75" i="3"/>
  <c r="AZ55" i="3"/>
  <c r="AZ282" i="3"/>
  <c r="AZ210" i="3"/>
  <c r="AZ122" i="3"/>
  <c r="AZ263" i="3"/>
  <c r="AZ251" i="3"/>
  <c r="AZ247" i="3"/>
  <c r="AZ229" i="3"/>
  <c r="AZ484" i="3"/>
  <c r="AZ294" i="3"/>
  <c r="AZ395" i="3"/>
  <c r="AZ429" i="3"/>
  <c r="AZ427" i="3"/>
  <c r="F29" i="6"/>
  <c r="AZ462" i="3"/>
  <c r="AZ558" i="3"/>
  <c r="D79" i="71"/>
  <c r="C78" i="71"/>
  <c r="D78" i="71" s="1"/>
  <c r="AZ487" i="3"/>
  <c r="AC44" i="39"/>
  <c r="W44" i="39"/>
  <c r="W12" i="36"/>
  <c r="AC12" i="36"/>
  <c r="AC9" i="33"/>
  <c r="W9" i="33"/>
  <c r="AZ266" i="3"/>
  <c r="AZ45" i="3"/>
  <c r="AZ20" i="3"/>
  <c r="AZ29" i="3"/>
  <c r="AZ146" i="3"/>
  <c r="AZ491" i="3"/>
  <c r="AZ243" i="3"/>
  <c r="AZ280" i="3"/>
  <c r="AZ483" i="3"/>
  <c r="AZ447" i="3"/>
  <c r="AZ419" i="3"/>
  <c r="AZ525" i="3"/>
  <c r="AZ580" i="3"/>
  <c r="U40" i="37"/>
  <c r="AB40" i="37"/>
  <c r="AA45" i="21"/>
  <c r="S45" i="21"/>
  <c r="E26" i="43"/>
  <c r="C36" i="68"/>
  <c r="J26" i="43"/>
  <c r="Q71" i="15"/>
  <c r="F51" i="15"/>
  <c r="C6" i="15"/>
  <c r="F31" i="15"/>
  <c r="F31" i="67"/>
  <c r="C6" i="67"/>
  <c r="M7" i="67"/>
  <c r="J6" i="67" s="1"/>
  <c r="J18" i="67" s="1"/>
  <c r="F50" i="67"/>
  <c r="F68" i="67"/>
  <c r="F71" i="67"/>
  <c r="Q71" i="67"/>
  <c r="F66" i="67"/>
  <c r="F64" i="67"/>
  <c r="F65" i="67"/>
  <c r="U42" i="21"/>
  <c r="AB42" i="21"/>
  <c r="AZ19" i="3"/>
  <c r="AZ297" i="3"/>
  <c r="AZ241" i="3"/>
  <c r="AZ332" i="3"/>
  <c r="AZ422" i="3"/>
  <c r="AZ403" i="3"/>
  <c r="AZ353" i="3"/>
  <c r="AZ549" i="3"/>
  <c r="AB13" i="40"/>
  <c r="U13" i="40"/>
  <c r="AB24" i="36"/>
  <c r="U24" i="36"/>
  <c r="AC31" i="21"/>
  <c r="W31" i="21"/>
  <c r="AZ421" i="3"/>
  <c r="AZ547" i="3"/>
  <c r="AZ70" i="3"/>
  <c r="AZ286" i="3"/>
  <c r="AZ248" i="3"/>
  <c r="AZ250" i="3"/>
  <c r="D83" i="71"/>
  <c r="C82" i="71"/>
  <c r="D82" i="71" s="1"/>
  <c r="AZ521" i="3"/>
  <c r="W45" i="33"/>
  <c r="AC45" i="33"/>
  <c r="S13" i="40"/>
  <c r="AA13" i="40"/>
  <c r="AB31" i="39"/>
  <c r="U31" i="39"/>
  <c r="W13" i="39"/>
  <c r="AC13" i="39"/>
  <c r="AC25" i="37"/>
  <c r="W25" i="37"/>
  <c r="AZ228" i="3"/>
  <c r="AZ368" i="3"/>
  <c r="AZ406" i="3"/>
  <c r="AZ121" i="3"/>
  <c r="S45" i="39"/>
  <c r="AA45" i="39"/>
  <c r="AA24" i="36"/>
  <c r="S24" i="36"/>
  <c r="U14" i="34"/>
  <c r="AB14" i="34"/>
  <c r="S13" i="39"/>
  <c r="AA13" i="39"/>
  <c r="AA26" i="33"/>
  <c r="S26" i="33"/>
  <c r="S31" i="21"/>
  <c r="AA31" i="21"/>
  <c r="U25" i="37"/>
  <c r="AB25" i="37"/>
  <c r="AZ201" i="3"/>
  <c r="AA28" i="34"/>
  <c r="S28" i="34"/>
  <c r="AC31" i="39"/>
  <c r="W31" i="39"/>
  <c r="AB45" i="39"/>
  <c r="U45" i="39"/>
  <c r="AC24" i="36"/>
  <c r="W24" i="36"/>
  <c r="U32" i="34"/>
  <c r="AB32" i="34"/>
  <c r="U27" i="40"/>
  <c r="AB27" i="40"/>
  <c r="AA33" i="36"/>
  <c r="S33" i="36"/>
  <c r="AC43" i="39"/>
  <c r="W43" i="39"/>
  <c r="AB31" i="21"/>
  <c r="U31" i="21"/>
  <c r="S45" i="33"/>
  <c r="AA45" i="33"/>
  <c r="G123" i="21"/>
  <c r="H123" i="21" s="1"/>
  <c r="I123" i="21" s="1"/>
  <c r="J123" i="21" s="1"/>
  <c r="K123" i="21" s="1"/>
  <c r="L123" i="21" s="1"/>
  <c r="M123" i="21" s="1"/>
  <c r="F42" i="21"/>
  <c r="J42" i="21"/>
  <c r="C30" i="11"/>
  <c r="E28" i="6"/>
  <c r="K14" i="1" s="1"/>
  <c r="G16" i="1"/>
  <c r="F10" i="39" s="1"/>
  <c r="P6" i="1"/>
  <c r="C13" i="12" s="1"/>
  <c r="Q16" i="1"/>
  <c r="H16" i="1"/>
  <c r="F66" i="15"/>
  <c r="F65" i="15"/>
  <c r="F71" i="15"/>
  <c r="F68" i="15"/>
  <c r="C27" i="15"/>
  <c r="D31" i="71"/>
  <c r="C32" i="71"/>
  <c r="AZ454" i="3"/>
  <c r="AZ444" i="3"/>
  <c r="AC39" i="40"/>
  <c r="W39" i="40"/>
  <c r="AC38" i="40"/>
  <c r="W38" i="40"/>
  <c r="AB9" i="34"/>
  <c r="U9" i="34"/>
  <c r="AB32" i="36"/>
  <c r="U32" i="36"/>
  <c r="AZ493" i="3"/>
  <c r="AC23" i="36"/>
  <c r="W23" i="36"/>
  <c r="S14" i="39"/>
  <c r="AA14" i="39"/>
  <c r="S25" i="36"/>
  <c r="AA25" i="36"/>
  <c r="C64" i="71"/>
  <c r="D63" i="71"/>
  <c r="AZ41" i="3"/>
  <c r="AZ31" i="3"/>
  <c r="B19" i="71"/>
  <c r="B18" i="71" s="1"/>
  <c r="B17" i="71" s="1"/>
  <c r="B16" i="71" s="1"/>
  <c r="S20" i="71"/>
  <c r="AZ103" i="3"/>
  <c r="AZ190" i="3"/>
  <c r="AZ25" i="3"/>
  <c r="AZ435" i="3"/>
  <c r="C56" i="71"/>
  <c r="D55" i="71"/>
  <c r="AB38" i="40"/>
  <c r="U38" i="40"/>
  <c r="AA46" i="21"/>
  <c r="S46" i="21"/>
  <c r="S13" i="37"/>
  <c r="AA13" i="37"/>
  <c r="AZ513" i="3"/>
  <c r="AZ550" i="3"/>
  <c r="AB23" i="36"/>
  <c r="U23" i="36"/>
  <c r="AA23" i="35"/>
  <c r="S23" i="35"/>
  <c r="W13" i="37"/>
  <c r="AC13" i="37"/>
  <c r="J7" i="36"/>
  <c r="C26" i="71"/>
  <c r="D26" i="71" s="1"/>
  <c r="D27" i="71"/>
  <c r="T52" i="71"/>
  <c r="D52" i="71"/>
  <c r="AZ59" i="3"/>
  <c r="D23" i="71"/>
  <c r="C22" i="71"/>
  <c r="D67" i="71"/>
  <c r="C66" i="71"/>
  <c r="O67" i="71"/>
  <c r="AZ126" i="3"/>
  <c r="AZ302" i="3"/>
  <c r="AZ284" i="3"/>
  <c r="AZ277" i="3"/>
  <c r="AZ256" i="3"/>
  <c r="AZ397" i="3"/>
  <c r="AZ118" i="3"/>
  <c r="AZ272" i="3"/>
  <c r="AZ249" i="3"/>
  <c r="AZ218" i="3"/>
  <c r="AZ464" i="3"/>
  <c r="AZ428" i="3"/>
  <c r="AZ417" i="3"/>
  <c r="AZ480" i="3"/>
  <c r="S38" i="40"/>
  <c r="AA38" i="40"/>
  <c r="AZ520" i="3"/>
  <c r="AZ551" i="3"/>
  <c r="AA11" i="36"/>
  <c r="S11" i="36"/>
  <c r="U23" i="35"/>
  <c r="AB23" i="35"/>
  <c r="W28" i="33"/>
  <c r="AC28" i="33"/>
  <c r="U14" i="39"/>
  <c r="AB14" i="39"/>
  <c r="AB13" i="37"/>
  <c r="U13" i="37"/>
  <c r="J7" i="37"/>
  <c r="AC7" i="37" s="1"/>
  <c r="G5" i="3"/>
  <c r="B3" i="3" s="1"/>
  <c r="E536" i="3" s="1"/>
  <c r="AZ130" i="3"/>
  <c r="AZ27" i="3"/>
  <c r="T40" i="71"/>
  <c r="D40" i="71"/>
  <c r="C36" i="71"/>
  <c r="D35" i="71"/>
  <c r="AZ150" i="3"/>
  <c r="AZ273" i="3"/>
  <c r="U12" i="35"/>
  <c r="AB12" i="35"/>
  <c r="U39" i="40"/>
  <c r="AB39" i="40"/>
  <c r="AC9" i="34"/>
  <c r="W9" i="34"/>
  <c r="AB13" i="36"/>
  <c r="U13" i="36"/>
  <c r="U46" i="21"/>
  <c r="AB46" i="21"/>
  <c r="AC23" i="35"/>
  <c r="W23" i="35"/>
  <c r="U28" i="33"/>
  <c r="AB28" i="33"/>
  <c r="AZ548" i="3"/>
  <c r="U25" i="36"/>
  <c r="AB25" i="36"/>
  <c r="K1" i="73"/>
  <c r="E140" i="3"/>
  <c r="E473" i="3"/>
  <c r="E218" i="3"/>
  <c r="E58" i="3"/>
  <c r="E446" i="3"/>
  <c r="E436" i="3"/>
  <c r="E341" i="3"/>
  <c r="E66" i="3"/>
  <c r="E87" i="3"/>
  <c r="E307" i="3"/>
  <c r="E157" i="3"/>
  <c r="E438" i="3"/>
  <c r="E168" i="3"/>
  <c r="E207" i="3"/>
  <c r="E367" i="3"/>
  <c r="E126" i="3"/>
  <c r="E501" i="3"/>
  <c r="E285" i="3"/>
  <c r="E338" i="3"/>
  <c r="E213" i="3"/>
  <c r="E159" i="3"/>
  <c r="E280" i="3"/>
  <c r="E262" i="3"/>
  <c r="E437" i="3"/>
  <c r="E429" i="3"/>
  <c r="E274" i="3"/>
  <c r="E236" i="3"/>
  <c r="E448" i="3"/>
  <c r="E404" i="3"/>
  <c r="E316" i="3"/>
  <c r="E366" i="3"/>
  <c r="E569" i="3"/>
  <c r="E559" i="3"/>
  <c r="E294" i="3"/>
  <c r="E415" i="3"/>
  <c r="E117"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E51" i="40"/>
  <c r="E16" i="6"/>
  <c r="E58" i="40"/>
  <c r="E62" i="39"/>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F7" i="33"/>
  <c r="E58" i="21"/>
  <c r="AC7" i="36"/>
  <c r="V36" i="36" s="1"/>
  <c r="I36" i="36" s="1"/>
  <c r="W7" i="36"/>
  <c r="F7" i="37"/>
  <c r="M17" i="15"/>
  <c r="P28" i="43"/>
  <c r="B66" i="40" s="1"/>
  <c r="P25" i="43"/>
  <c r="P29" i="43"/>
  <c r="P27" i="43"/>
  <c r="B70" i="39" s="1"/>
  <c r="C32" i="67"/>
  <c r="Q60" i="67"/>
  <c r="Q73" i="67"/>
  <c r="M11" i="67"/>
  <c r="J10" i="67" s="1"/>
  <c r="F11" i="15"/>
  <c r="M11" i="15"/>
  <c r="J10" i="15" s="1"/>
  <c r="F11" i="67"/>
  <c r="C32" i="15"/>
  <c r="F1" i="67"/>
  <c r="Q52" i="67"/>
  <c r="Q61" i="67"/>
  <c r="Q74" i="67"/>
  <c r="AE11" i="1"/>
  <c r="AE6" i="1"/>
  <c r="AE9" i="1"/>
  <c r="F27" i="68"/>
  <c r="AE7" i="1"/>
  <c r="AE8" i="1"/>
  <c r="AE12" i="1"/>
  <c r="AE10" i="1"/>
  <c r="G1" i="73"/>
  <c r="F27" i="69"/>
  <c r="F41" i="67"/>
  <c r="C16" i="15"/>
  <c r="C16" i="67"/>
  <c r="E550" i="3" l="1"/>
  <c r="E114" i="3"/>
  <c r="E320" i="3"/>
  <c r="E358" i="3"/>
  <c r="E239" i="3"/>
  <c r="E125" i="3"/>
  <c r="E295" i="3"/>
  <c r="E581" i="3"/>
  <c r="AG6" i="3"/>
  <c r="I6" i="3"/>
  <c r="E203" i="3"/>
  <c r="AE6" i="3"/>
  <c r="Q6" i="3"/>
  <c r="E434" i="3"/>
  <c r="E353" i="3"/>
  <c r="E254" i="3"/>
  <c r="E304" i="3"/>
  <c r="E506" i="3"/>
  <c r="E359" i="3"/>
  <c r="E53" i="3"/>
  <c r="E92" i="3"/>
  <c r="E548" i="3"/>
  <c r="E93" i="3"/>
  <c r="E54" i="3"/>
  <c r="E474" i="3"/>
  <c r="E136" i="3"/>
  <c r="E504" i="3"/>
  <c r="E195" i="3"/>
  <c r="E462" i="3"/>
  <c r="E584" i="3"/>
  <c r="E149" i="3"/>
  <c r="E421" i="3"/>
  <c r="E155" i="3"/>
  <c r="E364" i="3"/>
  <c r="E40" i="3"/>
  <c r="E59" i="3"/>
  <c r="E260" i="3"/>
  <c r="E130" i="3"/>
  <c r="E407" i="3"/>
  <c r="E229" i="3"/>
  <c r="N6" i="3"/>
  <c r="E480" i="3"/>
  <c r="E121" i="3"/>
  <c r="E558" i="3"/>
  <c r="E576" i="3"/>
  <c r="E580" i="3"/>
  <c r="E73" i="3"/>
  <c r="E344" i="3"/>
  <c r="E177" i="3"/>
  <c r="E238" i="3"/>
  <c r="AN6" i="3"/>
  <c r="E302" i="3"/>
  <c r="E237" i="3"/>
  <c r="E523" i="3"/>
  <c r="E328" i="3"/>
  <c r="AM6" i="3"/>
  <c r="E71" i="3"/>
  <c r="U6" i="3"/>
  <c r="E14" i="3"/>
  <c r="E471" i="3"/>
  <c r="E313" i="3"/>
  <c r="E461" i="3"/>
  <c r="E187" i="3"/>
  <c r="AD6" i="3"/>
  <c r="E39" i="3"/>
  <c r="E266" i="3"/>
  <c r="E48" i="3"/>
  <c r="E312" i="3"/>
  <c r="E398" i="3"/>
  <c r="E52" i="3"/>
  <c r="E422" i="3"/>
  <c r="E290" i="3"/>
  <c r="E395" i="3"/>
  <c r="E230" i="3"/>
  <c r="E551" i="3"/>
  <c r="E396" i="3"/>
  <c r="E282" i="3"/>
  <c r="E334" i="3"/>
  <c r="E88" i="3"/>
  <c r="E443" i="3"/>
  <c r="E252" i="3"/>
  <c r="E394" i="3"/>
  <c r="E55" i="3"/>
  <c r="E481" i="3"/>
  <c r="E120" i="3"/>
  <c r="E156" i="3"/>
  <c r="E303" i="3"/>
  <c r="E17" i="3"/>
  <c r="E298" i="3"/>
  <c r="E97" i="3"/>
  <c r="E426" i="3"/>
  <c r="E317" i="3"/>
  <c r="E547" i="3"/>
  <c r="E145" i="3"/>
  <c r="E357" i="3"/>
  <c r="W6" i="3"/>
  <c r="E224" i="3"/>
  <c r="E82" i="3"/>
  <c r="E154" i="3"/>
  <c r="E179" i="3"/>
  <c r="E374" i="3"/>
  <c r="E297" i="3"/>
  <c r="E354" i="3"/>
  <c r="E250" i="3"/>
  <c r="E524" i="3"/>
  <c r="E234" i="3"/>
  <c r="E188" i="3"/>
  <c r="F1" i="15"/>
  <c r="Q60" i="15"/>
  <c r="Q52" i="15"/>
  <c r="Q61" i="15"/>
  <c r="V6" i="3"/>
  <c r="E151" i="3"/>
  <c r="E516" i="3"/>
  <c r="E553" i="3"/>
  <c r="E30" i="3"/>
  <c r="E166" i="3"/>
  <c r="E444" i="3"/>
  <c r="P6" i="3"/>
  <c r="E164" i="3"/>
  <c r="E32" i="3"/>
  <c r="E256" i="3"/>
  <c r="E496" i="3"/>
  <c r="E424" i="3"/>
  <c r="E330" i="3"/>
  <c r="E128" i="3"/>
  <c r="AA6" i="3"/>
  <c r="E402" i="3"/>
  <c r="E221" i="3"/>
  <c r="E565" i="3"/>
  <c r="E321" i="3"/>
  <c r="S6" i="3"/>
  <c r="O6" i="3"/>
  <c r="E319" i="3"/>
  <c r="E291" i="3"/>
  <c r="E403" i="3"/>
  <c r="E411" i="3"/>
  <c r="E196" i="3"/>
  <c r="E208" i="3"/>
  <c r="E537" i="3"/>
  <c r="E529" i="3"/>
  <c r="E352" i="3"/>
  <c r="E127" i="3"/>
  <c r="E413" i="3"/>
  <c r="E459" i="3"/>
  <c r="E163" i="3"/>
  <c r="E542" i="3"/>
  <c r="E375" i="3"/>
  <c r="E323" i="3"/>
  <c r="E57" i="3"/>
  <c r="E24" i="3"/>
  <c r="E552" i="3"/>
  <c r="E340" i="3"/>
  <c r="E346" i="3"/>
  <c r="E428" i="3"/>
  <c r="E464" i="3"/>
  <c r="E284" i="3"/>
  <c r="E138" i="3"/>
  <c r="E500" i="3"/>
  <c r="E51" i="3"/>
  <c r="E521" i="3"/>
  <c r="E460" i="3"/>
  <c r="E101" i="3"/>
  <c r="E62" i="3"/>
  <c r="E112" i="3"/>
  <c r="E299" i="3"/>
  <c r="E455" i="3"/>
  <c r="E333" i="3"/>
  <c r="E108" i="3"/>
  <c r="AH6" i="3"/>
  <c r="E393" i="3"/>
  <c r="E190" i="3"/>
  <c r="E469" i="3"/>
  <c r="E84" i="3"/>
  <c r="AQ6" i="3"/>
  <c r="E170" i="3"/>
  <c r="E43" i="3"/>
  <c r="E276" i="3"/>
  <c r="E401" i="3"/>
  <c r="E486" i="3"/>
  <c r="E83" i="3"/>
  <c r="E41" i="3"/>
  <c r="E129" i="3"/>
  <c r="E258"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20" i="3"/>
  <c r="E244" i="3"/>
  <c r="E65" i="3"/>
  <c r="E90" i="3"/>
  <c r="E141" i="3"/>
  <c r="E176" i="3"/>
  <c r="E147" i="3"/>
  <c r="E339" i="3"/>
  <c r="E38" i="3"/>
  <c r="E60" i="3"/>
  <c r="E178" i="3"/>
  <c r="J6" i="3"/>
  <c r="E427" i="3"/>
  <c r="E49" i="3"/>
  <c r="E556" i="3"/>
  <c r="E494" i="3"/>
  <c r="F59" i="15"/>
  <c r="F59" i="67"/>
  <c r="E105" i="3"/>
  <c r="E80" i="3"/>
  <c r="E78" i="3"/>
  <c r="E470" i="3"/>
  <c r="E197" i="3"/>
  <c r="E482" i="3"/>
  <c r="E300" i="3"/>
  <c r="E502" i="3"/>
  <c r="E365" i="3"/>
  <c r="E50" i="3"/>
  <c r="E123" i="3"/>
  <c r="E392" i="3"/>
  <c r="E137" i="3"/>
  <c r="E15" i="3"/>
  <c r="L6" i="3"/>
  <c r="E202" i="3"/>
  <c r="E463" i="3"/>
  <c r="E490" i="3"/>
  <c r="E493" i="3"/>
  <c r="E16" i="3"/>
  <c r="E35" i="3"/>
  <c r="E115" i="3"/>
  <c r="E512" i="3"/>
  <c r="E308" i="3"/>
  <c r="E68" i="3"/>
  <c r="E363" i="3"/>
  <c r="C49" i="15"/>
  <c r="F30" i="6"/>
  <c r="F31" i="6" s="1"/>
  <c r="E29" i="6"/>
  <c r="E63" i="39"/>
  <c r="E65" i="39" s="1"/>
  <c r="E59" i="40"/>
  <c r="E286" i="3"/>
  <c r="M17" i="67"/>
  <c r="M14" i="1"/>
  <c r="M16" i="1" s="1"/>
  <c r="H6" i="3"/>
  <c r="E86" i="3"/>
  <c r="E264" i="3"/>
  <c r="E160" i="3"/>
  <c r="E491" i="3"/>
  <c r="J5" i="67"/>
  <c r="J24" i="67" s="1"/>
  <c r="S7" i="36"/>
  <c r="C49" i="67"/>
  <c r="E110" i="3"/>
  <c r="E416" i="3"/>
  <c r="E222" i="3"/>
  <c r="E386" i="3"/>
  <c r="E348" i="3"/>
  <c r="E566" i="3"/>
  <c r="E165" i="3"/>
  <c r="E265" i="3"/>
  <c r="E20" i="3"/>
  <c r="E289" i="3"/>
  <c r="E36" i="3"/>
  <c r="E325" i="3"/>
  <c r="E194" i="3"/>
  <c r="E79" i="3"/>
  <c r="E540" i="3"/>
  <c r="E372" i="3"/>
  <c r="E226" i="3"/>
  <c r="E25" i="3"/>
  <c r="E498" i="3"/>
  <c r="E440" i="3"/>
  <c r="E543" i="3"/>
  <c r="E223" i="3"/>
  <c r="E158" i="3"/>
  <c r="E342" i="3"/>
  <c r="E243" i="3"/>
  <c r="E452" i="3"/>
  <c r="T6" i="3"/>
  <c r="E251" i="3"/>
  <c r="E332" i="3"/>
  <c r="E144" i="3"/>
  <c r="E425" i="3"/>
  <c r="E56" i="3"/>
  <c r="AC42" i="21"/>
  <c r="W42" i="21"/>
  <c r="AA42" i="21"/>
  <c r="S42" i="21"/>
  <c r="C47" i="69"/>
  <c r="D45" i="69" s="1"/>
  <c r="F45" i="69"/>
  <c r="J5" i="15"/>
  <c r="J24" i="15" s="1"/>
  <c r="C29" i="69"/>
  <c r="D27" i="69" s="1"/>
  <c r="E3" i="6"/>
  <c r="E419" i="3"/>
  <c r="E376" i="3"/>
  <c r="E507" i="3"/>
  <c r="E564" i="3"/>
  <c r="E116" i="3"/>
  <c r="E329" i="3"/>
  <c r="E370" i="3"/>
  <c r="E220" i="3"/>
  <c r="E356" i="3"/>
  <c r="E104" i="3"/>
  <c r="E360" i="3"/>
  <c r="E534" i="3"/>
  <c r="E287" i="3"/>
  <c r="E522" i="3"/>
  <c r="E75" i="3"/>
  <c r="E21" i="3"/>
  <c r="E381" i="3"/>
  <c r="E23" i="3"/>
  <c r="E103" i="3"/>
  <c r="E76" i="3"/>
  <c r="E192" i="3"/>
  <c r="AP6" i="3"/>
  <c r="E539" i="3"/>
  <c r="AF6" i="3"/>
  <c r="E174" i="3"/>
  <c r="E391" i="3"/>
  <c r="E283" i="3"/>
  <c r="E184" i="3"/>
  <c r="E371" i="3"/>
  <c r="E467" i="3"/>
  <c r="E349" i="3"/>
  <c r="E37" i="3"/>
  <c r="E430" i="3"/>
  <c r="AB7" i="36"/>
  <c r="T36" i="36" s="1"/>
  <c r="G36" i="36" s="1"/>
  <c r="W7" i="37"/>
  <c r="E435" i="3"/>
  <c r="I3" i="6"/>
  <c r="E541" i="3"/>
  <c r="R6" i="3"/>
  <c r="E199" i="3"/>
  <c r="E510" i="3"/>
  <c r="D56" i="71"/>
  <c r="T56" i="71"/>
  <c r="T32" i="71"/>
  <c r="D32" i="71"/>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1" i="71"/>
  <c r="D22" i="71"/>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36" i="71"/>
  <c r="T36" i="71"/>
  <c r="T64" i="71"/>
  <c r="D64" i="71"/>
  <c r="O65" i="71"/>
  <c r="D66" i="71"/>
  <c r="O6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F41" i="15"/>
  <c r="M27" i="67"/>
  <c r="M27" i="15"/>
  <c r="I46" i="37" l="1"/>
  <c r="J46" i="37" s="1"/>
  <c r="C48" i="15"/>
  <c r="C66" i="15" s="1"/>
  <c r="K15" i="1"/>
  <c r="K16" i="1" s="1"/>
  <c r="L19" i="6"/>
  <c r="L27" i="6" s="1"/>
  <c r="E30" i="6"/>
  <c r="E31" i="6" s="1"/>
  <c r="C48" i="67"/>
  <c r="C66" i="67" s="1"/>
  <c r="B4" i="52"/>
  <c r="B43" i="72" s="1"/>
  <c r="B14" i="74"/>
  <c r="C33" i="21"/>
  <c r="AC6" i="3"/>
  <c r="E6" i="3" s="1"/>
  <c r="F22" i="11"/>
  <c r="C23" i="11" s="1"/>
  <c r="F24" i="67"/>
  <c r="C24" i="67" s="1"/>
  <c r="F22" i="69"/>
  <c r="F41" i="69" s="1"/>
  <c r="F24" i="15"/>
  <c r="C24" i="15" s="1"/>
  <c r="F22" i="68"/>
  <c r="F41" i="68" s="1"/>
  <c r="F25" i="12"/>
  <c r="C26" i="12" s="1"/>
  <c r="D25" i="12" s="1"/>
  <c r="D116" i="43"/>
  <c r="G54" i="34"/>
  <c r="H54"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C17" i="15"/>
  <c r="D10" i="69"/>
  <c r="C14" i="67"/>
  <c r="C17" i="67"/>
  <c r="B1" i="74" l="1"/>
  <c r="L26" i="9"/>
  <c r="F33" i="21"/>
  <c r="H33" i="21"/>
  <c r="J33" i="21"/>
  <c r="C25" i="11"/>
  <c r="C26" i="11"/>
  <c r="D22" i="11" s="1"/>
  <c r="C44" i="11"/>
  <c r="D41" i="11" s="1"/>
  <c r="C24" i="11"/>
  <c r="D30" i="6"/>
  <c r="C26" i="69"/>
  <c r="D22" i="69" s="1"/>
  <c r="H25" i="6"/>
  <c r="C44" i="69"/>
  <c r="D41" i="69" s="1"/>
  <c r="C26" i="68"/>
  <c r="D22" i="68" s="1"/>
  <c r="C23" i="68"/>
  <c r="C44" i="68"/>
  <c r="D41" i="68" s="1"/>
  <c r="T20" i="71"/>
  <c r="D20" i="71"/>
  <c r="U20" i="71" s="1"/>
  <c r="C19"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8" i="74"/>
  <c r="D7" i="74"/>
  <c r="R21" i="6"/>
  <c r="R8" i="1" s="1"/>
  <c r="C10" i="69"/>
  <c r="C8"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31" i="6" l="1"/>
  <c r="C22" i="11"/>
  <c r="C31" i="11" s="1"/>
  <c r="AC33" i="21"/>
  <c r="W33" i="21"/>
  <c r="AB33" i="21"/>
  <c r="U33" i="21"/>
  <c r="AA33" i="21"/>
  <c r="S33" i="21"/>
  <c r="C18" i="71"/>
  <c r="D19"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I53" i="21" l="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0" i="9"/>
  <c r="L51" i="15"/>
  <c r="D2" i="37"/>
  <c r="D2" i="35"/>
  <c r="D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7" i="1"/>
  <c r="AO12" i="1"/>
  <c r="AO11" i="1"/>
  <c r="AO6"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9" i="71" l="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s="1"/>
  <c r="C20" i="69" l="1"/>
  <c r="C25" i="69" s="1"/>
  <c r="C23" i="69"/>
  <c r="C28" i="69" l="1"/>
  <c r="C27" i="69" s="1"/>
  <c r="C22" i="69"/>
  <c r="C31" i="69" l="1"/>
  <c r="C52" i="69" s="1"/>
  <c r="B2" i="69" s="1"/>
  <c r="C19" i="9"/>
  <c r="B3" i="69"/>
  <c r="C57" i="69" l="1"/>
  <c r="C56" i="69" s="1"/>
  <c r="C21" i="9"/>
  <c r="D22" i="9"/>
  <c r="C102" i="9"/>
  <c r="G19" i="9"/>
  <c r="C20" i="9"/>
  <c r="G20" i="9" l="1"/>
  <c r="C103" i="9"/>
  <c r="G21" i="9"/>
  <c r="C32" i="9" l="1"/>
  <c r="C35" i="9" s="1"/>
  <c r="C34" i="9" s="1"/>
  <c r="G22" i="9"/>
  <c r="D14" i="74" l="1"/>
  <c r="B5" i="74" s="1"/>
  <c r="D5" i="74" s="1"/>
  <c r="F14" i="74"/>
  <c r="E14" i="74" l="1"/>
  <c r="M55" i="9" l="1"/>
  <c r="D59" i="9"/>
  <c r="B47" i="72"/>
  <c r="D4" i="52"/>
  <c r="B32" i="72"/>
  <c r="D14" i="53"/>
  <c r="C6" i="74"/>
  <c r="B21" i="72"/>
  <c r="D7" i="53"/>
  <c r="M54" i="9"/>
  <c r="C97" i="9"/>
  <c r="D58" i="9"/>
  <c r="D56" i="9"/>
  <c r="B49" i="72"/>
  <c r="D5" i="52"/>
  <c r="D118" i="9"/>
  <c r="D119" i="9"/>
  <c r="E97" i="9"/>
  <c r="E96" i="9"/>
  <c r="C85" i="9"/>
  <c r="C95" i="9"/>
  <c r="C96" i="9"/>
  <c r="C86" i="9"/>
  <c r="C93" i="9"/>
  <c r="E118" i="9"/>
  <c r="E4" i="52"/>
  <c r="B48" i="72"/>
  <c r="B20" i="72"/>
  <c r="C73" i="9"/>
  <c r="C78" i="9"/>
  <c r="N58" i="9"/>
  <c r="P57" i="9"/>
  <c r="N61" i="9"/>
  <c r="D55" i="9"/>
  <c r="M53" i="9"/>
  <c r="N57" i="9"/>
  <c r="N59" i="9"/>
  <c r="N60" i="9"/>
  <c r="D13" i="53"/>
  <c r="B30" i="72"/>
  <c r="B51" i="72"/>
  <c r="F4" i="52"/>
  <c r="G4" i="52"/>
  <c r="B52" i="72"/>
  <c r="D5" i="53"/>
  <c r="D6" i="53"/>
  <c r="B22" i="72"/>
  <c r="C80" i="9"/>
  <c r="E80" i="9"/>
  <c r="E81" i="9"/>
  <c r="C72" i="9"/>
  <c r="C79" i="9"/>
  <c r="C81" i="9"/>
  <c r="D52" i="9"/>
  <c r="D53" i="9"/>
  <c r="H4" i="52"/>
  <c r="C104" i="9"/>
  <c r="D45" i="9"/>
  <c r="C64" i="9"/>
  <c r="C63" i="9"/>
  <c r="C67" i="9"/>
  <c r="C68" i="9"/>
  <c r="D54" i="9"/>
  <c r="M48" i="9"/>
  <c r="D8" i="52"/>
  <c r="I4" i="52"/>
  <c r="C105" i="9"/>
  <c r="H108" i="9"/>
  <c r="D15" i="53"/>
  <c r="B31" i="72"/>
  <c r="H101" i="9"/>
  <c r="H107" i="9"/>
  <c r="D122" i="9"/>
  <c r="D123" i="9"/>
  <c r="D9" i="52"/>
  <c r="H119" i="9"/>
  <c r="H5" i="52"/>
  <c r="H118" i="9"/>
  <c r="I118" i="9"/>
  <c r="H102" i="9"/>
  <c r="C5" i="74"/>
  <c r="G118" i="9"/>
  <c r="F118" i="9"/>
  <c r="F119" i="9"/>
  <c r="F5" i="52"/>
  <c r="B53"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1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<sst xmlns="http://schemas.openxmlformats.org/spreadsheetml/2006/main" count="8066" uniqueCount="3568">
  <si>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</si>
  <si>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</si>
  <si>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</si>
  <si>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</si>
  <si>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</si>
  <si>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</si>
  <si>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</si>
  <si>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</si>
  <si>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</si>
  <si>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</si>
  <si>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</si>
  <si>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</si>
  <si>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</si>
  <si>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</si>
  <si>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</si>
  <si>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</si>
  <si>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</si>
  <si>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</si>
  <si>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</si>
  <si>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</si>
  <si>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</si>
  <si>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</si>
  <si>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</si>
  <si>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</si>
  <si>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</si>
  <si>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</si>
  <si>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</si>
  <si>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</si>
  <si>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</si>
  <si>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</si>
  <si>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</si>
  <si>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</si>
  <si>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</si>
  <si>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</si>
  <si>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</si>
  <si>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</si>
  <si>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</si>
  <si>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</si>
  <si>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</si>
  <si>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</si>
  <si>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</si>
  <si>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</si>
  <si>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</si>
  <si>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</si>
  <si>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</si>
  <si>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</si>
  <si>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</si>
  <si>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</si>
  <si>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</si>
  <si>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</si>
  <si>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</si>
  <si>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</si>
  <si>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</si>
  <si>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</si>
  <si>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</si>
  <si>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</si>
  <si>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</si>
  <si>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</si>
  <si>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</si>
  <si>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</si>
  <si>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</si>
  <si>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</si>
  <si>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</si>
  <si>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</si>
  <si>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</si>
  <si>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</si>
  <si>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</si>
  <si>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</si>
  <si>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</si>
  <si>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</si>
  <si>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</si>
  <si>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</si>
  <si>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</si>
  <si>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</si>
  <si>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</si>
  <si>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</si>
  <si>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</si>
  <si>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</si>
  <si>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</si>
  <si>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</si>
  <si>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</si>
  <si>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</si>
  <si>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</si>
  <si>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</si>
  <si>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</si>
  <si>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</si>
  <si>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</si>
  <si>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</si>
  <si>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</si>
  <si>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</si>
  <si>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</si>
  <si>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</si>
  <si>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</si>
  <si>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</si>
  <si>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</si>
  <si>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</si>
  <si>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</si>
  <si>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</si>
  <si>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</si>
  <si>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</si>
  <si>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</si>
  <si>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</si>
  <si>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</si>
  <si>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</si>
  <si>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</si>
  <si>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</si>
  <si>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</si>
  <si>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</si>
  <si>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</si>
  <si>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</si>
  <si>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</si>
  <si>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</si>
  <si>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</si>
  <si>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</si>
  <si>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</si>
  <si>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</si>
  <si>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</si>
  <si>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</si>
  <si>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</si>
  <si>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</si>
  <si>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</si>
  <si>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</si>
  <si>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</si>
  <si>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</si>
  <si>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</si>
  <si>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</si>
  <si>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</si>
  <si>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</si>
  <si>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</si>
  <si>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</si>
  <si>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</si>
  <si>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</si>
  <si>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</si>
  <si>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</si>
  <si>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</si>
  <si>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</si>
  <si>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</si>
  <si>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</si>
  <si>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</si>
  <si>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</si>
  <si>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</si>
  <si>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</si>
  <si>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</si>
  <si>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</si>
  <si>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</si>
  <si>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</si>
  <si>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</si>
  <si>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</si>
  <si>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</si>
  <si>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</si>
  <si>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</si>
  <si>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</si>
  <si>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</si>
  <si>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</si>
  <si>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</si>
  <si>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</si>
  <si>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</si>
  <si>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</si>
  <si>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</si>
  <si>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</si>
  <si>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</si>
  <si>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</si>
  <si>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</si>
  <si>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</si>
  <si>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</si>
  <si>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</si>
  <si>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</si>
  <si>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</si>
  <si>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</si>
  <si>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</si>
  <si>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</si>
  <si>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</si>
  <si>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</si>
  <si>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</si>
  <si>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</si>
  <si>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</si>
  <si>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</si>
  <si>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</si>
  <si>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</si>
  <si>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</si>
  <si>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</si>
  <si>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</si>
  <si>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</si>
  <si>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</si>
  <si>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</si>
  <si>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</si>
  <si>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</si>
  <si>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</si>
  <si>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</si>
  <si>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</si>
  <si>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</si>
  <si>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</si>
  <si>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</si>
  <si>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</si>
  <si>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</si>
  <si>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</si>
  <si>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</si>
  <si>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</si>
  <si>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</si>
  <si>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</si>
  <si>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</si>
  <si>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</si>
  <si>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</si>
  <si>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</si>
  <si>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</si>
  <si>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</si>
  <si>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</si>
  <si>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</si>
  <si>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</si>
  <si>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</si>
  <si>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</si>
  <si>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</si>
  <si>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</si>
  <si>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</si>
  <si>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</si>
  <si>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</si>
  <si>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</si>
  <si>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</si>
  <si>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</si>
  <si>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</si>
  <si>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</si>
  <si>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</si>
  <si>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</si>
  <si>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</si>
  <si>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</si>
  <si>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</si>
  <si>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</si>
  <si>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</si>
  <si>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</si>
  <si>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</si>
  <si>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</si>
  <si>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</si>
  <si>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</si>
  <si>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</si>
  <si>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</si>
  <si>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</si>
  <si>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</si>
  <si>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</si>
  <si>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</si>
  <si>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</si>
  <si>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</si>
  <si>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</si>
  <si>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</si>
  <si>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</si>
  <si>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</si>
  <si>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</si>
  <si>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</si>
  <si>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</si>
  <si>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</si>
  <si>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</si>
  <si>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</si>
  <si>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</si>
  <si>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</si>
  <si>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</si>
  <si>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</si>
  <si>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</si>
  <si>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</si>
  <si>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</si>
  <si>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</si>
  <si>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</si>
  <si>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</si>
  <si>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</si>
  <si>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</si>
  <si>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</si>
  <si>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</si>
  <si>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</si>
  <si>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</si>
  <si>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</si>
  <si>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</si>
  <si>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</si>
  <si>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</si>
  <si>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</si>
  <si>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</si>
  <si>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</si>
  <si>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</si>
  <si>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</si>
  <si>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</si>
  <si>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</si>
  <si>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</si>
  <si>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</si>
  <si>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</si>
  <si>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</si>
  <si>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</si>
  <si>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</si>
  <si>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</si>
  <si>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</si>
  <si>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</si>
  <si>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</si>
  <si>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</si>
  <si>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</si>
  <si>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</si>
  <si>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</si>
  <si>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</si>
  <si>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</si>
  <si>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</si>
  <si>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</si>
  <si>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</si>
  <si>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</si>
  <si>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</si>
  <si>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</si>
  <si>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</si>
  <si>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</si>
  <si>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</si>
  <si>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</si>
  <si>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</si>
  <si>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</si>
  <si>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</si>
  <si>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</si>
  <si>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</si>
  <si>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</si>
  <si>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</si>
  <si>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</si>
  <si>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</si>
  <si>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</si>
  <si>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</si>
  <si>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</si>
  <si>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</si>
  <si>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</si>
  <si>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</si>
  <si>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</si>
  <si>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</si>
  <si>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</si>
  <si>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</si>
  <si>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</si>
  <si>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</si>
  <si>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</si>
  <si>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</si>
  <si>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</si>
  <si>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</si>
  <si>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</si>
  <si>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</si>
  <si>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</si>
  <si>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</si>
  <si>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</si>
  <si>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</si>
  <si>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</si>
  <si>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</si>
  <si>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</si>
  <si>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</si>
  <si>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</si>
  <si>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</si>
  <si>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</si>
  <si>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</si>
  <si>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</si>
  <si>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</si>
  <si>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</si>
  <si>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</si>
  <si>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</si>
  <si>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</si>
  <si>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</si>
  <si>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</si>
  <si>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</si>
  <si>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</si>
  <si>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</si>
  <si>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</si>
  <si>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</si>
  <si>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</si>
  <si>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</si>
  <si>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</si>
  <si>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</si>
  <si>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</si>
  <si>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</si>
  <si>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</si>
  <si>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</si>
  <si>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</si>
  <si>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</si>
  <si>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</si>
  <si>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</si>
  <si>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</si>
  <si>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</si>
  <si>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</si>
  <si>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</si>
  <si>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</si>
  <si>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</si>
  <si>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</si>
  <si>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</si>
  <si>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</si>
  <si>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</si>
  <si>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</si>
  <si>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</si>
  <si>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</si>
  <si>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</si>
  <si>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</si>
  <si>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</si>
  <si>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</si>
  <si>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</si>
  <si>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</si>
  <si>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</si>
  <si>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</si>
  <si>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</si>
  <si>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</si>
  <si>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</si>
  <si>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</si>
  <si>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</si>
  <si>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</si>
  <si>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</si>
  <si>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</si>
  <si>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</si>
  <si>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</si>
  <si>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</si>
  <si>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</si>
  <si>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</si>
  <si>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</si>
  <si>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</si>
  <si>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</si>
  <si>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</si>
  <si>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</si>
  <si>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</si>
  <si>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</si>
  <si>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</si>
  <si>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</si>
  <si>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</si>
  <si>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</si>
  <si>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</si>
  <si>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</si>
  <si>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</si>
  <si>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</si>
  <si>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</si>
  <si>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</si>
  <si>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</si>
  <si>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</si>
  <si>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</si>
  <si>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</si>
  <si>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</si>
  <si>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</si>
  <si>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</si>
  <si>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</si>
  <si>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</si>
  <si>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</si>
  <si>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</si>
  <si>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</si>
  <si>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</si>
  <si>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</si>
  <si>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</si>
  <si>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</si>
  <si>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</si>
  <si>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</si>
  <si>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</si>
  <si>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</si>
  <si>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</si>
  <si>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</si>
  <si>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</si>
  <si>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</si>
  <si>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</si>
  <si>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</si>
  <si>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</si>
  <si>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</si>
  <si>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</si>
  <si>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</si>
  <si>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</si>
  <si>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</si>
  <si>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</si>
  <si>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</si>
  <si>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</si>
  <si>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</si>
  <si>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</si>
  <si>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</si>
  <si>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</si>
  <si>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</si>
  <si>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</si>
  <si>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</si>
  <si>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</si>
  <si>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</si>
  <si>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</si>
  <si>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</si>
  <si>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</si>
  <si>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</si>
  <si>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</si>
  <si>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</si>
  <si>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</si>
  <si>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</si>
  <si>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</si>
  <si>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</si>
  <si>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</si>
  <si>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</si>
  <si>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</si>
  <si>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</si>
  <si>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</si>
  <si>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</si>
  <si>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</si>
  <si>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</si>
  <si>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</si>
  <si>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</si>
  <si>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</si>
  <si>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</si>
  <si>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</si>
  <si>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</si>
  <si>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</si>
  <si>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</si>
  <si>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</si>
  <si>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</si>
  <si>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</si>
  <si>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</si>
  <si>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</si>
  <si>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</si>
  <si>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</si>
  <si>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</si>
  <si>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</si>
  <si>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</si>
  <si>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</si>
  <si>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</si>
  <si>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</si>
  <si>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</si>
  <si>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</si>
  <si>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</si>
  <si>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</si>
  <si>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</si>
  <si>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</si>
  <si>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</si>
  <si>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</si>
  <si>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</si>
  <si>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</si>
  <si>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</si>
  <si>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</si>
  <si>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</si>
  <si>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</si>
  <si>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</si>
  <si>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</si>
  <si>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</si>
  <si>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</si>
  <si>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</si>
  <si>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</si>
  <si>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</si>
  <si>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</si>
  <si>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</si>
  <si>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</si>
  <si>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</si>
  <si>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</si>
  <si>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</si>
  <si>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</si>
  <si>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</si>
  <si>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</si>
  <si>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</si>
  <si>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</si>
  <si>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</si>
  <si>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</si>
  <si>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</si>
  <si>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</si>
  <si>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</si>
  <si>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</si>
  <si>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</si>
  <si>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</si>
  <si>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</si>
  <si>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</si>
  <si>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</si>
  <si>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</si>
  <si>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</si>
  <si>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</si>
  <si>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</si>
  <si>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</si>
  <si>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</si>
  <si>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</si>
  <si>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</si>
  <si>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</si>
  <si>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</si>
  <si>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</si>
  <si>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</si>
  <si>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</si>
  <si>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</si>
  <si>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</si>
  <si>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</si>
  <si>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</si>
  <si>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</si>
  <si>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</si>
  <si>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</si>
  <si>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</si>
  <si>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</si>
  <si>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</si>
  <si>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</si>
  <si>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</si>
  <si>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</si>
  <si>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</si>
  <si>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</si>
  <si>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</si>
  <si>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</si>
  <si>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</si>
  <si>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</si>
  <si>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</si>
  <si>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</si>
  <si>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</si>
  <si>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</si>
  <si>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</si>
  <si>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</si>
  <si>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</si>
  <si>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</si>
  <si>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</si>
  <si>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</si>
  <si>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</si>
  <si>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</si>
  <si>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</si>
  <si>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</si>
  <si>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</si>
  <si>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</si>
  <si>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</si>
  <si>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</si>
  <si>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</si>
  <si>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</si>
  <si>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</si>
  <si>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</si>
  <si>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</si>
  <si>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</si>
  <si>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</si>
  <si>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</si>
  <si>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</si>
  <si>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</si>
  <si>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</si>
  <si>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</si>
  <si>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</si>
  <si>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</si>
  <si>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</si>
  <si>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</si>
  <si>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</si>
  <si>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</si>
  <si>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</si>
  <si>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</si>
  <si>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</si>
  <si>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</si>
  <si>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</si>
  <si>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</si>
  <si>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</si>
  <si>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</si>
  <si>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</si>
  <si>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</si>
  <si>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</si>
  <si>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</si>
  <si>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</si>
  <si>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</si>
  <si>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</si>
  <si>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</si>
  <si>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</si>
  <si>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</si>
  <si>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</si>
  <si>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</si>
  <si>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</si>
  <si>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</si>
  <si>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</si>
  <si>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</si>
  <si>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</si>
  <si>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</si>
  <si>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</si>
  <si>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</si>
  <si>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</si>
  <si>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</si>
  <si>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</si>
  <si>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</si>
  <si>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</si>
  <si>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</si>
  <si>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</si>
  <si>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</si>
  <si>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</si>
  <si>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</si>
  <si>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</si>
  <si>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</si>
  <si>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</si>
  <si>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</si>
  <si>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</si>
  <si>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</si>
  <si>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</si>
  <si>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</si>
  <si>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</si>
  <si>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</si>
  <si>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</si>
  <si>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</si>
  <si>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</si>
  <si>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</si>
  <si>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</si>
  <si>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</si>
  <si>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</si>
  <si>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</si>
  <si>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</si>
  <si>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</si>
  <si>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</si>
  <si>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</si>
  <si>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</si>
  <si>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</si>
  <si>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</si>
  <si>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</si>
  <si>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</si>
  <si>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</si>
  <si>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</si>
  <si>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</si>
  <si>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</si>
  <si>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</si>
  <si>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</si>
  <si>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</si>
  <si>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</si>
  <si>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</si>
  <si>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</si>
  <si>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</si>
  <si>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</si>
  <si>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</si>
  <si>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</si>
  <si>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</si>
  <si>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</si>
  <si>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</si>
  <si>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</si>
  <si>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</si>
  <si>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</si>
  <si>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</si>
  <si>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</si>
  <si>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</si>
  <si>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</si>
  <si>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</si>
  <si>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</si>
  <si>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</si>
  <si>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</si>
  <si>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</si>
  <si>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</si>
  <si>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</si>
  <si>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</si>
  <si>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</si>
  <si>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</si>
  <si>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</si>
  <si>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</si>
  <si>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</si>
  <si>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</si>
  <si>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</si>
  <si>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</si>
  <si>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</si>
  <si>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</si>
  <si>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</si>
  <si>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</si>
  <si>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</si>
  <si>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</si>
  <si>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</si>
  <si>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</si>
  <si>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</si>
  <si>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</si>
  <si>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</si>
  <si>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</si>
  <si>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</si>
  <si>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</si>
  <si>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</si>
  <si>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</si>
  <si>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</si>
  <si>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</si>
  <si>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</si>
  <si>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</si>
  <si>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</si>
  <si>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</si>
  <si>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</si>
  <si>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</si>
  <si>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</si>
  <si>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</si>
  <si>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</si>
  <si>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</si>
  <si>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</si>
  <si>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</si>
  <si>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</si>
  <si>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</si>
  <si>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</si>
  <si>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</si>
  <si>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</si>
  <si>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</si>
  <si>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</si>
  <si>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</si>
  <si>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</si>
  <si>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</si>
  <si>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</si>
  <si>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</si>
  <si>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</si>
  <si>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</si>
  <si>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</si>
  <si>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</si>
  <si>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</si>
  <si>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</si>
  <si>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</si>
  <si>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</si>
  <si>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</si>
  <si>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</si>
  <si>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</si>
  <si>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</si>
  <si>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</si>
  <si>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</si>
  <si>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</si>
  <si>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</si>
  <si>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</si>
  <si>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</si>
  <si>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</si>
  <si>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</si>
  <si>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</si>
  <si>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</si>
  <si>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</si>
  <si>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</si>
  <si>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</si>
  <si>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</si>
  <si>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</si>
  <si>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</si>
  <si>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</si>
  <si>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</si>
  <si>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</si>
  <si>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</si>
  <si>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</si>
  <si>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</si>
  <si>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</si>
  <si>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</si>
  <si>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</si>
  <si>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</si>
  <si>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</si>
  <si>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</si>
  <si>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</si>
  <si>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</si>
  <si>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</si>
  <si>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</si>
  <si>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</si>
  <si>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</si>
  <si>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</si>
  <si>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</si>
  <si>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</si>
  <si>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</si>
  <si>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</si>
  <si>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</si>
  <si>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</si>
  <si>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</si>
  <si>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</si>
  <si>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</si>
  <si>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</si>
  <si>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</si>
  <si>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</si>
  <si>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</si>
  <si>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</si>
  <si>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</si>
  <si>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</si>
  <si>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</si>
  <si>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</si>
  <si>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</si>
  <si>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</si>
  <si>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</si>
  <si>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</si>
  <si>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</si>
  <si>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</si>
  <si>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</si>
  <si>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</si>
  <si>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</si>
  <si>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</si>
  <si>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</si>
  <si>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</si>
  <si>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</si>
  <si>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</si>
  <si>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</si>
  <si>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</si>
  <si>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</si>
  <si>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</si>
  <si>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</si>
  <si>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</si>
  <si>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</si>
  <si>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</si>
  <si>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</si>
  <si>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</si>
  <si>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</si>
  <si>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</si>
  <si>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</si>
  <si>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</si>
  <si>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</si>
  <si>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</si>
  <si>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</si>
  <si>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</si>
  <si>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</si>
  <si>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</si>
  <si>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</si>
  <si>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</si>
  <si>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</si>
  <si>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</si>
  <si>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</si>
  <si>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</si>
  <si>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</si>
  <si>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</si>
  <si>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</si>
  <si>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</si>
  <si>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</si>
  <si>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</si>
  <si>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</si>
  <si>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</si>
  <si>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</si>
  <si>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</si>
  <si>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</si>
  <si>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</si>
  <si>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</si>
  <si>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</si>
  <si>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</si>
  <si>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</si>
  <si>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</si>
  <si>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</si>
  <si>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</si>
  <si>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</si>
  <si>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</si>
  <si>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</si>
  <si>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</si>
  <si>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</si>
  <si>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</si>
  <si>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</si>
  <si>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</si>
  <si>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</si>
  <si>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</si>
  <si>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</si>
  <si>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</si>
  <si>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</si>
  <si>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</si>
  <si>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</si>
  <si>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</si>
  <si>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</si>
  <si>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</si>
  <si>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</si>
  <si>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</si>
  <si>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</si>
  <si>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</si>
  <si>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</si>
  <si>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</si>
  <si>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</si>
  <si>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</si>
  <si>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</si>
  <si>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</si>
  <si>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</si>
  <si>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</si>
  <si>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</si>
  <si>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</si>
  <si>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</si>
  <si>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</si>
  <si>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</si>
  <si>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</si>
  <si>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</si>
  <si>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</si>
  <si>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</si>
  <si>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</si>
  <si>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</si>
  <si>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</si>
  <si>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</si>
  <si>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</si>
  <si>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</si>
  <si>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</si>
  <si>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</si>
  <si>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</si>
  <si>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</si>
  <si>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</si>
  <si>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</si>
  <si>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</si>
  <si>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</si>
  <si>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</si>
  <si>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</si>
  <si>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</si>
  <si>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</si>
  <si>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</si>
  <si>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</si>
  <si>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</si>
  <si>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</si>
  <si>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</si>
  <si>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</si>
  <si>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</si>
  <si>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</si>
  <si>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</si>
  <si>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</si>
  <si>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</si>
  <si>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</si>
  <si>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</si>
  <si>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</si>
  <si>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</si>
  <si>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</si>
  <si>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</si>
  <si>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</si>
  <si>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</si>
  <si>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</si>
  <si>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</si>
  <si>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</si>
  <si>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</si>
  <si>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</si>
  <si>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</si>
  <si>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</si>
  <si>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</si>
  <si>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</si>
  <si>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</si>
  <si>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</si>
  <si>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</si>
  <si>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</si>
  <si>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</si>
  <si>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</si>
  <si>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</si>
  <si>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</si>
  <si>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</si>
  <si>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</si>
  <si>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</si>
  <si>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</si>
  <si>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</si>
  <si>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</si>
  <si>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</si>
  <si>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</si>
  <si>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</si>
  <si>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</si>
  <si>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</si>
  <si>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</si>
  <si>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</si>
  <si>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</si>
  <si>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</si>
  <si>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</si>
  <si>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</si>
  <si>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</si>
  <si>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</si>
  <si>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</si>
  <si>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</si>
  <si>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</si>
  <si>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</si>
  <si>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</si>
  <si>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</si>
  <si>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</si>
  <si>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</si>
  <si>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</si>
  <si>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</si>
  <si>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</si>
  <si>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</si>
  <si>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</si>
  <si>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</si>
  <si>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</si>
  <si>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</si>
  <si>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</si>
  <si>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</si>
  <si>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</si>
  <si>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</si>
  <si>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</si>
  <si>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</si>
  <si>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</si>
  <si>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</si>
  <si>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</si>
  <si>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</si>
  <si>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</si>
  <si>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</si>
  <si>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</si>
  <si>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</si>
  <si>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</si>
  <si>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</si>
  <si>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</si>
  <si>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</si>
  <si>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</si>
  <si>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</si>
  <si>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</si>
  <si>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</si>
  <si>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</si>
  <si>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</si>
  <si>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</si>
  <si>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</si>
  <si>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</si>
  <si>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</si>
  <si>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</si>
  <si>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</si>
  <si>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</si>
  <si>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</si>
  <si>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</si>
  <si>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</si>
  <si>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</si>
  <si>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</si>
  <si>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</si>
  <si>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</si>
  <si>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</si>
  <si>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</si>
  <si>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</si>
  <si>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</si>
  <si>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</si>
  <si>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</si>
  <si>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</si>
  <si>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</si>
  <si>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</si>
  <si>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</si>
  <si>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</si>
  <si>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</si>
  <si>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</si>
  <si>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</si>
  <si>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</si>
  <si>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</si>
  <si>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</si>
  <si>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</si>
  <si>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</si>
  <si>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</si>
  <si>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</si>
  <si>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</si>
  <si>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</si>
  <si>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</si>
  <si>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</si>
  <si>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</si>
  <si>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</si>
  <si>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</si>
  <si>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</si>
  <si>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</si>
  <si>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</si>
  <si>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</si>
  <si>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</si>
  <si>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</si>
  <si>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</si>
  <si>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</si>
  <si>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</si>
  <si>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</si>
  <si>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</si>
  <si>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</si>
  <si>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</si>
  <si>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</si>
  <si>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</si>
  <si>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</si>
  <si>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</si>
  <si>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</si>
  <si>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</si>
  <si>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</si>
  <si>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</si>
  <si>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</si>
  <si>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</si>
  <si>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</si>
  <si>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</si>
  <si>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</si>
  <si>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</si>
  <si>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</si>
  <si>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</si>
  <si>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</si>
  <si>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</si>
  <si>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</si>
  <si>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</si>
  <si>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</si>
  <si>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</si>
  <si>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</si>
  <si>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</si>
  <si>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</si>
  <si>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</si>
  <si>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</si>
  <si>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</si>
  <si>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</si>
  <si>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</si>
  <si>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</si>
  <si>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</si>
  <si>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</si>
  <si>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</si>
  <si>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</si>
  <si>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</si>
  <si>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</si>
  <si>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</si>
  <si>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</si>
  <si>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</si>
  <si>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</si>
  <si>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</si>
  <si>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</si>
  <si>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</si>
  <si>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</si>
  <si>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</si>
  <si>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</si>
  <si>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</si>
  <si>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</si>
  <si>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</si>
  <si>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</si>
  <si>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</si>
  <si>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</si>
  <si>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</si>
  <si>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</si>
  <si>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</si>
  <si>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</si>
  <si>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</si>
  <si>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</si>
  <si>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</si>
  <si>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</si>
  <si>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</si>
  <si>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</si>
  <si>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</si>
  <si>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</si>
  <si>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</si>
  <si>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</si>
  <si>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</si>
  <si>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</si>
  <si>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</si>
  <si>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</si>
  <si>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</si>
  <si>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</si>
  <si>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</si>
  <si>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</si>
  <si>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</si>
  <si>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</si>
  <si>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</si>
  <si>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</si>
  <si>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</si>
  <si>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</si>
  <si>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</si>
  <si>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</si>
  <si>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</si>
  <si>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</si>
  <si>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</si>
  <si>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</si>
  <si>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</si>
  <si>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</si>
  <si>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</si>
  <si>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</si>
  <si>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</si>
  <si>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</si>
  <si>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</si>
  <si>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</si>
  <si>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</si>
  <si>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</si>
  <si>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</si>
  <si>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</si>
  <si>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</si>
  <si>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</si>
  <si>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</si>
  <si>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</si>
  <si>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</si>
  <si>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</si>
  <si>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</si>
  <si>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</si>
  <si>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</si>
  <si>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</si>
  <si>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</si>
  <si>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</si>
  <si>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</si>
  <si>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</si>
  <si>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</si>
  <si>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</si>
  <si>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</si>
  <si>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</si>
  <si>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</si>
  <si>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</si>
  <si>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</si>
  <si>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</si>
  <si>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</si>
  <si>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</si>
  <si>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</si>
  <si>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</si>
  <si>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</si>
  <si>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</si>
  <si>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</si>
  <si>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</si>
  <si>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</si>
  <si>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</si>
  <si>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</si>
  <si>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</si>
  <si>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</si>
  <si>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</si>
  <si>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</si>
  <si>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</si>
  <si>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</si>
  <si>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</si>
  <si>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</si>
  <si>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</si>
  <si>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</si>
  <si>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</si>
  <si>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</si>
  <si>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</si>
  <si>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</si>
  <si>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</si>
  <si>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</si>
  <si>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</si>
  <si>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</si>
  <si>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</si>
  <si>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</si>
  <si>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</si>
  <si>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</si>
  <si>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</si>
  <si>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</si>
  <si>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</si>
  <si>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</si>
  <si>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</si>
  <si>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</si>
  <si>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</si>
  <si>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</si>
  <si>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</si>
  <si>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</si>
  <si>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</si>
  <si>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</si>
  <si>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</si>
  <si>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</si>
  <si>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</si>
  <si>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</si>
  <si>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</si>
  <si>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</si>
  <si>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</si>
  <si>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</si>
  <si>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</si>
  <si>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</si>
  <si>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</si>
  <si>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</si>
  <si>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</si>
  <si>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</si>
  <si>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</si>
  <si>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</si>
  <si>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</si>
  <si>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</si>
  <si>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</si>
  <si>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</si>
  <si>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</si>
  <si>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</si>
  <si>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</si>
  <si>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</si>
  <si>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</si>
  <si>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</si>
  <si>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</si>
  <si>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</si>
  <si>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</si>
  <si>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</si>
  <si>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</si>
  <si>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</si>
  <si>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</si>
  <si>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</si>
  <si>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</si>
  <si>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</si>
  <si>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</si>
  <si>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</si>
  <si>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</si>
  <si>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</si>
  <si>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</si>
  <si>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</si>
  <si>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</si>
  <si>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</si>
  <si>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</si>
  <si>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</si>
  <si>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</si>
  <si>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</si>
  <si>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</si>
  <si>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</si>
  <si>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</si>
  <si>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</si>
  <si>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</si>
  <si>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</si>
  <si>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</si>
  <si>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</si>
  <si>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</si>
  <si>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</si>
  <si>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</si>
  <si>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</si>
  <si>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</si>
  <si>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</si>
  <si>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</si>
  <si>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</si>
  <si>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</si>
  <si>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</si>
  <si>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</si>
  <si>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</si>
  <si>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</si>
  <si>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</si>
  <si>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</si>
  <si>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</si>
  <si>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</si>
  <si>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</si>
  <si>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</si>
  <si>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</si>
  <si>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</si>
  <si>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</si>
  <si>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</si>
  <si>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</si>
  <si>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</si>
  <si>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</si>
  <si>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</si>
  <si>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</si>
  <si>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</si>
  <si>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</si>
  <si>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</si>
  <si>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</si>
  <si>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</si>
  <si>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</si>
  <si>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</si>
  <si>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</si>
  <si>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</si>
  <si>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</si>
  <si>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</si>
  <si>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</si>
  <si>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</si>
  <si>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</si>
  <si>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</si>
  <si>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</si>
  <si>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</si>
  <si>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</si>
  <si>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</si>
  <si>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</si>
  <si>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</si>
  <si>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</si>
  <si>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</si>
  <si>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</si>
  <si>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</si>
  <si>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</si>
  <si>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</si>
  <si>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</si>
  <si>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</si>
  <si>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</si>
  <si>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</si>
  <si>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</si>
  <si>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</si>
  <si>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</si>
  <si>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</si>
  <si>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</si>
  <si>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</si>
  <si>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</si>
  <si>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</si>
  <si>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</si>
  <si>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</si>
  <si>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</si>
  <si>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</si>
  <si>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</si>
  <si>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</si>
  <si>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</si>
  <si>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</si>
  <si>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</si>
  <si>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</si>
  <si>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</si>
  <si>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</si>
  <si>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</si>
  <si>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</si>
  <si>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</si>
  <si>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</si>
  <si>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</si>
  <si>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</si>
  <si>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</si>
  <si>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</si>
  <si>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</si>
  <si>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</si>
  <si>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</si>
  <si>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</si>
  <si>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</si>
  <si>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</si>
  <si>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</si>
  <si>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</si>
  <si>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</si>
  <si>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</si>
  <si>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</si>
  <si>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</si>
  <si>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</si>
  <si>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</si>
  <si>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</si>
  <si>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</si>
  <si>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</si>
  <si>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</si>
  <si>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</si>
  <si>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</si>
  <si>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</si>
  <si>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</si>
  <si>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</si>
  <si>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</si>
  <si>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</si>
  <si>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</si>
  <si>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</si>
  <si>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</si>
  <si>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</si>
  <si>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</si>
  <si>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</si>
  <si>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</si>
  <si>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</si>
  <si>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</si>
  <si>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</si>
  <si>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</si>
  <si>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</si>
  <si>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</si>
  <si>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</si>
  <si>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</si>
  <si>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</si>
  <si>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</si>
  <si>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</si>
  <si>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</si>
  <si>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</si>
  <si>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</si>
  <si>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</si>
  <si>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</si>
  <si>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</si>
  <si>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</si>
  <si>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</si>
  <si>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</si>
  <si>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</si>
  <si>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</si>
  <si>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</si>
  <si>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</si>
  <si>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</si>
  <si>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</si>
  <si>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</si>
  <si>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</si>
  <si>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</si>
  <si>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</si>
  <si>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</si>
  <si>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</si>
  <si>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</si>
  <si>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</si>
  <si>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</si>
  <si>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</si>
  <si>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</si>
  <si>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</si>
  <si>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</si>
  <si>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</si>
  <si>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</si>
  <si>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</si>
  <si>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</si>
  <si>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</si>
  <si>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</si>
  <si>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</si>
  <si>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</si>
  <si>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</si>
  <si>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</si>
  <si>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</si>
  <si>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</si>
  <si>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</si>
  <si>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</si>
  <si>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</si>
  <si>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</si>
  <si>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</si>
  <si>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</si>
  <si>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</si>
  <si>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</si>
  <si>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</si>
  <si>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</si>
  <si>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</si>
  <si>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</si>
  <si>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</si>
  <si>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</si>
  <si>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</si>
  <si>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</si>
  <si>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</si>
  <si>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</si>
  <si>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</si>
  <si>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</si>
  <si>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</si>
  <si>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</si>
  <si>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</si>
  <si>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</si>
  <si>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</si>
  <si>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</si>
  <si>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</si>
  <si>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</si>
  <si>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</si>
  <si>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</si>
  <si>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</si>
  <si>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</si>
  <si>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</si>
  <si>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</si>
  <si>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</si>
  <si>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</si>
  <si>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</si>
  <si>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</si>
  <si>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</si>
  <si>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</si>
  <si>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</si>
  <si>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</si>
  <si>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</si>
  <si>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</si>
  <si>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</si>
  <si>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</si>
  <si>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</si>
  <si>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</si>
  <si>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</si>
  <si>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</si>
  <si>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</si>
  <si>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</si>
  <si>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</si>
  <si>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</si>
  <si>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</si>
  <si>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</si>
  <si>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</si>
  <si>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</si>
  <si>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</si>
  <si>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</si>
  <si>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</si>
  <si>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</si>
  <si>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</si>
  <si>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</si>
  <si>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</si>
  <si>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</si>
  <si>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</si>
  <si>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</si>
  <si>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</si>
  <si>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</si>
  <si>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</si>
  <si>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</si>
  <si>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</si>
  <si>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</si>
  <si>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</si>
  <si>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</si>
  <si>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</si>
  <si>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</si>
  <si>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</si>
  <si>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</si>
  <si>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</si>
  <si>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</si>
  <si>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</si>
  <si>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</si>
  <si>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</si>
  <si>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</si>
  <si>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</si>
  <si>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</si>
  <si>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</si>
  <si>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</si>
  <si>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</si>
  <si>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</si>
  <si>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</si>
  <si>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</si>
  <si>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</si>
  <si>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</si>
  <si>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</si>
  <si>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</si>
  <si>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</si>
  <si>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</si>
  <si>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</si>
  <si>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</si>
  <si>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</si>
  <si>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</si>
  <si>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</si>
  <si>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</si>
  <si>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</si>
  <si>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</si>
  <si>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</si>
  <si>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</si>
  <si>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</si>
  <si>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</si>
  <si>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</si>
  <si>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</si>
  <si>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</si>
  <si>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</si>
  <si>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</si>
  <si>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</si>
  <si>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</si>
  <si>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</si>
  <si>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</si>
  <si>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</si>
  <si>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</si>
  <si>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</si>
  <si>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</si>
  <si>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</si>
  <si>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</si>
  <si>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</si>
  <si>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</si>
  <si>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</si>
  <si>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</si>
  <si>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</si>
  <si>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</si>
  <si>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</si>
  <si>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</si>
  <si>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</si>
  <si>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</si>
  <si>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</si>
  <si>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</si>
  <si>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</si>
  <si>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</si>
  <si>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</si>
  <si>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</si>
  <si>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</si>
  <si>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</si>
  <si>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</si>
  <si>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</si>
  <si>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</si>
  <si>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</si>
  <si>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</si>
  <si>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</si>
  <si>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</si>
  <si>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</si>
  <si>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</si>
  <si>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</si>
  <si>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</si>
  <si>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</si>
  <si>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</si>
  <si>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</si>
  <si>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</si>
  <si>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</si>
  <si>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</si>
  <si>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</si>
  <si>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</si>
  <si>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</si>
  <si>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</si>
  <si>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</si>
  <si>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</si>
  <si>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</si>
  <si>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</si>
  <si>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</si>
  <si>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</si>
  <si>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</si>
  <si>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</si>
  <si>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</si>
  <si>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</si>
  <si>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</si>
  <si>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</si>
  <si>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</si>
  <si>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</si>
  <si>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</si>
  <si>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</si>
  <si>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</si>
  <si>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</si>
  <si>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</si>
  <si>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</si>
  <si>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</si>
  <si>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</si>
  <si>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</si>
  <si>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</si>
  <si>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</si>
  <si>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</si>
  <si>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</si>
  <si>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</si>
  <si>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</si>
  <si>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</si>
  <si>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</si>
  <si>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</si>
  <si>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</si>
  <si>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</si>
  <si>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</si>
  <si>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</si>
  <si>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</si>
  <si>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</si>
  <si>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</si>
  <si>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</si>
  <si>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</si>
  <si>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</si>
  <si>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</si>
  <si>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</si>
  <si>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</si>
  <si>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</si>
  <si>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</si>
  <si>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</si>
  <si>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</si>
  <si>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</si>
  <si>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</si>
  <si>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</si>
  <si>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</si>
  <si>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</si>
  <si>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</si>
  <si>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</si>
  <si>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</si>
  <si>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</si>
  <si>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</si>
  <si>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</si>
  <si>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</si>
  <si>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</si>
  <si>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</si>
  <si>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</si>
  <si>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</si>
  <si>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</si>
  <si>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</si>
  <si>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</si>
  <si>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</si>
  <si>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</si>
  <si>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</si>
  <si>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</si>
  <si>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</si>
  <si>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</si>
  <si>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</si>
  <si>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</si>
  <si>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</si>
  <si>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</si>
  <si>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</si>
  <si>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</si>
  <si>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</si>
  <si>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</si>
  <si>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</si>
  <si>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</si>
  <si>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</si>
  <si>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</si>
  <si>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</si>
  <si>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</si>
  <si>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</si>
  <si>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</si>
  <si>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</si>
  <si>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</si>
  <si>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</si>
  <si>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</si>
  <si>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</si>
  <si>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</si>
  <si>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</si>
  <si>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</si>
  <si>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</si>
  <si>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</si>
  <si>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</si>
  <si>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</si>
  <si>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</si>
  <si>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</si>
  <si>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</si>
  <si>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</si>
  <si>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</si>
  <si>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</si>
  <si>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</si>
  <si>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</si>
  <si>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</si>
  <si>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</si>
  <si>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</si>
  <si>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</si>
  <si>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</si>
  <si>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</si>
  <si>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</si>
  <si>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</si>
  <si>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</si>
  <si>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</si>
  <si>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</si>
  <si>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</si>
  <si>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</si>
  <si>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</si>
  <si>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</si>
  <si>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</si>
  <si>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</si>
  <si>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</si>
  <si>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</si>
  <si>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</si>
  <si>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</si>
  <si>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</si>
  <si>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</si>
  <si>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</si>
  <si>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</si>
  <si>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</si>
  <si>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</si>
  <si>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</si>
  <si>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</si>
  <si>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</si>
  <si>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</si>
  <si>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</si>
  <si>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</si>
  <si>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</si>
  <si>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</si>
  <si>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</si>
  <si>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</si>
  <si>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</si>
  <si>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</si>
  <si>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</si>
  <si>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</si>
  <si>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</si>
  <si>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</si>
  <si>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</si>
  <si>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</si>
  <si>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</si>
  <si>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</si>
  <si>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</si>
  <si>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</si>
  <si>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</si>
  <si>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</si>
  <si>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</si>
  <si>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</si>
  <si>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</si>
  <si>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</si>
  <si>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</si>
  <si>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</si>
  <si>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</si>
  <si>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</si>
  <si>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</si>
  <si>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</si>
  <si>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</si>
  <si>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</si>
  <si>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</si>
  <si>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</si>
  <si>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</si>
  <si>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</si>
  <si>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</si>
  <si>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</si>
  <si>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</si>
  <si>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</si>
  <si>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</si>
  <si>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</si>
  <si>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</si>
  <si>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</si>
  <si>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</si>
  <si>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</si>
  <si>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</si>
  <si>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</si>
  <si>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</si>
  <si>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</si>
  <si>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</si>
  <si>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</si>
  <si>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</si>
  <si>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</si>
  <si>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</si>
  <si>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</si>
  <si>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</si>
  <si>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</si>
  <si>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</si>
  <si>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</si>
  <si>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</si>
  <si>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</si>
  <si>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</si>
  <si>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</si>
  <si>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</si>
  <si>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</si>
  <si>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</si>
  <si>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</si>
  <si>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</si>
  <si>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</si>
  <si>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</si>
  <si>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</si>
  <si>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</si>
  <si>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</si>
  <si>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</si>
  <si>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</si>
  <si>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</si>
  <si>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</si>
  <si>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</si>
  <si>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</si>
  <si>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</si>
  <si>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</si>
  <si>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</si>
  <si>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</si>
  <si>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</si>
  <si>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</si>
  <si>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</si>
  <si>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</si>
  <si>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</si>
  <si>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</si>
  <si>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</si>
  <si>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</si>
  <si>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</si>
  <si>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</si>
  <si>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</si>
  <si>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</si>
  <si>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</si>
  <si>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</si>
  <si>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</si>
  <si>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</si>
  <si>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</si>
  <si>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</si>
  <si>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</si>
  <si>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</si>
  <si>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</si>
  <si>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</si>
  <si>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</si>
  <si>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</si>
  <si>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</si>
  <si>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</si>
  <si>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</si>
  <si>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</si>
  <si>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</si>
  <si>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</si>
  <si>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</si>
  <si>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</si>
  <si>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</si>
  <si>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</si>
  <si>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</si>
  <si>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</si>
  <si>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</si>
  <si>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</si>
  <si>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</si>
  <si>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</si>
  <si>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</si>
  <si>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</si>
  <si>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</si>
  <si>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</si>
  <si>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</si>
  <si>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</si>
  <si>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</si>
  <si>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</si>
  <si>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</si>
  <si>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</si>
  <si>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</si>
  <si>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</si>
  <si>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</si>
  <si>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</si>
  <si>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</si>
  <si>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</si>
  <si>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</si>
  <si>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</si>
  <si>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</si>
  <si>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</si>
  <si>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</si>
  <si>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</si>
  <si>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</si>
  <si>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</si>
  <si>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</si>
  <si>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</si>
  <si>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</si>
  <si>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</si>
  <si>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</si>
  <si>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</si>
  <si>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</si>
  <si>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</si>
  <si>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</si>
  <si>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</si>
  <si>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</si>
  <si>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</si>
  <si>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</si>
  <si>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</si>
  <si>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</si>
  <si>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</si>
  <si>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</si>
  <si>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</si>
  <si>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</si>
  <si>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</si>
  <si>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</si>
  <si>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</si>
  <si>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</si>
  <si>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</si>
  <si>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</si>
  <si>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</si>
  <si>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</si>
  <si>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</si>
  <si>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</si>
  <si>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</si>
  <si>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</si>
  <si>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</si>
  <si>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</si>
  <si>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</si>
  <si>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</si>
  <si>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</si>
  <si>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</si>
  <si>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</si>
  <si>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</si>
  <si>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</si>
  <si>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</si>
  <si>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</si>
  <si>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</si>
  <si>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</si>
  <si>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</si>
  <si>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</si>
  <si>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</si>
  <si>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</si>
  <si>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</si>
  <si>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</si>
  <si>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</si>
  <si>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</si>
  <si>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</si>
  <si>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</si>
  <si>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</si>
  <si>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</si>
  <si>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</si>
  <si>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</si>
  <si>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</si>
  <si>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</si>
  <si>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</si>
  <si>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</si>
  <si>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</si>
  <si>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</si>
  <si>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</si>
  <si>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</si>
  <si>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</si>
  <si>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</si>
  <si>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</si>
  <si>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</si>
  <si>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</si>
  <si>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</si>
  <si>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</si>
  <si>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</si>
  <si>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</si>
  <si>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</si>
  <si>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</si>
  <si>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</si>
  <si>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</si>
  <si>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</si>
  <si>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</si>
  <si>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</si>
  <si>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</si>
  <si>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</si>
  <si>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</si>
  <si>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</si>
  <si>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</si>
  <si>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</si>
  <si>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</si>
  <si>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</si>
  <si>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</si>
  <si>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</si>
  <si>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</si>
  <si>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</si>
  <si>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</si>
  <si>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</si>
  <si>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</si>
  <si>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</si>
  <si>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</si>
  <si>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</si>
  <si>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</si>
  <si>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</si>
  <si>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</si>
  <si>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</si>
  <si>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</si>
  <si>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</si>
  <si>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</si>
  <si>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</si>
  <si>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</si>
  <si>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</si>
  <si>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</si>
  <si>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</si>
  <si>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</si>
  <si>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</si>
  <si>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</si>
  <si>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</si>
  <si>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</si>
  <si>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</si>
  <si>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</si>
  <si>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</si>
  <si>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</si>
  <si>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</si>
  <si>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</si>
  <si>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</si>
  <si>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</si>
  <si>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</si>
  <si>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</si>
  <si>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</si>
  <si>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</si>
  <si>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</si>
  <si>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</si>
  <si>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</si>
  <si>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</si>
  <si>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</si>
  <si>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</si>
  <si>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</si>
  <si>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</si>
  <si>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</si>
  <si>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</si>
  <si>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</si>
  <si>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</si>
  <si>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</si>
  <si>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</si>
  <si>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</si>
  <si>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</si>
  <si>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</si>
  <si>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</si>
  <si>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</si>
  <si>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</si>
  <si>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</si>
  <si>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</si>
  <si>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</si>
  <si>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</si>
  <si>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</si>
  <si>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</si>
  <si>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</si>
  <si>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</si>
  <si>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</si>
  <si>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</si>
  <si>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</si>
  <si>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</si>
  <si>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</si>
  <si>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</si>
  <si>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</si>
  <si>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</si>
  <si>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</si>
  <si>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</si>
  <si>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</si>
  <si>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</si>
  <si>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</si>
  <si>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</si>
  <si>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</si>
  <si>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</si>
  <si>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</si>
  <si>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</si>
  <si>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</si>
  <si>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</si>
  <si>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</si>
  <si>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</si>
  <si>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</si>
  <si>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</si>
  <si>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</si>
  <si>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</si>
  <si>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</si>
  <si>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</si>
  <si>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</si>
  <si>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</si>
  <si>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</si>
  <si>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</si>
  <si>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</si>
  <si>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</si>
  <si>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</si>
  <si>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</si>
  <si>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</si>
  <si>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</si>
  <si>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</si>
  <si>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</si>
  <si>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</si>
  <si>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</si>
  <si>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</si>
  <si>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</si>
  <si>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</si>
  <si>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</si>
  <si>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</si>
  <si>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</si>
  <si>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</si>
  <si>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</si>
  <si>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</si>
  <si>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</si>
  <si>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</si>
  <si>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</si>
  <si>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</si>
  <si>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</si>
  <si>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</si>
  <si>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</si>
  <si>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</si>
  <si>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</si>
  <si>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</si>
  <si>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</si>
  <si>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</si>
  <si>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</si>
  <si>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</si>
  <si>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</si>
  <si>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</si>
  <si>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</si>
  <si>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</si>
  <si>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</si>
  <si>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</si>
  <si>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</si>
  <si>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</si>
  <si>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</si>
  <si>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</si>
  <si>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</si>
  <si>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</si>
  <si>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</si>
  <si>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</si>
  <si>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</si>
  <si>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</si>
  <si>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</si>
  <si>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</si>
  <si>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</si>
  <si>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</si>
  <si>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</si>
  <si>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</si>
  <si>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</si>
  <si>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</si>
  <si>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</si>
  <si>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</si>
  <si>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</si>
  <si>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</si>
  <si>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</si>
  <si>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</si>
  <si>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</si>
  <si>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</si>
  <si>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</si>
  <si>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</si>
  <si>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</si>
  <si>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</si>
  <si>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</si>
  <si>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</si>
  <si>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</si>
  <si>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</si>
  <si>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</si>
  <si>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</si>
  <si>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</si>
  <si>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</si>
  <si>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</si>
  <si>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</si>
  <si>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</si>
  <si>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</si>
  <si>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</si>
  <si>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</si>
  <si>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</si>
  <si>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</si>
  <si>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</si>
  <si>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</si>
  <si>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</si>
  <si>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</si>
  <si>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</si>
  <si>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</si>
  <si>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</si>
  <si>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</si>
  <si>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</si>
  <si>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</si>
  <si>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</si>
  <si>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</si>
  <si>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</si>
  <si>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</si>
  <si>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</si>
  <si>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</si>
  <si>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</si>
  <si>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</si>
  <si>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</si>
  <si>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</si>
  <si>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</si>
  <si>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</si>
  <si>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</si>
  <si>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</si>
  <si>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</si>
  <si>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</si>
  <si>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</si>
  <si>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</si>
  <si>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</si>
  <si>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</si>
  <si>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</si>
  <si>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</si>
  <si>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</si>
  <si>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</si>
  <si>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</si>
  <si>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</si>
  <si>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</si>
  <si>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</si>
  <si>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</si>
  <si>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</si>
  <si>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</si>
  <si>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</si>
  <si>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</si>
  <si>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</si>
  <si>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</si>
  <si>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</si>
  <si>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</si>
  <si>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</si>
  <si>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</si>
  <si>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</si>
  <si>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</si>
  <si>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</si>
  <si>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</si>
  <si>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</si>
  <si>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</si>
  <si>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</si>
  <si>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</si>
  <si>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</si>
  <si>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</si>
  <si>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</si>
  <si>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</si>
  <si>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</si>
  <si>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</si>
  <si>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</si>
  <si>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</si>
  <si>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</si>
  <si>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</si>
  <si>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</si>
  <si>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</si>
  <si>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</si>
  <si>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</si>
  <si>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</si>
  <si>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</si>
  <si>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</si>
  <si>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</si>
  <si>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</si>
  <si>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</si>
  <si>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</si>
  <si>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</si>
  <si>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</si>
  <si>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</si>
  <si>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</si>
  <si>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</si>
  <si>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</si>
  <si>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</si>
  <si>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</si>
  <si>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</si>
  <si>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</si>
  <si>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</si>
  <si>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</si>
  <si>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</si>
  <si>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</si>
  <si>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</si>
  <si>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</si>
  <si>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</si>
  <si>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</si>
  <si>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</si>
  <si>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</si>
  <si>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</si>
  <si>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</si>
  <si>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</si>
  <si>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</si>
  <si>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</si>
  <si>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</si>
  <si>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</si>
  <si>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</si>
  <si>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</si>
  <si>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</si>
  <si>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</si>
  <si>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</si>
  <si>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</si>
  <si>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</si>
  <si>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</si>
  <si>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</si>
  <si>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</si>
  <si>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</si>
  <si>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</si>
  <si>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</si>
  <si>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</si>
  <si>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</si>
  <si>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</si>
  <si>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</si>
  <si>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</si>
  <si>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</si>
  <si>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</si>
  <si>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</si>
  <si>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</si>
  <si>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</si>
  <si>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</si>
  <si>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</si>
  <si>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</si>
  <si>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</si>
  <si>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</si>
  <si>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</si>
  <si>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</si>
  <si>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</si>
  <si>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</si>
  <si>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</si>
  <si>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</si>
  <si>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</si>
  <si>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</si>
  <si>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</si>
  <si>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</si>
  <si>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</si>
  <si>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</si>
  <si>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</si>
  <si>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</si>
  <si>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</si>
  <si>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</si>
  <si>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</si>
  <si>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</si>
  <si>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</si>
  <si>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</si>
  <si>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</si>
  <si>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</si>
  <si>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</si>
  <si>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</si>
  <si>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</si>
  <si>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</si>
  <si>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</si>
  <si>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</si>
  <si>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</si>
  <si>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</si>
  <si>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</si>
  <si>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</si>
  <si>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</si>
  <si>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</si>
  <si>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</si>
  <si>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</si>
  <si>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</si>
  <si>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</si>
  <si>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</si>
  <si>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</si>
  <si>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</si>
  <si>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</si>
  <si>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</si>
  <si>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</si>
  <si>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</si>
  <si>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</si>
  <si>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</si>
  <si>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</si>
  <si>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</si>
  <si>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</si>
  <si>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</si>
  <si>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</si>
  <si>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</si>
  <si>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</si>
  <si>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</si>
  <si>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</si>
  <si>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</si>
  <si>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</si>
  <si>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</si>
  <si>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</si>
  <si>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</si>
  <si>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</si>
  <si>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</si>
  <si>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</si>
  <si>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</si>
  <si>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</si>
  <si>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</si>
  <si>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</si>
  <si>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</si>
  <si>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</si>
  <si>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</si>
  <si>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</si>
  <si>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</si>
  <si>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</si>
  <si>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</si>
  <si>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</si>
  <si>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</si>
  <si>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</si>
  <si>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</si>
  <si>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</si>
  <si>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</si>
  <si>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</si>
  <si>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</si>
  <si>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</si>
  <si>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</si>
  <si>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</si>
  <si>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</si>
  <si>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</si>
  <si>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</si>
  <si>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</si>
  <si>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</si>
  <si>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</si>
  <si>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</si>
  <si>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</si>
  <si>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</si>
  <si>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</si>
  <si>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</si>
  <si>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</si>
  <si>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</si>
  <si>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</si>
  <si>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</si>
  <si>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</si>
  <si>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</si>
  <si>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</si>
  <si>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</si>
  <si>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</si>
  <si>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</si>
  <si>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</si>
  <si>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</si>
  <si>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</si>
  <si>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</si>
  <si>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</si>
  <si>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</si>
  <si>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</si>
  <si>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</si>
  <si>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</si>
  <si>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</si>
  <si>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</si>
  <si>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</si>
  <si>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</si>
  <si>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</si>
  <si>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</si>
  <si>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</si>
  <si>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</si>
  <si>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</si>
  <si>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</si>
  <si>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</si>
  <si>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</si>
  <si>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</si>
  <si>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</si>
  <si>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</si>
  <si>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</si>
  <si>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</si>
  <si>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</si>
  <si>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</si>
  <si>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</si>
  <si>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</si>
  <si>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</si>
  <si>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</si>
  <si>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</si>
  <si>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</si>
  <si>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</si>
  <si>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</si>
  <si>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</si>
  <si>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</si>
  <si>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</si>
  <si>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</si>
  <si>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</si>
  <si>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</si>
  <si>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</si>
  <si>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</si>
  <si>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</si>
  <si>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</si>
  <si>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</si>
  <si>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</si>
  <si>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</si>
  <si>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</si>
  <si>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</si>
  <si>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</si>
  <si>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</si>
  <si>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</si>
  <si>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</si>
  <si>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</si>
  <si>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</si>
  <si>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</si>
  <si>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</si>
  <si>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</si>
  <si>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</si>
  <si>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</si>
  <si>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</si>
  <si>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</si>
  <si>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</si>
  <si>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</si>
  <si>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</si>
  <si>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</si>
  <si>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</si>
  <si>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</si>
  <si>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</si>
  <si>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</si>
  <si>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</si>
  <si>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</si>
  <si>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</si>
  <si>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</si>
  <si>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</si>
  <si>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</si>
  <si>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</si>
  <si>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</si>
  <si>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</si>
  <si>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</si>
  <si>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</si>
  <si>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</si>
  <si>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</si>
  <si>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</si>
  <si>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</si>
  <si>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</si>
  <si>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</si>
  <si>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</si>
  <si>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</si>
  <si>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</si>
  <si>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</si>
  <si>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</si>
  <si>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</si>
  <si>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</si>
  <si>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</si>
  <si>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</si>
  <si>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</si>
  <si>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</si>
  <si>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</si>
  <si>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</si>
  <si>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</si>
  <si>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</si>
  <si>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</si>
  <si>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</si>
  <si>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</si>
  <si>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</si>
  <si>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</si>
  <si>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</si>
  <si>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</si>
  <si>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</si>
  <si>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</si>
  <si>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</si>
  <si>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</si>
  <si>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</si>
  <si>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</si>
  <si>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</si>
  <si>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</si>
  <si>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</si>
  <si>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</si>
  <si>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</si>
  <si>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</si>
  <si>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</si>
  <si>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</si>
  <si>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</si>
  <si>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</si>
  <si>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</si>
  <si>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</si>
  <si>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</si>
  <si>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</si>
  <si>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</si>
  <si>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</si>
  <si>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</si>
  <si>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</si>
  <si>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</si>
  <si>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</si>
  <si>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</si>
  <si>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</si>
  <si>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</si>
  <si>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</si>
  <si>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</si>
  <si>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</si>
  <si>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</si>
  <si>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</si>
  <si>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</si>
  <si>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</si>
  <si>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</si>
  <si>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</si>
  <si>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</si>
  <si>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</si>
  <si>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</si>
  <si>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</si>
  <si>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</si>
  <si>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</si>
  <si>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</si>
  <si>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</si>
  <si>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</si>
  <si>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</si>
  <si>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</si>
  <si>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</si>
  <si>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</si>
  <si>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</si>
  <si>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</si>
  <si>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</si>
  <si>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</si>
  <si>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</si>
  <si>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</si>
  <si>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</si>
  <si>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</si>
  <si>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</si>
  <si>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</si>
  <si>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</si>
  <si>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</si>
  <si>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</si>
  <si>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</si>
  <si>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</si>
  <si>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</si>
  <si>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</si>
  <si>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</si>
  <si>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</si>
  <si>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</si>
  <si>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</si>
  <si>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</si>
  <si>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</si>
  <si>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</si>
  <si>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</si>
  <si>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</si>
  <si>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</si>
  <si>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</si>
  <si>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</si>
  <si>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</si>
  <si>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</si>
  <si>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</si>
  <si>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</si>
  <si>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</si>
  <si>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</si>
  <si>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</si>
  <si>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</si>
  <si>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</si>
  <si>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</si>
  <si>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</si>
  <si>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</si>
  <si>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</si>
  <si>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</si>
  <si>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</si>
  <si>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</si>
  <si>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</si>
  <si>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</si>
  <si>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</si>
  <si>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</si>
  <si>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</si>
  <si>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</si>
  <si>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</si>
  <si>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</si>
  <si>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</si>
  <si>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</si>
  <si>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</si>
  <si>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</si>
  <si>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</si>
  <si>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</si>
  <si>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</si>
  <si>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</si>
  <si>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</si>
  <si>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</si>
  <si>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</si>
  <si>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</si>
  <si>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</si>
  <si>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</si>
  <si>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</si>
  <si>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</si>
  <si>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</si>
  <si>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</si>
  <si>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</si>
  <si>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</si>
  <si>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</si>
  <si>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</si>
  <si>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</si>
  <si>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</si>
  <si>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</si>
  <si>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</si>
  <si>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</si>
  <si>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</si>
  <si>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</si>
  <si>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</si>
  <si>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</si>
  <si>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</si>
  <si>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</si>
  <si>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</si>
  <si>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</si>
  <si>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</si>
  <si>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</si>
  <si>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</si>
  <si>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</si>
  <si>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</si>
  <si>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</si>
  <si>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</si>
  <si>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</si>
  <si>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</si>
  <si>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</si>
  <si>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</si>
  <si>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</si>
  <si>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</si>
  <si>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</si>
  <si>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</si>
  <si>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</si>
  <si>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</si>
  <si>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</si>
  <si>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</si>
  <si>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</si>
  <si>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</si>
  <si>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</si>
  <si>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</si>
  <si>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</si>
  <si>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</si>
  <si>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</si>
  <si>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</si>
  <si>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</si>
  <si>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</si>
  <si>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</si>
  <si>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</si>
  <si>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</si>
  <si>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</si>
  <si>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</si>
  <si>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</si>
  <si>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</si>
  <si>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</si>
  <si>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</si>
  <si>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</si>
  <si>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</si>
  <si>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</si>
  <si>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</si>
  <si>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</si>
  <si>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</si>
  <si>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</si>
  <si>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</si>
  <si>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</si>
  <si>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</si>
  <si>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</si>
  <si>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</si>
  <si>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</si>
  <si>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</si>
  <si>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</si>
  <si>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</si>
  <si>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</si>
  <si>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</si>
  <si>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</si>
  <si>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</si>
  <si>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</si>
  <si>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</si>
  <si>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</si>
  <si>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</si>
  <si>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</si>
  <si>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</si>
  <si>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</si>
  <si>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</si>
  <si>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</si>
  <si>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</si>
  <si>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</si>
  <si>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</si>
  <si>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</si>
  <si>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</si>
  <si>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</si>
  <si>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</si>
  <si>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</si>
  <si>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</si>
  <si>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</si>
  <si>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</si>
  <si>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</si>
  <si>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</si>
  <si>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</si>
  <si>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</si>
  <si>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</si>
  <si>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</si>
  <si>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</si>
  <si>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</si>
  <si>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</si>
  <si>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</si>
  <si>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</si>
  <si>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</si>
  <si>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</si>
  <si>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</si>
  <si>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</si>
  <si>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</si>
  <si>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</si>
  <si>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</si>
  <si>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</si>
  <si>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</si>
  <si>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</si>
  <si>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</si>
  <si>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</si>
  <si>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</si>
  <si>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</si>
  <si>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</si>
  <si>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</si>
  <si>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</si>
  <si>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</si>
  <si>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</si>
  <si>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</si>
  <si>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</si>
  <si>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</si>
  <si>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</si>
  <si>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</si>
  <si>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</si>
  <si>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</si>
  <si>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</si>
  <si>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</si>
  <si>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</si>
  <si>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</si>
  <si>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</si>
  <si>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</si>
  <si>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</si>
  <si>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</si>
  <si>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</si>
  <si>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</si>
  <si>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</si>
  <si>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</si>
  <si>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</si>
  <si>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</si>
  <si>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</si>
  <si>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</si>
  <si>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</si>
  <si>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</si>
  <si>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</si>
  <si>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</si>
  <si>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</si>
  <si>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</si>
  <si>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</si>
  <si>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</si>
  <si>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</si>
  <si>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</si>
  <si>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</si>
  <si>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</si>
  <si>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</si>
  <si>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</si>
  <si>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</si>
  <si>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</si>
  <si>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</si>
  <si>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</si>
  <si>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</si>
  <si>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</si>
  <si>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</si>
  <si>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</si>
  <si>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</si>
  <si>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</si>
  <si>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</si>
  <si>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</si>
  <si>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</si>
  <si>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</si>
  <si>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</si>
  <si>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</si>
  <si>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</si>
  <si>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</si>
  <si>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</si>
  <si>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</si>
  <si>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</si>
  <si>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</si>
  <si>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</si>
  <si>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</si>
  <si>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</si>
  <si>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</si>
  <si>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</si>
  <si>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</si>
  <si>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</si>
  <si>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</si>
  <si>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</si>
  <si>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</si>
  <si>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</si>
  <si>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</si>
  <si>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</si>
  <si>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</si>
  <si>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</si>
  <si>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</si>
  <si>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</si>
  <si>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</si>
  <si>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</si>
  <si>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</si>
  <si>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</si>
  <si>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</si>
  <si>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</si>
  <si>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</si>
  <si>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</si>
  <si>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</si>
  <si>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</si>
  <si>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</si>
  <si>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</si>
  <si>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</si>
  <si>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</si>
  <si>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</si>
  <si>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</si>
  <si>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</si>
  <si>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</si>
  <si>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</si>
  <si>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</si>
  <si>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</si>
  <si>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</si>
  <si>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</si>
  <si>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</si>
  <si>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</si>
  <si>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</si>
  <si>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</si>
  <si>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</si>
  <si>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</si>
  <si>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</si>
  <si>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</si>
  <si>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</si>
  <si>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</si>
  <si>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</si>
  <si>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</si>
  <si>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</si>
  <si>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</si>
  <si>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</si>
  <si>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</si>
  <si>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</si>
  <si>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</si>
  <si>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</si>
  <si>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</si>
  <si>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</si>
  <si>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</si>
  <si>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</si>
  <si>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</si>
  <si>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</si>
  <si>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</si>
  <si>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</si>
  <si>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</si>
  <si>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</si>
  <si>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</si>
  <si>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</si>
  <si>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</si>
  <si>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</si>
  <si>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</si>
  <si>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</si>
  <si>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</si>
  <si>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</si>
  <si>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</si>
  <si>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</si>
  <si>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</si>
  <si>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</si>
  <si>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</si>
  <si>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</si>
  <si>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</si>
  <si>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</si>
  <si>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</si>
  <si>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</si>
  <si>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</si>
  <si>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</si>
  <si>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</si>
  <si>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</si>
  <si>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</si>
  <si>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</si>
  <si>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</si>
  <si>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</si>
  <si>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</si>
  <si>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</si>
  <si>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</si>
  <si>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</si>
  <si>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</si>
  <si>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</si>
  <si>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</si>
  <si>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</si>
  <si>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</si>
  <si>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</si>
  <si>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</si>
  <si>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</si>
  <si>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</si>
  <si>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</si>
  <si>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</si>
  <si>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</si>
  <si>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</si>
  <si>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</si>
  <si>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</si>
  <si>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</si>
  <si>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</si>
  <si>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</si>
  <si>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</si>
  <si>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</si>
  <si>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</si>
  <si>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</si>
  <si>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</si>
  <si>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</si>
  <si>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</si>
  <si>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</si>
  <si>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</si>
  <si>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</si>
  <si>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</si>
  <si>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</si>
  <si>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</si>
  <si>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</si>
  <si>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</si>
  <si>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</si>
  <si>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</si>
  <si>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</si>
  <si>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</si>
  <si>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</si>
  <si>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</si>
  <si>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</si>
  <si>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</si>
  <si>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</si>
  <si>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</si>
  <si>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</si>
  <si>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</si>
  <si>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</si>
  <si>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</si>
  <si>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</si>
  <si>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</si>
  <si>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</si>
  <si>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</si>
  <si>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</si>
  <si>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</si>
  <si>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</si>
  <si>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</si>
  <si>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</si>
  <si>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</si>
  <si>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</si>
  <si>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</si>
  <si>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</si>
  <si>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</si>
  <si>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</si>
  <si>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</si>
  <si>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</si>
  <si>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</si>
  <si>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</si>
  <si>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</si>
  <si>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</si>
  <si>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</si>
  <si>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</si>
  <si>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</si>
  <si>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</si>
  <si>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</si>
  <si>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</si>
  <si>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</si>
  <si>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</si>
  <si>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</si>
  <si>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</si>
  <si>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</si>
  <si>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</si>
  <si>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</si>
  <si>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</si>
  <si>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</si>
  <si>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</si>
  <si>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</si>
  <si>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</si>
  <si>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</si>
  <si>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</si>
  <si>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</si>
  <si>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</si>
  <si>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</si>
  <si>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</si>
  <si>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</si>
  <si>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</si>
  <si>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</si>
  <si>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</si>
  <si>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</si>
  <si>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</si>
  <si>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</si>
  <si>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</si>
  <si>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</si>
  <si>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</si>
  <si>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</si>
  <si>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</si>
  <si>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</si>
  <si>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</si>
  <si>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</si>
  <si>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</si>
  <si>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</si>
  <si>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</si>
  <si>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</si>
  <si>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</si>
  <si>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</si>
  <si>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</si>
  <si>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</si>
  <si>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</si>
  <si>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</si>
  <si>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</si>
  <si>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</si>
  <si>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</si>
  <si>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</si>
  <si>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</si>
  <si>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</si>
  <si>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</si>
  <si>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</si>
  <si>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</si>
  <si>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</si>
  <si>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</si>
  <si>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</si>
  <si>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</si>
  <si>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</si>
  <si>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</si>
  <si>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</si>
  <si>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</si>
  <si>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</si>
  <si>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</si>
  <si>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</si>
  <si>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</si>
  <si>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</si>
  <si>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</si>
  <si>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</si>
  <si>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</si>
  <si>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</si>
  <si>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</si>
  <si>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</si>
  <si>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</si>
  <si>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</si>
  <si>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</si>
  <si>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</si>
  <si>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</si>
  <si>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</si>
  <si>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</si>
  <si>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</si>
  <si>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</si>
  <si>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</si>
  <si>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</si>
  <si>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</si>
  <si>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</si>
  <si>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</si>
  <si>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</si>
  <si>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</si>
  <si>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</si>
  <si>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</si>
  <si>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</si>
  <si>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</si>
  <si>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</si>
  <si>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</si>
  <si>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</si>
  <si>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</si>
  <si>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</si>
  <si>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</si>
  <si>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</si>
  <si>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</si>
  <si>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</si>
  <si>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</si>
  <si>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</si>
  <si>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</si>
  <si>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</si>
  <si>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</si>
  <si>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</si>
  <si>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</si>
  <si>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</si>
  <si>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</si>
  <si>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</si>
  <si>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</si>
  <si>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</si>
  <si>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</si>
  <si>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</si>
  <si>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</si>
  <si>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</si>
  <si>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</si>
  <si>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</si>
  <si>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</si>
  <si>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</si>
  <si>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</si>
  <si>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</si>
  <si>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</si>
  <si>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</si>
  <si>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</si>
  <si>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</si>
  <si>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</si>
  <si>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</si>
  <si>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</si>
  <si>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</si>
  <si>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</si>
  <si>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</si>
  <si>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</si>
  <si>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</si>
  <si>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</si>
  <si>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</si>
  <si>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</si>
  <si>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</si>
  <si>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</si>
  <si>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</si>
  <si>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</si>
  <si>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</si>
  <si>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</si>
  <si>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</si>
  <si>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</si>
  <si>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</si>
  <si>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</si>
  <si>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</si>
  <si>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</si>
  <si>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</si>
  <si>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</si>
  <si>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</si>
  <si>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</si>
  <si>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</si>
  <si>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</si>
  <si>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</si>
  <si>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</si>
  <si>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</si>
  <si>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</si>
  <si>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</si>
  <si>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</si>
  <si>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</si>
  <si>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</si>
  <si>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</si>
  <si>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</si>
  <si>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</si>
  <si>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</si>
  <si>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</si>
  <si>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</si>
  <si>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</si>
  <si>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</si>
  <si>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</si>
  <si>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</si>
  <si>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</si>
  <si>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</si>
  <si>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</si>
  <si>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</si>
  <si>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</si>
  <si>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</si>
  <si>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</si>
  <si>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</si>
  <si>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</si>
  <si>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</si>
  <si>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</si>
  <si>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</si>
  <si>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</si>
  <si>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</si>
  <si>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</si>
  <si>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</si>
  <si>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</si>
  <si>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</si>
  <si>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</si>
  <si>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</si>
  <si>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</si>
  <si>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</si>
  <si>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</si>
  <si>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</si>
  <si>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</si>
  <si>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</si>
  <si>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</si>
  <si>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</si>
  <si>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</si>
  <si>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</si>
  <si>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</si>
  <si>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</si>
  <si>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</si>
  <si>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</si>
  <si>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</si>
  <si>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</si>
  <si>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</si>
  <si>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</si>
  <si>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</si>
  <si>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</si>
  <si>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</si>
  <si>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</si>
  <si>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</si>
  <si>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</si>
  <si>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</si>
  <si>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</si>
  <si>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</si>
  <si>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</si>
  <si>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</si>
  <si>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</si>
  <si>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</si>
  <si>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</si>
  <si>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</si>
  <si>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</si>
  <si>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</si>
  <si>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</si>
  <si>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</si>
  <si>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</si>
  <si>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</si>
  <si>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</si>
  <si>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</si>
  <si>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</si>
  <si>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</si>
  <si>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</si>
  <si>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</si>
  <si>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</si>
  <si>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</si>
  <si>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</si>
  <si>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</si>
  <si>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</si>
  <si>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</si>
  <si>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</si>
  <si>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</si>
  <si>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</si>
  <si>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</si>
  <si>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</si>
  <si>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</si>
  <si>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</si>
  <si>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</si>
  <si>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</si>
  <si>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</si>
  <si>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</si>
  <si>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</si>
  <si>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</si>
  <si>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</si>
  <si>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</si>
  <si>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</si>
  <si>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</si>
  <si>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</si>
  <si>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</si>
  <si>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</si>
  <si>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</si>
  <si>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</si>
  <si>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</si>
  <si>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</si>
  <si>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</si>
  <si>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</si>
  <si>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</si>
  <si>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</si>
  <si>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</si>
  <si>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</si>
  <si>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</si>
  <si>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</si>
  <si>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</si>
  <si>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</si>
  <si>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</si>
  <si>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</si>
  <si>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</si>
  <si>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</si>
  <si>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</si>
  <si>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</si>
  <si>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</si>
  <si>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</si>
  <si>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</si>
  <si>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</si>
  <si>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</si>
  <si>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</si>
  <si>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</si>
  <si>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</si>
  <si>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</si>
  <si>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</si>
  <si>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</si>
  <si>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</si>
  <si>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</si>
  <si>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</si>
  <si>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</si>
  <si>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</si>
  <si>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</si>
  <si>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</si>
  <si>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</si>
  <si>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</si>
  <si>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</si>
  <si>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</si>
  <si>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</si>
  <si>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</si>
  <si>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</si>
  <si>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</si>
  <si>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</si>
  <si>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</si>
  <si>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</si>
  <si>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</si>
  <si>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</si>
  <si>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</si>
  <si>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</si>
  <si>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</si>
  <si>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</si>
  <si>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</si>
  <si>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</si>
  <si>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</si>
  <si>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</si>
  <si>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</si>
  <si>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</si>
  <si>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</si>
  <si>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</si>
  <si>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</si>
  <si>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</si>
  <si>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</si>
  <si>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</si>
  <si>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</si>
  <si>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</si>
  <si>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</si>
  <si>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</si>
  <si>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</si>
  <si>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</si>
  <si>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</si>
  <si>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</si>
  <si>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</si>
  <si>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</si>
  <si>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</si>
  <si>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</si>
  <si>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核定资产</t>
  </si>
  <si>
    <t>房地产市场价值</t>
  </si>
  <si>
    <t>北京市</t>
  </si>
  <si>
    <t>自然人</t>
  </si>
  <si>
    <t>地上</t>
  </si>
  <si>
    <t>住宅</t>
  </si>
  <si>
    <t>住宅</t>
    <phoneticPr fontId="7" type="noConversion"/>
  </si>
  <si>
    <t>是</t>
  </si>
  <si>
    <t>成新度</t>
  </si>
  <si>
    <t>单套模式</t>
  </si>
  <si>
    <t>售价</t>
  </si>
  <si>
    <t>正常</t>
  </si>
  <si>
    <t>成本法 (元)</t>
  </si>
  <si>
    <t>比较法-住宅</t>
  </si>
  <si>
    <t>住宅</t>
    <phoneticPr fontId="24" type="noConversion"/>
  </si>
  <si>
    <t>精装</t>
    <phoneticPr fontId="24" type="noConversion"/>
  </si>
  <si>
    <t>普装</t>
    <phoneticPr fontId="24" type="noConversion"/>
  </si>
  <si>
    <t>简装</t>
  </si>
  <si>
    <t>简装</t>
    <phoneticPr fontId="24" type="noConversion"/>
  </si>
  <si>
    <t>毛坯</t>
  </si>
  <si>
    <t>毛坯</t>
    <phoneticPr fontId="24" type="noConversion"/>
  </si>
  <si>
    <t>平层</t>
    <phoneticPr fontId="24" type="noConversion"/>
  </si>
  <si>
    <t>多层板楼</t>
    <phoneticPr fontId="24" type="noConversion"/>
  </si>
  <si>
    <t>砖混</t>
    <phoneticPr fontId="24" type="noConversion"/>
  </si>
  <si>
    <t>建成年代</t>
    <phoneticPr fontId="24" type="noConversion"/>
  </si>
  <si>
    <t>南北</t>
  </si>
  <si>
    <t>南北</t>
    <phoneticPr fontId="24" type="noConversion"/>
  </si>
  <si>
    <t>已包含在土地取得成本中</t>
  </si>
  <si>
    <t>4号楼</t>
  </si>
  <si>
    <t xml:space="preserve"> </t>
  </si>
  <si>
    <t>三室二厅二卫一厨</t>
  </si>
  <si>
    <t>东</t>
    <phoneticPr fontId="24" type="noConversion"/>
  </si>
  <si>
    <t>电梯</t>
  </si>
  <si>
    <t>停车</t>
  </si>
  <si>
    <t>楼层</t>
    <phoneticPr fontId="24" type="noConversion"/>
  </si>
  <si>
    <t>高层塔楼</t>
  </si>
  <si>
    <t>高层塔楼</t>
    <phoneticPr fontId="24" type="noConversion"/>
  </si>
  <si>
    <t>原合同</t>
    <phoneticPr fontId="8" type="noConversion"/>
  </si>
  <si>
    <t>二手房</t>
    <phoneticPr fontId="24" type="noConversion"/>
  </si>
  <si>
    <t>一手房</t>
    <phoneticPr fontId="24" type="noConversion"/>
  </si>
  <si>
    <t>区县</t>
  </si>
  <si>
    <t>估价对象房屋坐落</t>
  </si>
  <si>
    <t>楼盘名称(物业名称)</t>
  </si>
  <si>
    <t>房屋所有权证幢号</t>
  </si>
  <si>
    <t>单元号</t>
  </si>
  <si>
    <t>房号</t>
  </si>
  <si>
    <t>建筑面积</t>
  </si>
  <si>
    <t>房屋总层数</t>
  </si>
  <si>
    <t>所在楼层</t>
  </si>
  <si>
    <t>户型</t>
  </si>
  <si>
    <t>成交单价</t>
  </si>
  <si>
    <t>成交总价</t>
  </si>
  <si>
    <t>评估单价</t>
  </si>
  <si>
    <t>评估总价</t>
  </si>
  <si>
    <t>估价日期</t>
  </si>
  <si>
    <t>交易日期</t>
  </si>
  <si>
    <t xml:space="preserve">
所在环线位置</t>
  </si>
  <si>
    <t>所处典型区域</t>
  </si>
  <si>
    <t>交通组织方式</t>
  </si>
  <si>
    <t>查勘人</t>
  </si>
  <si>
    <t>经度</t>
  </si>
  <si>
    <t>纬度</t>
  </si>
  <si>
    <t>丰台区</t>
  </si>
  <si>
    <t>望园东里</t>
  </si>
  <si>
    <t>13号楼</t>
  </si>
  <si>
    <t>3-502号</t>
  </si>
  <si>
    <t>二室一厅一卫一厨</t>
  </si>
  <si>
    <t>2008-3-31</t>
  </si>
  <si>
    <t>望园西里</t>
  </si>
  <si>
    <t>23号楼</t>
  </si>
  <si>
    <t>6门402号</t>
  </si>
  <si>
    <t>2008-6-3</t>
  </si>
  <si>
    <t>6号楼</t>
  </si>
  <si>
    <t>1702号</t>
  </si>
  <si>
    <t>2008-6-12</t>
  </si>
  <si>
    <t>6门302号</t>
  </si>
  <si>
    <t>2008-6-13</t>
  </si>
  <si>
    <t>14号楼</t>
  </si>
  <si>
    <t>3门</t>
  </si>
  <si>
    <t>202号</t>
  </si>
  <si>
    <t>2008-7-1</t>
  </si>
  <si>
    <t>东大街西里</t>
  </si>
  <si>
    <t>1-9号</t>
  </si>
  <si>
    <t>2008-8-6</t>
  </si>
  <si>
    <t>25号楼</t>
  </si>
  <si>
    <t>2002号</t>
  </si>
  <si>
    <t>三室一厅二卫一厨</t>
  </si>
  <si>
    <t>2008-9-3</t>
  </si>
  <si>
    <t>2号楼</t>
  </si>
  <si>
    <t>19层</t>
  </si>
  <si>
    <t>1910号</t>
  </si>
  <si>
    <t>三室一厅一卫一厨</t>
  </si>
  <si>
    <t>2008-9-10</t>
  </si>
  <si>
    <t>丰管路3号院</t>
  </si>
  <si>
    <t>7号楼</t>
  </si>
  <si>
    <t>106号</t>
  </si>
  <si>
    <t>二室二厅一卫一厨</t>
  </si>
  <si>
    <t>2008-11-24</t>
  </si>
  <si>
    <t>丰桥路六号院</t>
  </si>
  <si>
    <t>205室</t>
  </si>
  <si>
    <t>一室一厅一卫一厨</t>
  </si>
  <si>
    <t>2008-1-8</t>
  </si>
  <si>
    <t>丰华苑</t>
  </si>
  <si>
    <t>10号楼</t>
  </si>
  <si>
    <t>1705号</t>
  </si>
  <si>
    <t>2008-1-29</t>
  </si>
  <si>
    <t>2005号</t>
  </si>
  <si>
    <t>2008-3-21</t>
  </si>
  <si>
    <t>3幢</t>
  </si>
  <si>
    <t>207号</t>
  </si>
  <si>
    <t>2008-4-1</t>
  </si>
  <si>
    <t>2508号</t>
  </si>
  <si>
    <t>2008-4-11</t>
  </si>
  <si>
    <t>丰华苑西街7号院</t>
  </si>
  <si>
    <t>1号楼</t>
  </si>
  <si>
    <t>2-601号</t>
  </si>
  <si>
    <t>2008-5-9</t>
  </si>
  <si>
    <t>1209号</t>
  </si>
  <si>
    <t>2008-5-12</t>
  </si>
  <si>
    <t>大井南里</t>
  </si>
  <si>
    <t>44号</t>
  </si>
  <si>
    <t>2008-5-26</t>
  </si>
  <si>
    <t>七里庄路4号院</t>
  </si>
  <si>
    <t>3号楼</t>
  </si>
  <si>
    <t>2202号</t>
  </si>
  <si>
    <t>2008-8-1</t>
  </si>
  <si>
    <t>东大街东里</t>
  </si>
  <si>
    <t>1门401号</t>
  </si>
  <si>
    <t>丰台北路</t>
  </si>
  <si>
    <t>46号楼</t>
  </si>
  <si>
    <t>14层4单元</t>
  </si>
  <si>
    <t>1402号</t>
  </si>
  <si>
    <t>2008-9-12</t>
  </si>
  <si>
    <t>507号</t>
  </si>
  <si>
    <t>2008-9-27</t>
  </si>
  <si>
    <t>13层1301号</t>
  </si>
  <si>
    <t>2008-9-25</t>
  </si>
  <si>
    <t>26号楼</t>
  </si>
  <si>
    <t>6-302号</t>
  </si>
  <si>
    <t>2008-11-27</t>
  </si>
  <si>
    <t>11号楼</t>
  </si>
  <si>
    <t>4门601号</t>
  </si>
  <si>
    <t>2008-11-21</t>
  </si>
  <si>
    <t>2109号</t>
  </si>
  <si>
    <t>2008-11-19</t>
  </si>
  <si>
    <t>1306号</t>
  </si>
  <si>
    <t>2008-11-13</t>
  </si>
  <si>
    <t>8号楼</t>
  </si>
  <si>
    <t>16层</t>
  </si>
  <si>
    <t>1602号</t>
  </si>
  <si>
    <t>16</t>
  </si>
  <si>
    <t>2008-12-26</t>
  </si>
  <si>
    <t>丰管路5号院</t>
  </si>
  <si>
    <t>12层</t>
  </si>
  <si>
    <t>1211号</t>
  </si>
  <si>
    <t>2008-12-15</t>
  </si>
  <si>
    <t>17号楼</t>
  </si>
  <si>
    <t>109.07</t>
  </si>
  <si>
    <t>22</t>
  </si>
  <si>
    <t>2008-12-23</t>
  </si>
  <si>
    <t>4号</t>
  </si>
  <si>
    <t>5门</t>
  </si>
  <si>
    <t>401号</t>
  </si>
  <si>
    <t>2008-12-31</t>
  </si>
  <si>
    <t>丰体时代</t>
    <phoneticPr fontId="3" type="noConversion"/>
  </si>
  <si>
    <t>东</t>
  </si>
  <si>
    <t>西南</t>
  </si>
  <si>
    <t>西南</t>
    <phoneticPr fontId="134" type="noConversion"/>
  </si>
  <si>
    <t>东北</t>
    <phoneticPr fontId="134" type="noConversion"/>
  </si>
  <si>
    <t>南北</t>
    <phoneticPr fontId="134" type="noConversion"/>
  </si>
  <si>
    <t>西南</t>
    <phoneticPr fontId="24" type="noConversion"/>
  </si>
  <si>
    <t>8/28</t>
    <phoneticPr fontId="24" type="noConversion"/>
  </si>
  <si>
    <r>
      <t>2</t>
    </r>
    <r>
      <rPr>
        <sz val="11"/>
        <color theme="1"/>
        <rFont val="宋体"/>
        <family val="3"/>
        <charset val="134"/>
        <scheme val="minor"/>
      </rPr>
      <t>/24</t>
    </r>
    <phoneticPr fontId="134" type="noConversion"/>
  </si>
  <si>
    <r>
      <t>2</t>
    </r>
    <r>
      <rPr>
        <sz val="11"/>
        <color theme="1"/>
        <rFont val="宋体"/>
        <family val="3"/>
        <charset val="134"/>
        <scheme val="minor"/>
      </rPr>
      <t>0/24</t>
    </r>
    <phoneticPr fontId="134" type="noConversion"/>
  </si>
  <si>
    <r>
      <t>2</t>
    </r>
    <r>
      <rPr>
        <sz val="11"/>
        <color theme="1"/>
        <rFont val="宋体"/>
        <family val="3"/>
        <charset val="134"/>
        <scheme val="minor"/>
      </rPr>
      <t>1/24</t>
    </r>
    <phoneticPr fontId="134" type="noConversion"/>
  </si>
  <si>
    <t>一般</t>
  </si>
  <si>
    <t>较好</t>
  </si>
  <si>
    <t>望园西里</t>
    <phoneticPr fontId="134" type="noConversion"/>
  </si>
  <si>
    <t>东西</t>
    <phoneticPr fontId="24" type="noConversion"/>
  </si>
  <si>
    <t>西北</t>
  </si>
  <si>
    <t>西北</t>
    <phoneticPr fontId="134" type="noConversion"/>
  </si>
  <si>
    <r>
      <t>1</t>
    </r>
    <r>
      <rPr>
        <sz val="11"/>
        <color theme="1"/>
        <rFont val="宋体"/>
        <family val="3"/>
        <charset val="134"/>
        <scheme val="minor"/>
      </rPr>
      <t>9/24</t>
    </r>
    <phoneticPr fontId="134" type="noConversion"/>
  </si>
  <si>
    <t>西北</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</si>
</sst>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yyyy\-m\-d"/>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174" fillId="0" borderId="0"/>
  </cellStyleXfs>
  <cellXfs count="35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49" fontId="51" fillId="9" borderId="23" xfId="0" applyNumberFormat="1" applyFont="1" applyFill="1" applyBorder="1" applyAlignment="1" applyProtection="1">
      <alignment horizontal="center" vertical="center" wrapText="1"/>
      <protection locked="0"/>
    </xf>
    <xf numFmtId="0" fontId="77" fillId="7" borderId="60" xfId="0" applyFont="1" applyFill="1" applyBorder="1" applyAlignment="1" applyProtection="1">
      <alignment vertical="center" wrapText="1"/>
      <protection locked="0"/>
    </xf>
    <xf numFmtId="0" fontId="128" fillId="0" borderId="83" xfId="0" applyFont="1" applyBorder="1" applyAlignment="1" applyProtection="1">
      <alignment horizontal="center" vertical="center"/>
      <protection locked="0"/>
    </xf>
    <xf numFmtId="49" fontId="44" fillId="0" borderId="44" xfId="0" applyNumberFormat="1" applyFont="1" applyBorder="1" applyAlignment="1" applyProtection="1">
      <alignment horizontal="center" vertical="center" wrapText="1"/>
      <protection locked="0"/>
    </xf>
    <xf numFmtId="0" fontId="77" fillId="7" borderId="0" xfId="0" applyFont="1" applyFill="1" applyProtection="1">
      <alignment vertical="center"/>
      <protection locked="0"/>
    </xf>
    <xf numFmtId="0" fontId="128" fillId="0" borderId="41" xfId="0" applyFont="1" applyBorder="1" applyAlignment="1" applyProtection="1">
      <alignment horizontal="center" vertical="center" wrapText="1"/>
      <protection locked="0"/>
    </xf>
    <xf numFmtId="0" fontId="269" fillId="0" borderId="0" xfId="0" applyFont="1">
      <alignment vertical="center"/>
    </xf>
    <xf numFmtId="196" fontId="19" fillId="0" borderId="1" xfId="0" applyNumberFormat="1" applyFont="1" applyBorder="1" applyAlignment="1">
      <alignment horizontal="center"/>
    </xf>
    <xf numFmtId="196" fontId="19" fillId="5" borderId="1" xfId="0" applyNumberFormat="1" applyFont="1" applyFill="1" applyBorder="1" applyAlignment="1" applyProtection="1">
      <alignment horizontal="center"/>
      <protection locked="0"/>
    </xf>
    <xf numFmtId="196" fontId="19" fillId="0" borderId="1" xfId="0" applyNumberFormat="1" applyFont="1" applyBorder="1" applyAlignment="1" applyProtection="1">
      <alignment horizontal="center"/>
      <protection locked="0"/>
    </xf>
    <xf numFmtId="196" fontId="19" fillId="0" borderId="1" xfId="19" applyNumberFormat="1" applyFont="1" applyBorder="1" applyAlignment="1">
      <alignment horizontal="center"/>
    </xf>
    <xf numFmtId="196" fontId="19" fillId="5" borderId="1" xfId="0" applyNumberFormat="1" applyFont="1" applyFill="1" applyBorder="1" applyAlignment="1">
      <alignment horizontal="center"/>
    </xf>
    <xf numFmtId="0" fontId="0" fillId="5" borderId="0" xfId="0" applyFill="1">
      <alignment vertical="center"/>
    </xf>
    <xf numFmtId="0" fontId="269" fillId="5" borderId="0" xfId="0" applyFont="1" applyFill="1">
      <alignment vertical="center"/>
    </xf>
    <xf numFmtId="0" fontId="0" fillId="0" borderId="0" xfId="0" applyAlignment="1">
      <alignment horizontal="center" vertical="center"/>
    </xf>
    <xf numFmtId="0" fontId="0" fillId="5" borderId="0" xfId="0" applyFill="1" applyAlignment="1">
      <alignment horizontal="center" vertical="center"/>
    </xf>
    <xf numFmtId="49" fontId="0" fillId="0" borderId="0" xfId="0" applyNumberFormat="1">
      <alignment vertical="center"/>
    </xf>
    <xf numFmtId="49" fontId="95" fillId="0" borderId="0" xfId="0" applyNumberFormat="1"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_Sheet1" xfId="19" xr:uid="{C2873E77-AA9A-4BDF-B824-C8B2BE2CD3DE}"/>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F:\&#20891;&#38431;&#20004;&#22871;&#25151;\2024-1-0920&#20016;&#20307;&#26102;&#20195;&#33457;&#22253;\&#27979;&#31639;&#8212;&#8212;02&#22522;&#20934;&#22320;&#20215;-&#20016;&#20307;&#26102;&#20195;.xlsx" TargetMode="External"/><Relationship Id="rId1" Type="http://schemas.openxmlformats.org/officeDocument/2006/relationships/externalLinkPath" Target="&#27979;&#31639;&#8212;&#8212;02&#22522;&#20934;&#22320;&#20215;-&#20016;&#20307;&#26102;&#201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2"/>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E18">
            <v>204588</v>
          </cell>
        </row>
      </sheetData>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估价对象为北京市房地产，为所有。根据《国有土地使用证》[]，估价对象（分摊）出让国有建设用地使用权面积为0平方米，建筑面积为91.09平方米。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估价对象为北京市房地产,属开发建设的，该项目尚在开发建设中。根据《国有土地使用证》[]，估价对象（分摊）出让国有建设用地使用权面积为0平方米，规划建筑面积为91.09平方米。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2008年12月19日</v>
      </c>
    </row>
    <row r="13" spans="1:2">
      <c r="A13" s="1119" t="s">
        <v>529</v>
      </c>
      <c r="B13" s="1120" t="str">
        <f>'预评函-1'!A18</f>
        <v>本次估价的“房地产价值”是指在正常市场情况下，在价值时点2008年12月19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91.09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3353</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3339</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3340</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3341</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3342</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3343</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3344</v>
      </c>
    </row>
    <row r="8" spans="1:23">
      <c r="A8" s="1441" t="s">
        <v>1026</v>
      </c>
      <c r="B8" s="1441" t="s">
        <v>1027</v>
      </c>
      <c r="C8" s="1442" t="s">
        <v>319</v>
      </c>
      <c r="F8" s="1443" t="s">
        <v>1028</v>
      </c>
      <c r="H8" s="1443" t="s">
        <v>2579</v>
      </c>
      <c r="I8" s="1443" t="s">
        <v>3345</v>
      </c>
    </row>
    <row r="9" spans="1:23">
      <c r="A9" s="1441" t="s">
        <v>1029</v>
      </c>
      <c r="B9" s="1441" t="s">
        <v>1030</v>
      </c>
      <c r="C9" s="1442" t="s">
        <v>320</v>
      </c>
      <c r="F9" s="1443" t="s">
        <v>1031</v>
      </c>
      <c r="H9" s="1443"/>
      <c r="I9" s="1445" t="s">
        <v>3346</v>
      </c>
    </row>
    <row r="10" spans="1:23">
      <c r="A10" s="1441" t="s">
        <v>1032</v>
      </c>
      <c r="B10" s="1441" t="s">
        <v>1033</v>
      </c>
      <c r="C10" s="1442" t="s">
        <v>321</v>
      </c>
      <c r="F10" s="1443" t="s">
        <v>2580</v>
      </c>
      <c r="I10" s="1445" t="s">
        <v>3347</v>
      </c>
    </row>
    <row r="11" spans="1:23">
      <c r="A11" s="1441" t="s">
        <v>1034</v>
      </c>
      <c r="B11" s="1441" t="s">
        <v>1035</v>
      </c>
      <c r="C11" s="1442" t="s">
        <v>322</v>
      </c>
      <c r="F11" s="1443" t="s">
        <v>13</v>
      </c>
      <c r="I11" s="1445" t="s">
        <v>3348</v>
      </c>
    </row>
    <row r="12" spans="1:23">
      <c r="A12" s="1441" t="s">
        <v>1036</v>
      </c>
      <c r="B12" s="1441" t="s">
        <v>1037</v>
      </c>
      <c r="C12" s="1442" t="s">
        <v>323</v>
      </c>
      <c r="I12" s="1445" t="s">
        <v>3349</v>
      </c>
    </row>
    <row r="13" spans="1:23">
      <c r="A13" s="1441" t="s">
        <v>1038</v>
      </c>
      <c r="B13" s="1441" t="s">
        <v>1039</v>
      </c>
      <c r="C13" s="1442" t="s">
        <v>324</v>
      </c>
      <c r="I13" s="1445" t="s">
        <v>3350</v>
      </c>
    </row>
    <row r="14" spans="1:23">
      <c r="A14" s="1441" t="s">
        <v>1040</v>
      </c>
      <c r="B14" s="1441" t="s">
        <v>1041</v>
      </c>
      <c r="C14" s="1443" t="s">
        <v>13</v>
      </c>
      <c r="I14" s="1445" t="s">
        <v>3351</v>
      </c>
    </row>
    <row r="15" spans="1:23">
      <c r="A15" s="1441" t="s">
        <v>1042</v>
      </c>
      <c r="B15" s="1441" t="s">
        <v>1043</v>
      </c>
      <c r="C15" s="1442"/>
      <c r="I15" s="1445" t="s">
        <v>3352</v>
      </c>
    </row>
    <row r="16" spans="1:23">
      <c r="A16" s="1441" t="s">
        <v>1044</v>
      </c>
      <c r="B16" s="1441" t="s">
        <v>312</v>
      </c>
      <c r="C16" s="1442"/>
    </row>
    <row r="17" spans="1:3">
      <c r="A17" s="1441" t="s">
        <v>1045</v>
      </c>
      <c r="B17" s="1441" t="s">
        <v>2293</v>
      </c>
      <c r="C17" s="1442"/>
    </row>
    <row r="18" spans="1:3">
      <c r="A18" s="1441" t="s">
        <v>1046</v>
      </c>
      <c r="B18" s="1441" t="s">
        <v>2435</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7"/>
      <c r="B54" s="1447" t="s">
        <v>385</v>
      </c>
      <c r="C54" s="1445" t="s">
        <v>583</v>
      </c>
    </row>
    <row r="55" spans="1:4">
      <c r="A55" s="3207"/>
      <c r="B55" s="1447" t="s">
        <v>386</v>
      </c>
      <c r="C55" s="1445" t="s">
        <v>584</v>
      </c>
    </row>
    <row r="56" spans="1:4">
      <c r="A56" s="3207"/>
      <c r="B56" s="1447" t="s">
        <v>387</v>
      </c>
      <c r="C56" s="1445" t="s">
        <v>588</v>
      </c>
    </row>
    <row r="57" spans="1:4">
      <c r="A57" s="320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208" t="s">
        <v>2582</v>
      </c>
      <c r="J2" s="3208"/>
      <c r="K2" s="3208"/>
      <c r="L2" s="3208"/>
      <c r="M2" s="3208"/>
      <c r="N2" s="3208"/>
      <c r="O2" s="3208"/>
      <c r="P2" s="3208"/>
      <c r="Q2" s="3208"/>
      <c r="R2" s="3208"/>
    </row>
    <row r="3" spans="1:18">
      <c r="A3" s="2762" t="s">
        <v>2503</v>
      </c>
      <c r="B3" s="2763">
        <f>项目基本情况!D3</f>
        <v>39801</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18.010000000000002</v>
      </c>
      <c r="D5" s="2767">
        <f>IF(ISERROR(ROUND(POWER(1+E5,A5-C5)*(POWER(1+E5,C5)-1)/(POWER(1+E5,A5)-1),3)),0,ROUND(POWER(1+E5,A5-C5)*(POWER(1+E5,C5)-1)/(POWER(1+E5,A5)-1),4))</f>
        <v>0.63980000000000004</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28.01</v>
      </c>
      <c r="D6" s="2767">
        <f>IF(ISERROR(ROUND(POWER(1+E6,A6-C6)*(POWER(1+E6,C6)-1)/(POWER(1+E6,A6)-1),3)),0,ROUND(POWER(1+E6,A6-C6)*(POWER(1+E6,C6)-1)/(POWER(1+E6,A6)-1),4))</f>
        <v>0.77580000000000005</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48.03</v>
      </c>
      <c r="D7" s="2767">
        <f>IF(ISERROR(ROUND(POWER(1+E7,A7-C7)*(POWER(1+E7,C7)-1)/(POWER(1+E7,A7)-1),3)),0,ROUND(POWER(1+E7,A7-C7)*(POWER(1+E7,C7)-1)/(POWER(1+E7,A7)-1),4))</f>
        <v>0.90620000000000001</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6" t="str">
        <f>IF(B10="北京市","北京市",C10)&amp;F10&amp;IF(结果表!G1="在建","出让国有建设用地使用权及在建建筑物",IF(结果表!G1="土地","出让国有建设用地使用权",))&amp;B9&amp;"预评估"</f>
        <v>北京市房地产市场价值预评估</v>
      </c>
      <c r="C1" s="3217"/>
      <c r="D1" s="3217"/>
      <c r="E1" s="3217"/>
      <c r="F1" s="3217"/>
      <c r="G1" s="3217"/>
      <c r="H1" s="3217"/>
      <c r="I1" s="3218"/>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7"/>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39801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3385</v>
      </c>
      <c r="C8" s="2201"/>
      <c r="D8" s="3219" t="s">
        <v>2177</v>
      </c>
      <c r="E8" s="2202"/>
      <c r="F8" s="2203"/>
      <c r="G8" s="2441"/>
      <c r="H8" s="2441"/>
      <c r="I8" s="2441"/>
      <c r="J8" s="2244"/>
      <c r="K8" s="2399"/>
      <c r="L8" s="2398"/>
      <c r="M8" s="2398"/>
      <c r="N8" s="2244"/>
      <c r="O8" s="1670"/>
      <c r="P8" s="2244"/>
      <c r="Q8" s="2244"/>
      <c r="R8" s="2244"/>
    </row>
    <row r="9" spans="1:30" ht="13.5" thickBot="1">
      <c r="A9" s="2204" t="s">
        <v>2178</v>
      </c>
      <c r="B9" s="2205" t="s">
        <v>3386</v>
      </c>
      <c r="C9" s="2206"/>
      <c r="D9" s="3220"/>
      <c r="E9" s="2205"/>
      <c r="F9" s="2207"/>
      <c r="G9" s="2442"/>
      <c r="H9" s="2442"/>
      <c r="I9" s="2442"/>
      <c r="J9" s="2244"/>
      <c r="K9" s="2401"/>
      <c r="L9" s="2398"/>
      <c r="M9" s="2398"/>
      <c r="N9" s="2244"/>
      <c r="O9" s="1670"/>
      <c r="P9" s="2244"/>
      <c r="Q9" s="2244"/>
      <c r="R9" s="2244"/>
    </row>
    <row r="10" spans="1:30" ht="13.5" thickTop="1">
      <c r="A10" s="2208" t="s">
        <v>2179</v>
      </c>
      <c r="B10" s="2209" t="s">
        <v>3387</v>
      </c>
      <c r="C10" s="3150"/>
      <c r="D10" s="2193"/>
      <c r="E10" s="2210" t="s">
        <v>2180</v>
      </c>
      <c r="F10" s="2443"/>
      <c r="G10" s="2444"/>
      <c r="H10" s="2445"/>
      <c r="I10" s="2446"/>
      <c r="J10" s="2244"/>
      <c r="K10" s="2401"/>
      <c r="L10" s="2398"/>
      <c r="M10" s="2398"/>
      <c r="N10" s="2244"/>
      <c r="O10" s="1670"/>
      <c r="P10" s="2244"/>
      <c r="Q10" s="2244"/>
      <c r="R10" s="2244"/>
    </row>
    <row r="11" spans="1:30">
      <c r="A11" s="2211" t="s">
        <v>2181</v>
      </c>
      <c r="B11" s="2212" t="s">
        <v>3388</v>
      </c>
      <c r="C11" s="2213"/>
      <c r="D11" s="2214"/>
      <c r="E11" s="2182"/>
      <c r="F11" s="2182"/>
      <c r="G11" s="2182"/>
      <c r="H11" s="2182"/>
      <c r="I11" s="2182"/>
      <c r="J11" s="2801"/>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70"/>
      <c r="O12" s="2244"/>
      <c r="P12" s="2244"/>
      <c r="Q12" s="2244"/>
      <c r="AD12" s="1618"/>
    </row>
    <row r="13" spans="1:30">
      <c r="A13" s="3121" t="s">
        <v>3334</v>
      </c>
      <c r="B13" s="2217" t="s">
        <v>2190</v>
      </c>
      <c r="C13" s="803">
        <v>67165</v>
      </c>
      <c r="D13" s="803"/>
      <c r="E13" s="803"/>
      <c r="F13" s="803"/>
      <c r="G13" s="803"/>
      <c r="H13" s="803"/>
      <c r="I13" s="803"/>
      <c r="J13" s="2802"/>
      <c r="K13" s="2398"/>
      <c r="L13" s="2398"/>
      <c r="M13" s="2244"/>
      <c r="N13" s="1670"/>
      <c r="O13" s="2244"/>
      <c r="P13" s="2244"/>
      <c r="Q13" s="2244"/>
      <c r="AD13" s="1618"/>
    </row>
    <row r="14" spans="1:30">
      <c r="A14" s="1018"/>
      <c r="B14" s="2217" t="s">
        <v>2191</v>
      </c>
      <c r="C14" s="2218">
        <v>70</v>
      </c>
      <c r="D14" s="2218"/>
      <c r="E14" s="2218"/>
      <c r="F14" s="2218"/>
      <c r="G14" s="2218"/>
      <c r="H14" s="2218"/>
      <c r="I14" s="2218"/>
      <c r="J14" s="2803"/>
      <c r="K14" s="2398"/>
      <c r="L14" s="2398"/>
      <c r="M14" s="2244"/>
      <c r="N14" s="1670"/>
      <c r="O14" s="2244"/>
      <c r="P14" s="2244"/>
      <c r="Q14" s="2244"/>
      <c r="AD14" s="1618"/>
    </row>
    <row r="15" spans="1:30">
      <c r="A15" s="312"/>
      <c r="B15" s="2219" t="s">
        <v>2192</v>
      </c>
      <c r="C15" s="2220">
        <f>IF(A13="出让",IF(C13="","",ROUNDDOWN(MIN((C13-$D$3)/365,C14),2)),C14)</f>
        <v>70</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70"/>
      <c r="L15" s="1670"/>
      <c r="M15" s="2244"/>
      <c r="N15" s="1670"/>
      <c r="O15" s="2244"/>
      <c r="P15" s="2244"/>
      <c r="Q15" s="2244"/>
      <c r="AD15" s="1618"/>
    </row>
    <row r="16" spans="1:30">
      <c r="A16" s="2210" t="s">
        <v>2193</v>
      </c>
      <c r="B16" s="3226"/>
      <c r="C16" s="3227"/>
      <c r="D16" s="3228"/>
      <c r="E16" s="2221" t="s">
        <v>2194</v>
      </c>
      <c r="F16" s="3229"/>
      <c r="G16" s="3230"/>
      <c r="H16" s="3230"/>
      <c r="I16" s="3231"/>
      <c r="J16" s="2244"/>
      <c r="K16" s="2402"/>
      <c r="L16" s="1670"/>
      <c r="M16" s="1670"/>
      <c r="N16" s="2244"/>
      <c r="O16" s="1670"/>
      <c r="P16" s="2244"/>
      <c r="Q16" s="2244"/>
      <c r="R16" s="2244"/>
    </row>
    <row r="17" spans="1:28">
      <c r="A17" s="305" t="s">
        <v>2195</v>
      </c>
      <c r="B17" s="294" t="s">
        <v>2196</v>
      </c>
      <c r="C17" s="8">
        <f>'数据-汇总表'!E3</f>
        <v>91.09</v>
      </c>
      <c r="D17" s="1256" t="s">
        <v>2197</v>
      </c>
      <c r="E17" s="3232" t="s">
        <v>2198</v>
      </c>
      <c r="F17" s="3233"/>
      <c r="G17" s="3233"/>
      <c r="H17" s="3233"/>
      <c r="I17" s="3234"/>
      <c r="J17" s="2244"/>
      <c r="K17" s="2403"/>
      <c r="L17" s="1670"/>
      <c r="M17" s="1670"/>
      <c r="N17" s="2244"/>
      <c r="O17" s="1670"/>
      <c r="P17" s="2244"/>
      <c r="Q17" s="2244"/>
      <c r="R17" s="2244"/>
      <c r="S17" s="2244"/>
      <c r="T17" s="2244"/>
      <c r="U17" s="2244"/>
      <c r="V17" s="2244"/>
    </row>
    <row r="18" spans="1:28" ht="24.75" thickBot="1">
      <c r="A18" s="2222" t="s">
        <v>2199</v>
      </c>
      <c r="B18" s="1027" t="s">
        <v>2200</v>
      </c>
      <c r="C18" s="2223">
        <f>'数据-汇总表'!D3</f>
        <v>0</v>
      </c>
      <c r="D18" s="1029" t="s">
        <v>2201</v>
      </c>
      <c r="E18" s="3235" t="s">
        <v>2202</v>
      </c>
      <c r="F18" s="3236"/>
      <c r="G18" s="3236"/>
      <c r="H18" s="3236"/>
      <c r="I18" s="3237"/>
      <c r="J18" s="2244"/>
      <c r="K18" s="2403"/>
      <c r="L18" s="1670"/>
      <c r="M18" s="1670"/>
      <c r="N18" s="2244"/>
      <c r="O18" s="1670"/>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2205</v>
      </c>
      <c r="B20" s="3222" t="s">
        <v>2206</v>
      </c>
      <c r="C20" s="3223"/>
      <c r="D20" s="3224" t="s">
        <v>2207</v>
      </c>
      <c r="E20" s="3225"/>
      <c r="F20" s="2429" t="s">
        <v>1056</v>
      </c>
      <c r="G20" s="2441"/>
      <c r="H20" s="2441"/>
      <c r="I20" s="2441"/>
      <c r="J20" s="2244"/>
      <c r="K20" s="322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2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2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10" t="s">
        <v>2214</v>
      </c>
      <c r="B27" s="312" t="s">
        <v>2215</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0"/>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0"/>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11"/>
      <c r="B30" s="294" t="s">
        <v>2218</v>
      </c>
      <c r="C30" s="3212"/>
      <c r="D30" s="3213"/>
      <c r="E30" s="2441"/>
      <c r="F30" s="2441"/>
      <c r="G30" s="2441"/>
      <c r="H30" s="2441"/>
      <c r="I30" s="2441"/>
      <c r="J30" s="2244"/>
      <c r="K30" s="2401"/>
      <c r="L30" s="2398"/>
      <c r="M30" s="2398"/>
      <c r="N30" s="2244"/>
      <c r="O30" s="1670"/>
      <c r="P30" s="2244"/>
      <c r="Q30" s="2244"/>
      <c r="R30" s="2244"/>
      <c r="S30" s="2244"/>
      <c r="T30" s="2244"/>
      <c r="U30" s="2244"/>
      <c r="V30" s="2244"/>
    </row>
    <row r="31" spans="1:28">
      <c r="A31" s="3214"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9" t="s">
        <v>2228</v>
      </c>
      <c r="T34" s="315" t="str">
        <f>NUMBERSTRING(7-K34,1)&amp;"通"</f>
        <v>七通</v>
      </c>
      <c r="U34" s="2244"/>
      <c r="V34" s="2244"/>
    </row>
    <row r="35" spans="1:30">
      <c r="A35" s="2235"/>
      <c r="B35" s="3209" t="s">
        <v>2229</v>
      </c>
      <c r="C35" s="3209"/>
      <c r="D35" s="3209"/>
      <c r="E35" s="320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9"/>
      <c r="T35" s="138" t="str">
        <f>IF(T34="一通",L35,IF(T34="二通",M35,IF(T34="三通",N35,IF(T34="四通",O35,IF(T34="五通",P35,IF(T34="六通",Q35,R35))))))</f>
        <v>、、、、、、</v>
      </c>
      <c r="U35" s="2244"/>
      <c r="V35" s="2244"/>
    </row>
    <row r="36" spans="1:30">
      <c r="A36" s="2183"/>
      <c r="B36" s="8" t="s">
        <v>2185</v>
      </c>
      <c r="C36" s="8" t="s">
        <v>2186</v>
      </c>
      <c r="D36" s="8" t="s">
        <v>2184</v>
      </c>
      <c r="E36" s="8" t="s">
        <v>2189</v>
      </c>
      <c r="F36" s="2800" t="s">
        <v>2581</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2" sqref="J22"/>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91.09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91.09</v>
      </c>
      <c r="H5" s="13">
        <f t="shared" ref="H5:AT5" si="0">SUM(H13:H656)</f>
        <v>91.09</v>
      </c>
      <c r="I5" s="13">
        <f t="shared" si="0"/>
        <v>91.09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91.09</v>
      </c>
      <c r="BA5" s="15">
        <f t="shared" si="1"/>
        <v>91.09</v>
      </c>
      <c r="BB5" s="15">
        <f t="shared" si="1"/>
        <v>91.09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3390</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3392</v>
      </c>
      <c r="E13" s="13">
        <f>IF($C$3="是",ROUND($A$3*G13/$B$3,2),ROUND($A$3*(G13-AT13)/$B$3,2))</f>
        <v>0</v>
      </c>
      <c r="F13" s="29"/>
      <c r="G13" s="30">
        <f>H13+AC13+AT13</f>
        <v>91.09</v>
      </c>
      <c r="H13" s="17">
        <f>SUMIF(I$12:AB$12,"总值",I13:AB13)</f>
        <v>91.09</v>
      </c>
      <c r="I13" s="1514">
        <v>91.09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91.09</v>
      </c>
      <c r="BA13" s="13">
        <f>SUM(BB13:BK13)</f>
        <v>91.09</v>
      </c>
      <c r="BB13" s="13">
        <f>IF($D13="是",I13-J13,0)</f>
        <v>91.09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46" sqref="G46"/>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7" t="s">
        <v>1131</v>
      </c>
      <c r="B2" s="3247"/>
      <c r="C2" s="3247"/>
      <c r="D2" s="748" t="s">
        <v>1107</v>
      </c>
      <c r="E2" s="1523" t="s">
        <v>1108</v>
      </c>
      <c r="F2" s="2438"/>
      <c r="G2" s="2431"/>
      <c r="H2" s="2432"/>
      <c r="I2" s="2146" t="s">
        <v>1132</v>
      </c>
      <c r="J2" s="2438"/>
      <c r="K2" s="2438"/>
      <c r="L2" s="2438"/>
      <c r="M2" s="2438"/>
      <c r="N2" s="2439"/>
      <c r="O2" s="2438"/>
      <c r="P2" s="2438"/>
    </row>
    <row r="3" spans="1:16" ht="15.75" thickBot="1">
      <c r="A3" s="3248" t="s">
        <v>1105</v>
      </c>
      <c r="B3" s="3248"/>
      <c r="C3" s="3248"/>
      <c r="D3" s="41">
        <f>'数据-基础表'!AY6</f>
        <v>0</v>
      </c>
      <c r="E3" s="41">
        <f>'数据-基础表'!AZ5</f>
        <v>91.09</v>
      </c>
      <c r="F3" s="2438"/>
      <c r="G3" s="42"/>
      <c r="H3" s="43" t="s">
        <v>1106</v>
      </c>
      <c r="I3" s="802" t="e">
        <f>ROUND('数据-基础表'!B3/'数据-基础表'!A3,2)</f>
        <v>#DIV/0!</v>
      </c>
      <c r="J3" s="2438"/>
      <c r="K3" s="2438"/>
      <c r="L3" s="2438"/>
      <c r="M3" s="2438"/>
      <c r="N3" s="2439"/>
      <c r="O3" s="2438"/>
      <c r="P3" s="2438"/>
    </row>
    <row r="4" spans="1:16" ht="15">
      <c r="A4" s="3249"/>
      <c r="B4" s="3250"/>
      <c r="C4" s="3251"/>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52" t="s">
        <v>1110</v>
      </c>
      <c r="C5" s="3252"/>
      <c r="D5" s="43">
        <f>ROUND($D$3*E5/$E$3,2)</f>
        <v>0</v>
      </c>
      <c r="E5" s="44">
        <f>SUMIF('数据-基础表'!$11:$11,"住宅",'数据-基础表'!$5:$5)</f>
        <v>91.09</v>
      </c>
      <c r="F5" s="2438"/>
      <c r="G5" s="42"/>
      <c r="H5" s="43" t="s">
        <v>1106</v>
      </c>
      <c r="I5" s="802" t="e">
        <f>ROUND(E31/D31,2)</f>
        <v>#DIV/0!</v>
      </c>
      <c r="J5" s="2438"/>
      <c r="K5" s="2438"/>
      <c r="L5" s="2438"/>
      <c r="M5" s="2438"/>
      <c r="N5" s="2438"/>
      <c r="O5" s="2438"/>
      <c r="P5" s="2438"/>
    </row>
    <row r="6" spans="1:16" ht="15" thickBot="1">
      <c r="A6" s="1527"/>
      <c r="B6" s="3252" t="s">
        <v>1111</v>
      </c>
      <c r="C6" s="3252"/>
      <c r="D6" s="43">
        <f>ROUND($D$3*E6/$E$3,2)</f>
        <v>0</v>
      </c>
      <c r="E6" s="44">
        <f>E3-E5</f>
        <v>0</v>
      </c>
      <c r="F6" s="2438"/>
      <c r="G6" s="1529" t="s">
        <v>1112</v>
      </c>
      <c r="H6" s="45" t="s">
        <v>1113</v>
      </c>
      <c r="I6" s="2434" t="e">
        <f>ROUND(F31/D31,2)</f>
        <v>#DIV/0!</v>
      </c>
      <c r="J6" s="2438"/>
      <c r="K6" s="2438"/>
      <c r="L6" s="2438"/>
      <c r="M6" s="2438"/>
      <c r="N6" s="2438"/>
      <c r="O6" s="2438"/>
      <c r="P6" s="2438"/>
    </row>
    <row r="7" spans="1:16" ht="15.75" thickBot="1">
      <c r="A7" s="3244"/>
      <c r="B7" s="3245"/>
      <c r="C7" s="3246"/>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91.09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91.09</v>
      </c>
      <c r="F16" s="2438"/>
      <c r="G16" s="2438"/>
      <c r="H16" s="1531" t="s">
        <v>1135</v>
      </c>
      <c r="I16" s="1532"/>
      <c r="J16" s="1071"/>
      <c r="K16" s="3241" t="s">
        <v>1135</v>
      </c>
      <c r="L16" s="3242"/>
      <c r="M16" s="3242"/>
      <c r="N16" s="3242"/>
      <c r="O16" s="3242"/>
      <c r="P16" s="3243"/>
    </row>
    <row r="17" spans="1:19" ht="15">
      <c r="A17" s="1533" t="s">
        <v>1136</v>
      </c>
      <c r="B17" s="1534" t="s">
        <v>1137</v>
      </c>
      <c r="C17" s="1535" t="s">
        <v>1138</v>
      </c>
      <c r="D17" s="1536" t="s">
        <v>1126</v>
      </c>
      <c r="E17" s="1537" t="s">
        <v>1127</v>
      </c>
      <c r="F17" s="1538"/>
      <c r="G17" s="1539"/>
      <c r="H17" s="1540" t="s">
        <v>1139</v>
      </c>
      <c r="I17" s="1541" t="s">
        <v>1124</v>
      </c>
      <c r="J17" s="1071"/>
      <c r="K17" s="3238" t="s">
        <v>1140</v>
      </c>
      <c r="L17" s="3239"/>
      <c r="M17" s="3240"/>
      <c r="N17" s="3238" t="s">
        <v>1141</v>
      </c>
      <c r="O17" s="3239"/>
      <c r="P17" s="3240"/>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3391</v>
      </c>
      <c r="D19" s="43">
        <f>ROUND($D$3*E19/$E$3,2)</f>
        <v>0</v>
      </c>
      <c r="E19" s="51">
        <f t="shared" ref="E19:E26" si="1">SUM(F19:G19)</f>
        <v>91.09</v>
      </c>
      <c r="F19" s="2557">
        <f>'数据-基础表'!I13</f>
        <v>91.09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91.09</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91.09</v>
      </c>
      <c r="F27" s="1072">
        <f>IF(SUM(F19:F26)=E8,SUM(F19:F26),"地上面积有误")</f>
        <v>91.09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91.09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91.09</v>
      </c>
      <c r="F31" s="644">
        <f>F27+F30</f>
        <v>91.09</v>
      </c>
      <c r="G31" s="645">
        <f>G27+G30</f>
        <v>0</v>
      </c>
      <c r="H31" s="2438"/>
      <c r="I31" s="2438"/>
      <c r="J31" s="2438"/>
      <c r="K31" s="2438"/>
      <c r="L31" s="2438"/>
      <c r="M31" s="2438"/>
      <c r="N31" s="2438"/>
      <c r="O31" s="2438"/>
      <c r="P31" s="2438"/>
    </row>
    <row r="32" spans="1:19">
      <c r="A32" s="1526"/>
      <c r="B32" s="1526" t="s">
        <v>1159</v>
      </c>
      <c r="C32" s="1526"/>
      <c r="D32" s="1526"/>
      <c r="E32" s="990">
        <f>SUMIF(C19:C26,"*住宅*",E19:E26)</f>
        <v>91.09</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39801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3390</v>
      </c>
      <c r="D6" s="805">
        <f>SUMIF(项目基本情况!C$12:I$12,C6,项目基本情况!C$14:I$14)</f>
        <v>70</v>
      </c>
      <c r="E6" s="804">
        <f>IF(B6="","",SUMIF(项目基本情况!C$12:I$12,C6,项目基本情况!C$13:I$13))</f>
        <v>67165</v>
      </c>
      <c r="F6" s="61">
        <f>SUMIF(项目基本情况!C$12:I$12,C6,项目基本情况!C$15:I$15)</f>
        <v>70</v>
      </c>
      <c r="G6" s="62">
        <f>IF(ISERROR(ROUND(POWER(1+H6,D6-F6)*(POWER(1+H6,F6)-1)/(POWER(1+H6,D6)-1),3)),0,ROUND(POWER(1+H6,D6-F6)*(POWER(1+H6,F6)-1)/(POWER(1+H6,D6)-1),3))</f>
        <v>0</v>
      </c>
      <c r="H6" s="691"/>
      <c r="I6" s="691">
        <v>0.05</v>
      </c>
      <c r="J6" s="63"/>
      <c r="K6" s="970">
        <f>SUMIF('数据-汇总表'!C$19:C$33,A6,'数据-汇总表'!E$19:E$33)</f>
        <v>91.09</v>
      </c>
      <c r="L6" s="692">
        <v>2800</v>
      </c>
      <c r="M6" s="64">
        <f t="shared" ref="M6:M14" si="0">ROUND(K6*L6/10000,0)</f>
        <v>26</v>
      </c>
      <c r="N6" s="690">
        <f>N18</f>
        <v>0.95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6"/>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255052</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91.09</v>
      </c>
      <c r="L16" s="87">
        <f>ROUND(M16*10000/SUM(K6:K14),0)</f>
        <v>2854</v>
      </c>
      <c r="M16" s="87">
        <f>SUM(M6:M14)</f>
        <v>26</v>
      </c>
      <c r="N16" s="88">
        <f>ROUND(SUMPRODUCT(M6:M14,N6:N14)/M16,3)</f>
        <v>0.95</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f>ROUND(1-(2008-2005)/60,2)</f>
        <v>0.95</v>
      </c>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2</v>
      </c>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0.03</v>
      </c>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0.03</v>
      </c>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150</v>
      </c>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1.4999999999999999E-2</v>
      </c>
      <c r="C36" s="2564" t="s">
        <v>3384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0.01</v>
      </c>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0.01</v>
      </c>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2.52E-2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5">
        <f ca="1">IF(A40="利息：取LPR",存贷款利率!G1,存贷款利率!G1+C40)</f>
        <v>5.67E-2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7.0000000000000007E-2</v>
      </c>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53" t="s">
        <v>2286</v>
      </c>
      <c r="B1" s="3254"/>
      <c r="C1" s="3254"/>
      <c r="D1" s="3254"/>
      <c r="E1" s="3254"/>
      <c r="F1" s="3254"/>
      <c r="G1" s="3254"/>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6.75">
      <c r="A4" s="2247"/>
      <c r="B4" s="315" t="s">
        <v>2254</v>
      </c>
      <c r="C4" s="2268" t="s">
        <v>2255</v>
      </c>
      <c r="D4" s="2265"/>
      <c r="E4" s="2269"/>
      <c r="F4" s="1281" t="s">
        <v>2256</v>
      </c>
      <c r="G4" s="2270" t="s">
        <v>2257</v>
      </c>
      <c r="H4" s="751"/>
      <c r="I4" s="751"/>
      <c r="J4" s="751"/>
      <c r="K4" s="751"/>
      <c r="L4" s="751"/>
      <c r="M4" s="751"/>
      <c r="N4" s="751"/>
      <c r="O4" s="751"/>
      <c r="P4" s="751"/>
      <c r="Q4" s="751"/>
    </row>
    <row r="5" spans="1:29" ht="36.75">
      <c r="A5" s="2247"/>
      <c r="B5" s="315" t="s">
        <v>2258</v>
      </c>
      <c r="C5" s="2268" t="s">
        <v>2259</v>
      </c>
      <c r="D5" s="2265"/>
      <c r="E5" s="2269"/>
      <c r="F5" s="315" t="s">
        <v>2260</v>
      </c>
      <c r="G5" s="2270" t="s">
        <v>2261</v>
      </c>
      <c r="H5" s="751"/>
      <c r="I5" s="751"/>
      <c r="J5" s="751"/>
      <c r="K5" s="751"/>
      <c r="L5" s="751"/>
      <c r="M5" s="751"/>
      <c r="N5" s="751"/>
      <c r="O5" s="751"/>
      <c r="P5" s="751"/>
      <c r="Q5" s="751"/>
    </row>
    <row r="6" spans="1:29" ht="36">
      <c r="A6" s="2247"/>
      <c r="B6" s="315" t="s">
        <v>2262</v>
      </c>
      <c r="C6" s="2270" t="s">
        <v>2257</v>
      </c>
      <c r="D6" s="2265"/>
      <c r="E6" s="2269"/>
      <c r="F6" s="315" t="s">
        <v>2263</v>
      </c>
      <c r="G6" s="2270" t="s">
        <v>2264</v>
      </c>
      <c r="H6" s="751"/>
      <c r="I6" s="751"/>
      <c r="J6" s="751"/>
      <c r="K6" s="751"/>
      <c r="L6" s="751"/>
      <c r="M6" s="751"/>
      <c r="N6" s="751"/>
      <c r="O6" s="751"/>
      <c r="P6" s="751"/>
      <c r="Q6" s="751"/>
    </row>
    <row r="7" spans="1:29" ht="24.75" thickBot="1">
      <c r="A7" s="2247"/>
      <c r="B7" s="315" t="s">
        <v>2260</v>
      </c>
      <c r="C7" s="2270" t="s">
        <v>2261</v>
      </c>
      <c r="D7" s="2244"/>
      <c r="E7" s="2271"/>
      <c r="F7" s="2272" t="s">
        <v>2265</v>
      </c>
      <c r="G7" s="2273" t="s">
        <v>2266</v>
      </c>
      <c r="H7" s="751"/>
      <c r="I7" s="751"/>
      <c r="J7" s="751"/>
      <c r="K7" s="751"/>
      <c r="L7" s="751"/>
      <c r="M7" s="751"/>
      <c r="N7" s="751"/>
      <c r="O7" s="751"/>
      <c r="P7" s="751"/>
      <c r="Q7" s="751"/>
    </row>
    <row r="8" spans="1:29">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50" sqref="I49:I50"/>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91.09</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39801</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74.566299999999998</v>
      </c>
      <c r="C5" s="2299" t="e">
        <f ca="1">IF(B5=D14,结果表!H102,ROUND(B5*10000/$B$1,0))</f>
        <v>#DIV/0!</v>
      </c>
      <c r="D5" s="2299" t="e">
        <f ca="1">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项目基本情况!C17</f>
        <v>91.09</v>
      </c>
      <c r="C14" s="2305"/>
      <c r="D14" s="2305">
        <f ca="1">结果表!G22/10000</f>
        <v>74.566299999999998</v>
      </c>
      <c r="E14" s="2305">
        <f ca="1">ROUND(D14*10000/B14,0)</f>
        <v>8186</v>
      </c>
      <c r="F14" s="2305" t="e">
        <f ca="1">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H24" sqref="H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3390</v>
      </c>
      <c r="D1" s="646"/>
      <c r="E1" s="646"/>
      <c r="F1" s="1621" t="s">
        <v>1263</v>
      </c>
      <c r="G1" s="1453"/>
      <c r="H1" s="1621" t="str">
        <f>IF(G1="现房","——","估价对象范围")</f>
        <v>估价对象范围</v>
      </c>
      <c r="I1" s="1622"/>
    </row>
    <row r="2" spans="1:12" ht="21.75" customHeight="1" thickBot="1">
      <c r="A2" s="3289" t="str">
        <f>项目基本情况!S2</f>
        <v>北京市房地产</v>
      </c>
      <c r="B2" s="3290"/>
      <c r="C2" s="3290"/>
      <c r="D2" s="3290"/>
      <c r="E2" s="3290"/>
      <c r="F2" s="3290"/>
      <c r="G2" s="3290"/>
      <c r="H2" s="3290"/>
      <c r="I2" s="3291"/>
    </row>
    <row r="3" spans="1:12" ht="12.75">
      <c r="A3" s="3293" t="s">
        <v>1264</v>
      </c>
      <c r="B3" s="3294"/>
      <c r="C3" s="3294"/>
      <c r="D3" s="3294"/>
      <c r="E3" s="3294"/>
      <c r="F3" s="3294"/>
      <c r="G3" s="3294"/>
      <c r="H3" s="3294"/>
      <c r="I3" s="3294"/>
    </row>
    <row r="4" spans="1:12" ht="14.25">
      <c r="A4" s="1624" t="s">
        <v>1265</v>
      </c>
      <c r="B4" s="1625" t="s">
        <v>1266</v>
      </c>
      <c r="C4" s="1626" t="s">
        <v>3397</v>
      </c>
      <c r="D4" s="1626" t="s">
        <v>3398</v>
      </c>
      <c r="E4" s="3295" t="s">
        <v>1267</v>
      </c>
      <c r="F4" s="3296"/>
      <c r="G4" s="3296"/>
      <c r="H4" s="3296"/>
      <c r="I4" s="3297"/>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69" t="s">
        <v>1268</v>
      </c>
      <c r="B5" s="3256">
        <v>25</v>
      </c>
      <c r="C5" s="3272">
        <v>0</v>
      </c>
      <c r="D5" s="3292">
        <f>10-C5</f>
        <v>10</v>
      </c>
      <c r="E5" s="123" t="s">
        <v>1269</v>
      </c>
      <c r="F5" s="1627"/>
      <c r="G5" s="1627"/>
      <c r="H5" s="1627"/>
      <c r="I5" s="1281"/>
    </row>
    <row r="6" spans="1:12" ht="12.75">
      <c r="A6" s="3269"/>
      <c r="B6" s="3256"/>
      <c r="C6" s="3273"/>
      <c r="D6" s="3292"/>
      <c r="E6" s="123" t="s">
        <v>1270</v>
      </c>
      <c r="F6" s="1627"/>
      <c r="G6" s="1627"/>
      <c r="H6" s="1627"/>
      <c r="I6" s="1281"/>
    </row>
    <row r="7" spans="1:12" ht="12.75">
      <c r="A7" s="3269"/>
      <c r="B7" s="3256"/>
      <c r="C7" s="3274"/>
      <c r="D7" s="3292"/>
      <c r="E7" s="123" t="s">
        <v>1271</v>
      </c>
      <c r="F7" s="1627"/>
      <c r="G7" s="1627"/>
      <c r="H7" s="1627"/>
      <c r="I7" s="1281"/>
    </row>
    <row r="8" spans="1:12" ht="12.75">
      <c r="A8" s="3269" t="s">
        <v>1272</v>
      </c>
      <c r="B8" s="3256">
        <v>15</v>
      </c>
      <c r="C8" s="3272"/>
      <c r="D8" s="3292"/>
      <c r="E8" s="123" t="s">
        <v>1273</v>
      </c>
      <c r="F8" s="1627"/>
      <c r="G8" s="1627"/>
      <c r="H8" s="1627"/>
      <c r="I8" s="1281"/>
    </row>
    <row r="9" spans="1:12" ht="12.75">
      <c r="A9" s="3269"/>
      <c r="B9" s="3256"/>
      <c r="C9" s="3274"/>
      <c r="D9" s="3292"/>
      <c r="E9" s="123" t="s">
        <v>1274</v>
      </c>
      <c r="F9" s="1627"/>
      <c r="G9" s="1627"/>
      <c r="H9" s="1627"/>
      <c r="I9" s="1281"/>
    </row>
    <row r="10" spans="1:12" ht="12.75">
      <c r="A10" s="3269" t="s">
        <v>1275</v>
      </c>
      <c r="B10" s="3256">
        <v>15</v>
      </c>
      <c r="C10" s="3272"/>
      <c r="D10" s="3292"/>
      <c r="E10" s="123" t="s">
        <v>1276</v>
      </c>
      <c r="F10" s="1627"/>
      <c r="G10" s="1627"/>
      <c r="H10" s="1627"/>
      <c r="I10" s="1281"/>
    </row>
    <row r="11" spans="1:12" ht="12.75">
      <c r="A11" s="3269"/>
      <c r="B11" s="3256"/>
      <c r="C11" s="3274"/>
      <c r="D11" s="3292"/>
      <c r="E11" s="123" t="s">
        <v>1277</v>
      </c>
      <c r="F11" s="1627"/>
      <c r="G11" s="1627"/>
      <c r="H11" s="1627"/>
      <c r="I11" s="1281"/>
    </row>
    <row r="12" spans="1:12" ht="12.75">
      <c r="A12" s="3269" t="s">
        <v>1278</v>
      </c>
      <c r="B12" s="3256">
        <v>15</v>
      </c>
      <c r="C12" s="3272"/>
      <c r="D12" s="3292"/>
      <c r="E12" s="123" t="s">
        <v>1279</v>
      </c>
      <c r="F12" s="1627"/>
      <c r="G12" s="1627"/>
      <c r="H12" s="1627"/>
      <c r="I12" s="1281"/>
    </row>
    <row r="13" spans="1:12" ht="12.75">
      <c r="A13" s="3269"/>
      <c r="B13" s="3256"/>
      <c r="C13" s="3274"/>
      <c r="D13" s="3292"/>
      <c r="E13" s="123" t="s">
        <v>1280</v>
      </c>
      <c r="F13" s="1627"/>
      <c r="G13" s="1627"/>
      <c r="H13" s="1627"/>
      <c r="I13" s="1281"/>
    </row>
    <row r="14" spans="1:12" ht="12.75">
      <c r="A14" s="3269" t="s">
        <v>1281</v>
      </c>
      <c r="B14" s="3256">
        <v>30</v>
      </c>
      <c r="C14" s="3272"/>
      <c r="D14" s="3292"/>
      <c r="E14" s="123" t="s">
        <v>1282</v>
      </c>
      <c r="F14" s="1627"/>
      <c r="G14" s="1627"/>
      <c r="H14" s="1627"/>
      <c r="I14" s="1281"/>
    </row>
    <row r="15" spans="1:12" ht="12.75">
      <c r="A15" s="3269"/>
      <c r="B15" s="3256"/>
      <c r="C15" s="3273"/>
      <c r="D15" s="3292"/>
      <c r="E15" s="123" t="s">
        <v>1283</v>
      </c>
      <c r="F15" s="1627"/>
      <c r="G15" s="1627"/>
      <c r="H15" s="1627"/>
      <c r="I15" s="1281"/>
    </row>
    <row r="16" spans="1:12" ht="12.75">
      <c r="A16" s="3269"/>
      <c r="B16" s="3256"/>
      <c r="C16" s="3274"/>
      <c r="D16" s="3292"/>
      <c r="E16" s="123" t="s">
        <v>1284</v>
      </c>
      <c r="F16" s="1627"/>
      <c r="G16" s="1627"/>
      <c r="H16" s="1627"/>
      <c r="I16" s="1281"/>
    </row>
    <row r="17" spans="1:36" ht="15">
      <c r="A17" s="1628" t="s">
        <v>1285</v>
      </c>
      <c r="B17" s="54"/>
      <c r="C17" s="124">
        <f>SUM(C5:C16)</f>
        <v>0</v>
      </c>
      <c r="D17" s="124">
        <f>SUM(D5:D16)</f>
        <v>10</v>
      </c>
      <c r="E17" s="121"/>
      <c r="F17" s="121"/>
      <c r="G17" s="121"/>
      <c r="H17" s="121"/>
      <c r="I17" s="121"/>
      <c r="K17" s="294"/>
      <c r="L17" s="294" t="s">
        <v>1286</v>
      </c>
      <c r="M17" s="294" t="s">
        <v>1287</v>
      </c>
    </row>
    <row r="18" spans="1:36" ht="31.9" customHeight="1" thickBot="1">
      <c r="A18" s="1629" t="s">
        <v>1288</v>
      </c>
      <c r="B18" s="1542"/>
      <c r="C18" s="125">
        <f>ROUND(C17/SUM(C17:D17),2)</f>
        <v>0</v>
      </c>
      <c r="D18" s="125">
        <f>1-C18</f>
        <v>1</v>
      </c>
      <c r="E18" s="3279" t="s">
        <v>2131</v>
      </c>
      <c r="F18" s="3280"/>
      <c r="G18" s="3280"/>
      <c r="H18" s="3280"/>
      <c r="I18" s="3280"/>
      <c r="K18" s="294" t="s">
        <v>1289</v>
      </c>
      <c r="L18" s="294">
        <f>IF(C1="",'数据-汇总表'!E3,SUMIF(项目类型,C1,'数据-汇总表'!E17:E26)+SUMIF(项目类型,C1,'数据-汇总表'!I17:I26))</f>
        <v>91.09</v>
      </c>
      <c r="M18" s="294">
        <f>IF(C1="",'数据-汇总表'!E3,SUMIF(项目类型,C1,'数据-汇总表'!E17:E26))</f>
        <v>91.09</v>
      </c>
    </row>
    <row r="19" spans="1:36" ht="15">
      <c r="A19" s="1630" t="s">
        <v>1290</v>
      </c>
      <c r="B19" s="1631" t="s">
        <v>1291</v>
      </c>
      <c r="C19" s="126">
        <f ca="1">SUMIF(INDIRECT("'"&amp;C4&amp;"'"&amp;"!A:A"),结果表!B19,INDIRECT("'"&amp;C4&amp;"'"&amp;"!B:B"))</f>
        <v>62.033700000000003</v>
      </c>
      <c r="D19" s="127">
        <f ca="1">SUMIF(INDIRECT("'"&amp;D4&amp;"'"&amp;"!A:A"),结果表!B19,INDIRECT("'"&amp;D4&amp;"'"&amp;"!B:B"))</f>
        <v>74.566299999999998</v>
      </c>
      <c r="E19" s="1630" t="s">
        <v>1292</v>
      </c>
      <c r="F19" s="1631" t="s">
        <v>1291</v>
      </c>
      <c r="G19" s="128">
        <f ca="1">ROUND(C19*$C$18+D19*$D$18,0)</f>
        <v>75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6810</v>
      </c>
      <c r="D20" s="130">
        <f ca="1">SUMIF(INDIRECT("'"&amp;D4&amp;"'"&amp;"!A:A"),结果表!B20,INDIRECT("'"&amp;D4&amp;"'"&amp;"!B:B"))</f>
        <v>8186</v>
      </c>
      <c r="E20" s="1633"/>
      <c r="F20" s="43" t="s">
        <v>1295</v>
      </c>
      <c r="G20" s="131">
        <f ca="1">ROUND(C20*$C$18+D20*$D$18,0)</f>
        <v>8186</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0.20202889719620143</v>
      </c>
      <c r="E22" s="121"/>
      <c r="F22" s="121"/>
      <c r="G22" s="121">
        <f ca="1">ROUND(G20*'数据-汇总表'!F19,0)</f>
        <v>745663</v>
      </c>
      <c r="H22" s="121"/>
      <c r="I22" s="121"/>
    </row>
    <row r="23" spans="1:36" ht="13.5" thickBot="1">
      <c r="A23" s="646"/>
      <c r="B23" s="646"/>
      <c r="C23" s="646"/>
      <c r="D23" s="646"/>
      <c r="E23" s="121"/>
      <c r="F23" s="121"/>
      <c r="G23" s="121"/>
      <c r="H23" s="121"/>
      <c r="I23" s="121"/>
    </row>
    <row r="24" spans="1:36" ht="14.25">
      <c r="A24" s="3263" t="s">
        <v>1299</v>
      </c>
      <c r="B24" s="1631" t="s">
        <v>1291</v>
      </c>
      <c r="C24" s="128">
        <f>IF(B30=0,0,D30)</f>
        <v>0</v>
      </c>
      <c r="D24" s="1637"/>
      <c r="E24" s="121"/>
      <c r="F24" s="121"/>
      <c r="G24" s="121"/>
      <c r="H24" s="121"/>
      <c r="I24" s="121"/>
      <c r="L24" s="3153" t="s">
        <v>3422</v>
      </c>
    </row>
    <row r="25" spans="1:36" ht="14.25">
      <c r="A25" s="3264"/>
      <c r="B25" s="43" t="s">
        <v>1295</v>
      </c>
      <c r="C25" s="133">
        <f>IF(B30=0,0,C30)</f>
        <v>0</v>
      </c>
      <c r="D25" s="1638"/>
      <c r="E25" s="121"/>
      <c r="F25" s="121"/>
      <c r="G25" s="121"/>
      <c r="H25" s="121"/>
      <c r="I25" s="121"/>
      <c r="L25" s="684">
        <v>100000</v>
      </c>
    </row>
    <row r="26" spans="1:36" ht="13.5" customHeight="1">
      <c r="A26" s="1639" t="s">
        <v>1300</v>
      </c>
      <c r="B26" s="134" t="s">
        <v>1301</v>
      </c>
      <c r="C26" s="134" t="s">
        <v>1302</v>
      </c>
      <c r="D26" s="135" t="s">
        <v>1303</v>
      </c>
      <c r="E26" s="121"/>
      <c r="F26" s="121"/>
      <c r="G26" s="121"/>
      <c r="H26" s="121"/>
      <c r="I26" s="121"/>
      <c r="L26" s="684">
        <f>ROUND(L25/系统读取表!B14,0)</f>
        <v>1098</v>
      </c>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8186</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83" t="s">
        <v>1312</v>
      </c>
      <c r="B36" s="1652" t="s">
        <v>1313</v>
      </c>
      <c r="C36" s="137"/>
      <c r="D36" s="1653"/>
      <c r="E36" s="1567"/>
      <c r="F36" s="1654"/>
      <c r="G36" s="121"/>
      <c r="H36" s="121"/>
      <c r="I36" s="121"/>
    </row>
    <row r="37" spans="1:15" ht="15.75" thickBot="1">
      <c r="A37" s="3284"/>
      <c r="B37" s="1555" t="s">
        <v>1314</v>
      </c>
      <c r="C37" s="139"/>
      <c r="D37" s="1071"/>
      <c r="E37" s="1071"/>
      <c r="F37" s="1654"/>
      <c r="G37" s="121"/>
      <c r="H37" s="121"/>
      <c r="I37" s="121"/>
    </row>
    <row r="38" spans="1:15" ht="15.75" thickBot="1">
      <c r="A38" s="328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60" t="s">
        <v>1326</v>
      </c>
      <c r="B45" s="3261"/>
      <c r="C45" s="3262"/>
      <c r="D45" s="147" t="e">
        <f ca="1">ROUND(H101*F45,0)</f>
        <v>#REF!</v>
      </c>
      <c r="E45" s="148" t="s">
        <v>1327</v>
      </c>
      <c r="F45" s="149">
        <v>1</v>
      </c>
      <c r="G45" s="150" t="s">
        <v>1328</v>
      </c>
      <c r="H45" s="121"/>
      <c r="I45" s="121"/>
      <c r="J45" s="3338" t="s">
        <v>1329</v>
      </c>
      <c r="K45" s="3338"/>
      <c r="L45" s="3338"/>
      <c r="M45" s="3338"/>
      <c r="N45" s="3338"/>
      <c r="O45" s="3338"/>
    </row>
    <row r="46" spans="1:15" ht="14.25" customHeight="1">
      <c r="A46" s="3257" t="s">
        <v>1330</v>
      </c>
      <c r="B46" s="3258"/>
      <c r="C46" s="3258"/>
      <c r="D46" s="3258"/>
      <c r="E46" s="3258"/>
      <c r="F46" s="3258"/>
      <c r="G46" s="3259"/>
      <c r="H46" s="1668"/>
      <c r="I46" s="151"/>
      <c r="J46" s="2309">
        <v>1</v>
      </c>
      <c r="K46" s="3319" t="s">
        <v>1331</v>
      </c>
      <c r="L46" s="3319"/>
      <c r="M46" s="3339"/>
      <c r="N46" s="3339"/>
      <c r="O46" s="3339"/>
    </row>
    <row r="47" spans="1:15" ht="12" customHeight="1">
      <c r="A47" s="152" t="s">
        <v>1332</v>
      </c>
      <c r="B47" s="153"/>
      <c r="C47" s="154"/>
      <c r="D47" s="1024" t="s">
        <v>1333</v>
      </c>
      <c r="E47" s="294" t="s">
        <v>1334</v>
      </c>
      <c r="F47" s="155" t="s">
        <v>1335</v>
      </c>
      <c r="G47" s="2332" t="s">
        <v>1336</v>
      </c>
      <c r="H47" s="2333"/>
      <c r="I47" s="151"/>
      <c r="J47" s="2309">
        <v>2</v>
      </c>
      <c r="K47" s="3319" t="s">
        <v>1337</v>
      </c>
      <c r="L47" s="3319"/>
      <c r="M47" s="3340">
        <f>'数据-取费表'!B2</f>
        <v>39801</v>
      </c>
      <c r="N47" s="3340"/>
      <c r="O47" s="3340"/>
    </row>
    <row r="48" spans="1:15" ht="25.5">
      <c r="A48" s="3288" t="s">
        <v>1338</v>
      </c>
      <c r="B48" s="3271"/>
      <c r="C48" s="3271"/>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19" t="s">
        <v>1340</v>
      </c>
      <c r="L48" s="3319"/>
      <c r="M48" s="3341" t="e">
        <f ca="1">H101</f>
        <v>#REF!</v>
      </c>
      <c r="N48" s="3341"/>
      <c r="O48" s="3341"/>
    </row>
    <row r="49" spans="1:35" ht="25.5" customHeight="1">
      <c r="A49" s="2152" t="s">
        <v>1341</v>
      </c>
      <c r="B49" s="3255" t="s">
        <v>1342</v>
      </c>
      <c r="C49" s="3255"/>
      <c r="D49" s="1478">
        <v>0</v>
      </c>
      <c r="E49" s="316" t="s">
        <v>1343</v>
      </c>
      <c r="F49" s="2232" t="s">
        <v>28</v>
      </c>
      <c r="G49" s="3325"/>
      <c r="H49" s="2134" t="s">
        <v>2134</v>
      </c>
      <c r="I49" s="2135"/>
      <c r="J49" s="2309">
        <v>4</v>
      </c>
      <c r="K49" s="3319" t="str">
        <f>IF(项目基本情况!E8="房地产抵押价值","房地产抵押价值","抵押担保权已注销时的房地产抵押价值")</f>
        <v>抵押担保权已注销时的房地产抵押价值</v>
      </c>
      <c r="L49" s="3319"/>
      <c r="M49" s="3341" t="str">
        <f>IF(项目基本情况!E8="房地产抵押价值",H107,H109)</f>
        <v>——</v>
      </c>
      <c r="N49" s="3341"/>
      <c r="O49" s="3341"/>
    </row>
    <row r="50" spans="1:35" ht="25.5" customHeight="1">
      <c r="A50" s="2337"/>
      <c r="B50" s="3255" t="s">
        <v>1344</v>
      </c>
      <c r="C50" s="3255"/>
      <c r="D50" s="2189"/>
      <c r="E50" s="323"/>
      <c r="F50" s="2232"/>
      <c r="G50" s="3326"/>
      <c r="H50" s="2136" t="s">
        <v>2135</v>
      </c>
      <c r="I50" s="2135"/>
      <c r="J50" s="3338" t="s">
        <v>1345</v>
      </c>
      <c r="K50" s="3338"/>
      <c r="L50" s="3338"/>
      <c r="M50" s="3338"/>
      <c r="N50" s="3338"/>
      <c r="O50" s="3338"/>
    </row>
    <row r="51" spans="1:35" ht="20.45" customHeight="1">
      <c r="A51" s="2338"/>
      <c r="B51" s="3255" t="s">
        <v>1346</v>
      </c>
      <c r="C51" s="3255"/>
      <c r="D51" s="1024"/>
      <c r="E51" s="319"/>
      <c r="F51" s="2232"/>
      <c r="G51" s="3327"/>
      <c r="H51" s="2136" t="s">
        <v>2136</v>
      </c>
      <c r="I51" s="2135"/>
      <c r="J51" s="2310" t="s">
        <v>1347</v>
      </c>
      <c r="K51" s="3319" t="s">
        <v>1348</v>
      </c>
      <c r="L51" s="3319"/>
      <c r="M51" s="2310" t="s">
        <v>1349</v>
      </c>
      <c r="N51" s="2310" t="s">
        <v>1350</v>
      </c>
      <c r="O51" s="2310" t="s">
        <v>1351</v>
      </c>
    </row>
    <row r="52" spans="1:35" ht="24" customHeight="1">
      <c r="A52" s="2153" t="s">
        <v>1352</v>
      </c>
      <c r="B52" s="3255" t="s">
        <v>1353</v>
      </c>
      <c r="C52" s="3255"/>
      <c r="D52" s="1024" t="e">
        <f ca="1">ROUND(D45*'数据-取费表'!B41/(1+'数据-取费表'!C42),0)</f>
        <v>#REF!</v>
      </c>
      <c r="E52" s="1256" t="s">
        <v>1354</v>
      </c>
      <c r="F52" s="2339">
        <f>'数据-取费表'!B41</f>
        <v>5.6000000000000001E-2</v>
      </c>
      <c r="G52" s="2340"/>
      <c r="H52" s="2330"/>
      <c r="I52" s="1669"/>
      <c r="J52" s="2309">
        <v>1</v>
      </c>
      <c r="K52" s="3320" t="s">
        <v>1355</v>
      </c>
      <c r="L52" s="3320"/>
      <c r="M52" s="2311" t="b">
        <f>D48</f>
        <v>0</v>
      </c>
      <c r="N52" s="2309" t="str">
        <f>E48</f>
        <v>销售额×税（费）率</v>
      </c>
      <c r="O52" s="2312">
        <f>F48</f>
        <v>5.6000000000000001E-2</v>
      </c>
    </row>
    <row r="53" spans="1:35" ht="12" customHeight="1">
      <c r="A53" s="2153" t="s">
        <v>1356</v>
      </c>
      <c r="B53" s="3281" t="s">
        <v>2291</v>
      </c>
      <c r="C53" s="3282"/>
      <c r="D53" s="1024" t="e">
        <f ca="1">ROUND(D45*'数据-取费表'!B41/(1+'数据-取费表'!C42),0)</f>
        <v>#REF!</v>
      </c>
      <c r="E53" s="1256" t="s">
        <v>1354</v>
      </c>
      <c r="F53" s="2339">
        <f>'数据-取费表'!B41</f>
        <v>5.6000000000000001E-2</v>
      </c>
      <c r="G53" s="2340"/>
      <c r="H53" s="2330"/>
      <c r="I53" s="1669"/>
      <c r="J53" s="2309">
        <v>2</v>
      </c>
      <c r="K53" s="3320" t="s">
        <v>1357</v>
      </c>
      <c r="L53" s="3320"/>
      <c r="M53" s="2311" t="e">
        <f t="shared" ref="M53:O54" ca="1" si="0">D55</f>
        <v>#REF!</v>
      </c>
      <c r="N53" s="2309" t="str">
        <f t="shared" si="0"/>
        <v>销售额×税（费）率</v>
      </c>
      <c r="O53" s="2312" t="str">
        <f t="shared" si="0"/>
        <v>免征</v>
      </c>
    </row>
    <row r="54" spans="1:35" ht="12" customHeight="1">
      <c r="A54" s="2153" t="s">
        <v>1358</v>
      </c>
      <c r="B54" s="3281" t="s">
        <v>2292</v>
      </c>
      <c r="C54" s="3282"/>
      <c r="D54" s="1024" t="e">
        <f ca="1">C68</f>
        <v>#REF!</v>
      </c>
      <c r="E54" s="319" t="s">
        <v>1359</v>
      </c>
      <c r="F54" s="2339">
        <f>'数据-取费表'!B41</f>
        <v>5.6000000000000001E-2</v>
      </c>
      <c r="G54" s="2340"/>
      <c r="H54" s="2341"/>
      <c r="I54" s="1669"/>
      <c r="J54" s="2309">
        <v>3</v>
      </c>
      <c r="K54" s="3320" t="s">
        <v>1360</v>
      </c>
      <c r="L54" s="3320"/>
      <c r="M54" s="2311" t="e">
        <f t="shared" ca="1" si="0"/>
        <v>#REF!</v>
      </c>
      <c r="N54" s="2309" t="str">
        <f t="shared" si="0"/>
        <v>增值额×税（费）率</v>
      </c>
      <c r="O54" s="2313" t="str">
        <f t="shared" si="0"/>
        <v>免征</v>
      </c>
    </row>
    <row r="55" spans="1:35" ht="24" customHeight="1">
      <c r="A55" s="3270" t="s">
        <v>1361</v>
      </c>
      <c r="B55" s="3271"/>
      <c r="C55" s="3271"/>
      <c r="D55" s="12" t="e">
        <f ca="1">IF(H55="个人住宅",0,ROUND(D45*I55,0))</f>
        <v>#REF!</v>
      </c>
      <c r="E55" s="1256" t="s">
        <v>1362</v>
      </c>
      <c r="F55" s="2339" t="str">
        <f>IF(H55="正常",I55,"免征")</f>
        <v>免征</v>
      </c>
      <c r="G55" s="2340"/>
      <c r="H55" s="2336"/>
      <c r="I55" s="157">
        <f>'数据-取费表'!B49</f>
        <v>5.0000000000000001E-4</v>
      </c>
      <c r="J55" s="2309">
        <f>IF(H59="非个人房产","",4)</f>
        <v>4</v>
      </c>
      <c r="K55" s="3320" t="str">
        <f>IF(H59="非个人房产","——","个人所得税")</f>
        <v>个人所得税</v>
      </c>
      <c r="L55" s="3320"/>
      <c r="M55" s="2314" t="e">
        <f ca="1">D59</f>
        <v>#REF!</v>
      </c>
      <c r="N55" s="1883" t="str">
        <f>E59</f>
        <v>差额计税</v>
      </c>
      <c r="O55" s="2315">
        <f>F59</f>
        <v>0.01</v>
      </c>
    </row>
    <row r="56" spans="1:35" ht="24.75">
      <c r="A56" s="3270" t="s">
        <v>1363</v>
      </c>
      <c r="B56" s="3271"/>
      <c r="C56" s="3271"/>
      <c r="D56" s="12" t="e">
        <f ca="1">IF(H56="个人住宅",D57,D58)</f>
        <v>#REF!</v>
      </c>
      <c r="E56" s="1256" t="s">
        <v>1364</v>
      </c>
      <c r="F56" s="2339" t="str">
        <f>IF(H56="正常",F58,"免征")</f>
        <v>免征</v>
      </c>
      <c r="G56" s="2342" t="s">
        <v>1365</v>
      </c>
      <c r="H56" s="2343"/>
      <c r="I56" s="1670"/>
      <c r="J56" s="2309" t="str">
        <f>IF(项目基本情况!K6="上海银行",IF(J55="",4,J55+1),"")</f>
        <v/>
      </c>
      <c r="K56" s="3343" t="str">
        <f>IF(项目基本情况!K6="上海银行","其他处置费用","")</f>
        <v/>
      </c>
      <c r="L56" s="3344"/>
      <c r="M56" s="2311" t="str">
        <f>IF(项目基本情况!K6="上海银行",M69,"")</f>
        <v/>
      </c>
      <c r="N56" s="3343" t="str">
        <f>IF(项目基本情况!K6="上海银行","包含处置中涉及的律师、诉讼、拍卖、评估等费用","")</f>
        <v/>
      </c>
      <c r="O56" s="3346"/>
    </row>
    <row r="57" spans="1:35" ht="12.75">
      <c r="A57" s="2153" t="s">
        <v>1341</v>
      </c>
      <c r="B57" s="3281" t="s">
        <v>1366</v>
      </c>
      <c r="C57" s="3282"/>
      <c r="D57" s="1478">
        <v>0</v>
      </c>
      <c r="E57" s="316" t="s">
        <v>1343</v>
      </c>
      <c r="F57" s="294"/>
      <c r="G57" s="2340"/>
      <c r="H57" s="2344"/>
      <c r="I57" s="1670"/>
      <c r="J57" s="3320">
        <f>IF(AND(J55="",J56=""),4,IF(项目基本情况!K6="上海银行",结果表!J56+1,结果表!J55+1))</f>
        <v>5</v>
      </c>
      <c r="K57" s="3320" t="s">
        <v>1367</v>
      </c>
      <c r="L57" s="2316" t="s">
        <v>1368</v>
      </c>
      <c r="M57" s="2317"/>
      <c r="N57" s="2318">
        <f ca="1">SUMIF(M52:M56,"&lt;9e307")</f>
        <v>0</v>
      </c>
      <c r="O57" s="2319"/>
      <c r="P57" s="2464" t="e">
        <f ca="1">N57/M49</f>
        <v>#VALUE!</v>
      </c>
    </row>
    <row r="58" spans="1:35" ht="24.75">
      <c r="A58" s="2153" t="s">
        <v>1352</v>
      </c>
      <c r="B58" s="3281" t="s">
        <v>1369</v>
      </c>
      <c r="C58" s="3255"/>
      <c r="D58" s="12" t="e">
        <f ca="1">IF(H58="转让取得",C81,C97)</f>
        <v>#REF!</v>
      </c>
      <c r="E58" s="1256" t="s">
        <v>1364</v>
      </c>
      <c r="F58" s="294" t="s">
        <v>28</v>
      </c>
      <c r="G58" s="2340"/>
      <c r="H58" s="2343"/>
      <c r="I58" s="1670"/>
      <c r="J58" s="3320"/>
      <c r="K58" s="3320"/>
      <c r="L58" s="2316" t="s">
        <v>1370</v>
      </c>
      <c r="M58" s="2320"/>
      <c r="N58" s="2321" t="str">
        <f ca="1">NUMBERSTRING(INT(N57*10000),2)&amp;"元整"</f>
        <v>零元整</v>
      </c>
      <c r="O58" s="2322"/>
    </row>
    <row r="59" spans="1:35" ht="24.75" thickBot="1">
      <c r="A59" s="3323" t="s">
        <v>1371</v>
      </c>
      <c r="B59" s="3324"/>
      <c r="C59" s="3324"/>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21">
        <f>J57+1</f>
        <v>6</v>
      </c>
      <c r="K59" s="3320" t="s">
        <v>1372</v>
      </c>
      <c r="L59" s="2309" t="s">
        <v>1368</v>
      </c>
      <c r="M59" s="2323"/>
      <c r="N59" s="2324" t="e">
        <f ca="1">M49-N57</f>
        <v>#VALUE!</v>
      </c>
      <c r="O59" s="2325"/>
    </row>
    <row r="60" spans="1:35" ht="12" customHeight="1">
      <c r="A60" s="1671"/>
      <c r="B60" s="646"/>
      <c r="C60" s="646"/>
      <c r="D60" s="646"/>
      <c r="E60" s="1466"/>
      <c r="F60" s="1670"/>
      <c r="G60" s="1670"/>
      <c r="H60" s="151"/>
      <c r="I60" s="121"/>
      <c r="J60" s="3322"/>
      <c r="K60" s="3320"/>
      <c r="L60" s="2316" t="s">
        <v>1370</v>
      </c>
      <c r="M60" s="2320"/>
      <c r="N60" s="2321" t="e">
        <f ca="1">NUMBERSTRING(INT(N59*10000),2)&amp;"元整"</f>
        <v>#VALUE!</v>
      </c>
      <c r="O60" s="2322"/>
    </row>
    <row r="61" spans="1:35" ht="13.5" thickBot="1">
      <c r="A61" s="3268" t="s">
        <v>1373</v>
      </c>
      <c r="B61" s="3268"/>
      <c r="C61" s="3268"/>
      <c r="D61" s="3268"/>
      <c r="E61" s="3268"/>
      <c r="F61" s="1670"/>
      <c r="G61" s="1670"/>
      <c r="H61" s="151"/>
      <c r="I61" s="121"/>
      <c r="J61" s="2309">
        <f>J59+1</f>
        <v>7</v>
      </c>
      <c r="K61" s="3320" t="s">
        <v>1374</v>
      </c>
      <c r="L61" s="3320"/>
      <c r="M61" s="2326"/>
      <c r="N61" s="2327" t="e">
        <f ca="1">ROUND(N59*10000/'数据-汇总表'!E3,0)</f>
        <v>#VALUE!</v>
      </c>
      <c r="O61" s="2328"/>
    </row>
    <row r="62" spans="1:35" ht="12.75">
      <c r="A62" s="3286" t="s">
        <v>1375</v>
      </c>
      <c r="B62" s="3287"/>
      <c r="C62" s="1865"/>
      <c r="D62" s="1865" t="s">
        <v>1376</v>
      </c>
      <c r="E62" s="158" t="s">
        <v>1377</v>
      </c>
      <c r="F62" s="1670"/>
      <c r="G62" s="1670"/>
      <c r="H62" s="151"/>
      <c r="I62" s="121"/>
    </row>
    <row r="63" spans="1:35" ht="12.75">
      <c r="A63" s="165" t="s">
        <v>330</v>
      </c>
      <c r="B63" s="159" t="s">
        <v>1378</v>
      </c>
      <c r="C63" s="2349" t="e">
        <f ca="1">ROUND((C64+C65)/(1+'数据-取费表'!C42),0)</f>
        <v>#REF!</v>
      </c>
      <c r="D63" s="159"/>
      <c r="E63" s="160"/>
      <c r="F63" s="1670"/>
      <c r="G63" s="1670"/>
      <c r="H63" s="151"/>
      <c r="I63" s="121"/>
      <c r="J63" s="3345"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34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345"/>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345"/>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34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5.6000000000000001E-2</v>
      </c>
      <c r="E68" s="170"/>
      <c r="F68" s="1670"/>
      <c r="G68" s="1670"/>
      <c r="H68" s="151"/>
      <c r="I68" s="121"/>
      <c r="J68" s="3345"/>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345"/>
      <c r="K69" s="1245" t="s">
        <v>1393</v>
      </c>
      <c r="L69" s="1245"/>
      <c r="M69" s="294" t="e">
        <f>ROUND(SUM(M63:M68),0)</f>
        <v>#VALUE!</v>
      </c>
      <c r="N69" s="2331" t="e">
        <f>M69/M49</f>
        <v>#VALUE!</v>
      </c>
      <c r="Z69" s="1623"/>
      <c r="AI69" s="1561"/>
    </row>
    <row r="70" spans="1:35" s="642" customFormat="1" ht="15" thickBot="1">
      <c r="A70" s="3307" t="s">
        <v>1394</v>
      </c>
      <c r="B70" s="3308"/>
      <c r="C70" s="3308"/>
      <c r="D70" s="3308"/>
      <c r="E70" s="3308"/>
      <c r="F70" s="3308"/>
      <c r="G70" s="3308"/>
      <c r="H70" s="330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6" t="s">
        <v>1375</v>
      </c>
      <c r="B71" s="328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81" t="s">
        <v>1402</v>
      </c>
      <c r="F76" s="3255"/>
      <c r="G76" s="3255"/>
      <c r="H76" s="330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6.000000000000001E-3</v>
      </c>
      <c r="E78" s="3265" t="s">
        <v>1406</v>
      </c>
      <c r="F78" s="3266"/>
      <c r="G78" s="3266"/>
      <c r="H78" s="327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7" t="s">
        <v>1410</v>
      </c>
      <c r="B83" s="3308"/>
      <c r="C83" s="3308"/>
      <c r="D83" s="3308"/>
      <c r="E83" s="3308"/>
      <c r="F83" s="3308"/>
      <c r="G83" s="3308"/>
      <c r="H83" s="330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6" t="s">
        <v>1375</v>
      </c>
      <c r="B84" s="328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7"/>
      <c r="D90" s="2362"/>
      <c r="E90" s="185" t="str">
        <f>IF(H88="-","土地取得成本中已包含该笔费用"," ")</f>
        <v xml:space="preserve"> </v>
      </c>
      <c r="F90" s="2148"/>
      <c r="G90" s="3347" t="s">
        <v>2129</v>
      </c>
      <c r="H90" s="3348"/>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5" t="s">
        <v>1419</v>
      </c>
      <c r="F91" s="3266"/>
      <c r="G91" s="326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5" t="s">
        <v>1422</v>
      </c>
      <c r="F92" s="3266"/>
      <c r="G92" s="3266"/>
      <c r="H92" s="327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6.000000000000001E-3</v>
      </c>
      <c r="E93" s="3265" t="s">
        <v>1406</v>
      </c>
      <c r="F93" s="3266"/>
      <c r="G93" s="3266"/>
      <c r="H93" s="327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6" t="s">
        <v>1426</v>
      </c>
      <c r="F94" s="3277"/>
      <c r="G94" s="3277"/>
      <c r="H94" s="3278"/>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9" t="s">
        <v>1428</v>
      </c>
      <c r="B100" s="3250"/>
      <c r="C100" s="3250"/>
      <c r="D100" s="3267"/>
      <c r="E100" s="3250" t="s">
        <v>1429</v>
      </c>
      <c r="F100" s="3250"/>
      <c r="G100" s="3250"/>
      <c r="H100" s="3267"/>
      <c r="I100" s="121"/>
    </row>
    <row r="101" spans="1:35" ht="18.75" customHeight="1">
      <c r="A101" s="3328" t="s">
        <v>1430</v>
      </c>
      <c r="B101" s="3329"/>
      <c r="C101" s="2370" t="str">
        <f>C4</f>
        <v>成本法 (元)</v>
      </c>
      <c r="D101" s="2371" t="str">
        <f>D4</f>
        <v>比较法-住宅</v>
      </c>
      <c r="E101" s="3342" t="s">
        <v>1431</v>
      </c>
      <c r="F101" s="3299"/>
      <c r="G101" s="1687" t="s">
        <v>1432</v>
      </c>
      <c r="H101" s="2380" t="e">
        <f ca="1">H118</f>
        <v>#REF!</v>
      </c>
      <c r="I101" s="121"/>
    </row>
    <row r="102" spans="1:35" ht="18.75" customHeight="1">
      <c r="A102" s="3301" t="s">
        <v>1433</v>
      </c>
      <c r="B102" s="2369" t="s">
        <v>1432</v>
      </c>
      <c r="C102" s="2370">
        <f ca="1">IF(D32="楼面单价",ROUND(C19,0),C19)</f>
        <v>62.033700000000003</v>
      </c>
      <c r="D102" s="2371">
        <f ca="1">IF(D32="楼面单价",ROUND(D19,0),D19)</f>
        <v>74.566299999999998</v>
      </c>
      <c r="E102" s="3342"/>
      <c r="F102" s="3299"/>
      <c r="G102" s="1687" t="s">
        <v>1434</v>
      </c>
      <c r="H102" s="2340" t="e">
        <f ca="1">I118</f>
        <v>#REF!</v>
      </c>
      <c r="I102" s="121"/>
    </row>
    <row r="103" spans="1:35" ht="42.75" customHeight="1">
      <c r="A103" s="3301"/>
      <c r="B103" s="2369" t="s">
        <v>1434</v>
      </c>
      <c r="C103" s="2372">
        <f ca="1">C20</f>
        <v>6810</v>
      </c>
      <c r="D103" s="2373">
        <f ca="1">D20</f>
        <v>8186</v>
      </c>
      <c r="E103" s="3336" t="s">
        <v>1435</v>
      </c>
      <c r="F103" s="3337"/>
      <c r="G103" s="1688" t="s">
        <v>1436</v>
      </c>
      <c r="H103" s="2380">
        <f>IF(D36="正常操作",H104+H105+H106,H105+H106)</f>
        <v>0</v>
      </c>
      <c r="I103" s="121"/>
    </row>
    <row r="104" spans="1:35" ht="18.75" customHeight="1">
      <c r="A104" s="3301"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8" t="str">
        <f>IF(项目基本情况!E8="已注销","——","3.房地产抵押价值")</f>
        <v>3.房地产抵押价值</v>
      </c>
      <c r="F107" s="3299"/>
      <c r="G107" s="1687" t="s">
        <v>1432</v>
      </c>
      <c r="H107" s="2380" t="e">
        <f ca="1">IF(E107="——","——",H101-H103)</f>
        <v>#REF!</v>
      </c>
      <c r="I107" s="121"/>
    </row>
    <row r="108" spans="1:35" ht="18.75" customHeight="1">
      <c r="A108" s="121"/>
      <c r="B108" s="121"/>
      <c r="C108" s="121"/>
      <c r="D108" s="121"/>
      <c r="E108" s="3298"/>
      <c r="F108" s="3299"/>
      <c r="G108" s="1687" t="s">
        <v>1434</v>
      </c>
      <c r="H108" s="2340">
        <f ca="1">IF(H107=H101,H102,ROUND(H107*10000/'数据-汇总表'!E3,0))</f>
        <v>0</v>
      </c>
      <c r="I108" s="121"/>
    </row>
    <row r="109" spans="1:35" ht="18.75" customHeight="1">
      <c r="A109" s="121"/>
      <c r="B109" s="121"/>
      <c r="C109" s="121"/>
      <c r="D109" s="121"/>
      <c r="E109" s="3298" t="str">
        <f>IF(项目基本情况!E8="已注销及未注销","4.抵押担保权已注销时的房地产抵押价值",IF(项目基本情况!E8="已注销","3.抵押担保权已注销时的房地产抵押价值","——"))</f>
        <v>——</v>
      </c>
      <c r="F109" s="3299"/>
      <c r="G109" s="1687" t="s">
        <v>1432</v>
      </c>
      <c r="H109" s="2383" t="str">
        <f>IF(E109="——","——",H101-H105-H106)</f>
        <v>——</v>
      </c>
      <c r="I109" s="121"/>
    </row>
    <row r="110" spans="1:35" ht="18.75" customHeight="1">
      <c r="A110" s="121"/>
      <c r="B110" s="121"/>
      <c r="C110" s="121"/>
      <c r="D110" s="121"/>
      <c r="E110" s="3298"/>
      <c r="F110" s="3299"/>
      <c r="G110" s="1687" t="s">
        <v>1434</v>
      </c>
      <c r="H110" s="2340" t="str">
        <f>IF(H109="——","——",ROUND(H109*10000/'数据-汇总表'!E3,0))</f>
        <v>——</v>
      </c>
      <c r="I110" s="121"/>
    </row>
    <row r="111" spans="1:35" ht="18.75" customHeight="1">
      <c r="A111" s="121"/>
      <c r="B111" s="121"/>
      <c r="C111" s="121"/>
      <c r="D111" s="121"/>
      <c r="E111" s="3330" t="str">
        <f>IF(项目基本情况!E9="抵押净值",IF(OR(项目基本情况!E8="已注销",项目基本情况!E8="房地产抵押价值"),"4.抵押净值","5.抵押净值"),"——")</f>
        <v>——</v>
      </c>
      <c r="F111" s="3300"/>
      <c r="G111" s="1687" t="s">
        <v>1432</v>
      </c>
      <c r="H111" s="2380" t="str">
        <f>IF(E111="——","——",N59)</f>
        <v>——</v>
      </c>
      <c r="I111" s="121"/>
    </row>
    <row r="112" spans="1:35" ht="18.75" customHeight="1" thickBot="1">
      <c r="A112" s="121"/>
      <c r="B112" s="121"/>
      <c r="C112" s="121"/>
      <c r="D112" s="121"/>
      <c r="E112" s="3331"/>
      <c r="F112" s="3332"/>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3" t="s">
        <v>1442</v>
      </c>
      <c r="B115" s="3314"/>
      <c r="C115" s="3314"/>
      <c r="D115" s="3314"/>
      <c r="E115" s="3314"/>
      <c r="F115" s="3314"/>
      <c r="G115" s="3314"/>
      <c r="H115" s="3314"/>
      <c r="I115" s="3315"/>
    </row>
    <row r="116" spans="1:27" ht="27" customHeight="1">
      <c r="A116" s="3269" t="s">
        <v>1443</v>
      </c>
      <c r="B116" s="3304" t="s">
        <v>1444</v>
      </c>
      <c r="C116" s="3304" t="s">
        <v>1445</v>
      </c>
      <c r="D116" s="3317" t="s">
        <v>1446</v>
      </c>
      <c r="E116" s="3318"/>
      <c r="F116" s="3312" t="s">
        <v>1447</v>
      </c>
      <c r="G116" s="3312"/>
      <c r="H116" s="3269" t="s">
        <v>1448</v>
      </c>
      <c r="I116" s="3269"/>
    </row>
    <row r="117" spans="1:27" ht="18.75" customHeight="1">
      <c r="A117" s="3269"/>
      <c r="B117" s="3305"/>
      <c r="C117" s="3305"/>
      <c r="D117" s="2150" t="s">
        <v>1449</v>
      </c>
      <c r="E117" s="2150" t="s">
        <v>1450</v>
      </c>
      <c r="F117" s="2150" t="s">
        <v>1449</v>
      </c>
      <c r="G117" s="2150" t="s">
        <v>1451</v>
      </c>
      <c r="H117" s="2150" t="s">
        <v>1449</v>
      </c>
      <c r="I117" s="2150" t="s">
        <v>1451</v>
      </c>
    </row>
    <row r="118" spans="1:27" ht="24.75" customHeight="1">
      <c r="A118" s="2385" t="str">
        <f>项目基本情况!S2</f>
        <v>北京市房地产</v>
      </c>
      <c r="B118" s="2150">
        <f>M18</f>
        <v>91.09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9" t="s">
        <v>1452</v>
      </c>
      <c r="B119" s="3269"/>
      <c r="C119" s="3269"/>
      <c r="D119" s="3309" t="e">
        <f ca="1">NUMBERSTRING(INT(D118*10000),2)&amp;"元整"</f>
        <v>#REF!</v>
      </c>
      <c r="E119" s="3311"/>
      <c r="F119" s="3309" t="e">
        <f ca="1">NUMBERSTRING(INT(F118*10000),2)&amp;"元整"</f>
        <v>#REF!</v>
      </c>
      <c r="G119" s="3311"/>
      <c r="H119" s="3309" t="e">
        <f ca="1">NUMBERSTRING(INT(H118*10000),2)&amp;"元整"</f>
        <v>#REF!</v>
      </c>
      <c r="I119" s="3311"/>
    </row>
    <row r="120" spans="1:27" ht="18.75" customHeight="1">
      <c r="A120" s="3333" t="str">
        <f>IF(项目基本情况!B9="房地产市场价值","",MID(E103,3,LEN(E103)-2))</f>
        <v/>
      </c>
      <c r="B120" s="3334"/>
      <c r="C120" s="3335"/>
      <c r="D120" s="3333">
        <f>H103</f>
        <v>0</v>
      </c>
      <c r="E120" s="3334"/>
      <c r="F120" s="3334"/>
      <c r="G120" s="3334"/>
      <c r="H120" s="3334"/>
      <c r="I120" s="3335"/>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09" t="s">
        <v>1452</v>
      </c>
      <c r="B121" s="3310"/>
      <c r="C121" s="3311"/>
      <c r="D121" s="3309" t="str">
        <f>IF(D120=0,"零元整",NUMBERSTRING(INT(D120*10000),2)&amp;"元整")</f>
        <v>零元整</v>
      </c>
      <c r="E121" s="3310"/>
      <c r="F121" s="3310"/>
      <c r="G121" s="3310"/>
      <c r="H121" s="3310"/>
      <c r="I121" s="3311"/>
      <c r="AA121" s="684"/>
    </row>
    <row r="122" spans="1:27" ht="18.75" customHeight="1">
      <c r="A122" s="3300" t="str">
        <f>IF(项目基本情况!B9="房地产市场价值","",MID(E107,3,LEN(E107)-2))</f>
        <v/>
      </c>
      <c r="B122" s="3300"/>
      <c r="C122" s="3300"/>
      <c r="D122" s="3333" t="e">
        <f ca="1">H107</f>
        <v>#REF!</v>
      </c>
      <c r="E122" s="3334"/>
      <c r="F122" s="3334"/>
      <c r="G122" s="3334"/>
      <c r="H122" s="3334"/>
      <c r="I122" s="3335"/>
      <c r="AA122" s="684"/>
    </row>
    <row r="123" spans="1:27" ht="18.75" customHeight="1">
      <c r="A123" s="3269" t="s">
        <v>1452</v>
      </c>
      <c r="B123" s="3269"/>
      <c r="C123" s="3269"/>
      <c r="D123" s="3309" t="e">
        <f ca="1">NUMBERSTRING(INT(D122*10000),2)&amp;"元整"</f>
        <v>#REF!</v>
      </c>
      <c r="E123" s="3310"/>
      <c r="F123" s="3310"/>
      <c r="G123" s="3310"/>
      <c r="H123" s="3310"/>
      <c r="I123" s="3311"/>
      <c r="AA123" s="684"/>
    </row>
    <row r="124" spans="1:27" ht="18.75" customHeight="1">
      <c r="A124" s="3300" t="str">
        <f>IF(项目基本情况!B9="房地产市场价值","",MID(E109,3,LEN(E109)-2))</f>
        <v/>
      </c>
      <c r="B124" s="3300"/>
      <c r="C124" s="3300"/>
      <c r="D124" s="3333" t="str">
        <f>H109</f>
        <v>——</v>
      </c>
      <c r="E124" s="3334"/>
      <c r="F124" s="3334"/>
      <c r="G124" s="3334"/>
      <c r="H124" s="3334"/>
      <c r="I124" s="3335"/>
      <c r="AA124" s="684"/>
    </row>
    <row r="125" spans="1:27" ht="18.75" customHeight="1">
      <c r="A125" s="3269" t="s">
        <v>1452</v>
      </c>
      <c r="B125" s="3269"/>
      <c r="C125" s="3269"/>
      <c r="D125" s="3309" t="e">
        <f>NUMBERSTRING(INT(D124*10000),2)&amp;"元整"</f>
        <v>#VALUE!</v>
      </c>
      <c r="E125" s="3310"/>
      <c r="F125" s="3310"/>
      <c r="G125" s="3310"/>
      <c r="H125" s="3310"/>
      <c r="I125" s="3311"/>
      <c r="AA125" s="684"/>
    </row>
    <row r="126" spans="1:27" ht="18.75" customHeight="1">
      <c r="A126" s="3300" t="str">
        <f>IF(项目基本情况!B9="房地产市场价值","",MID(E111,3,LEN(E111)-2))</f>
        <v/>
      </c>
      <c r="B126" s="3300"/>
      <c r="C126" s="3300"/>
      <c r="D126" s="3333" t="str">
        <f>H111</f>
        <v>——</v>
      </c>
      <c r="E126" s="3334"/>
      <c r="F126" s="3334"/>
      <c r="G126" s="3334"/>
      <c r="H126" s="3334"/>
      <c r="I126" s="3335"/>
      <c r="AA126" s="684"/>
    </row>
    <row r="127" spans="1:27" ht="18.75" customHeight="1">
      <c r="A127" s="3269" t="s">
        <v>1452</v>
      </c>
      <c r="B127" s="3269"/>
      <c r="C127" s="3269"/>
      <c r="D127" s="3309" t="e">
        <f>NUMBERSTRING(INT(D126*10000),2)&amp;"元整"</f>
        <v>#VALUE!</v>
      </c>
      <c r="E127" s="3310"/>
      <c r="F127" s="3310"/>
      <c r="G127" s="3310"/>
      <c r="H127" s="3310"/>
      <c r="I127" s="3311"/>
      <c r="AA127" s="684"/>
    </row>
    <row r="128" spans="1:27" ht="21.75" customHeight="1">
      <c r="A128" s="3316" t="s">
        <v>1453</v>
      </c>
      <c r="B128" s="3316"/>
      <c r="C128" s="3316"/>
      <c r="D128" s="3316"/>
      <c r="E128" s="3316"/>
      <c r="F128" s="3316"/>
      <c r="G128" s="3316"/>
      <c r="H128" s="3316"/>
      <c r="I128" s="331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91.09</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91.09</v>
      </c>
      <c r="E19" s="203">
        <f>'数据-取费表'!B31</f>
        <v>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5.67E-2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26</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1</v>
      </c>
      <c r="D36" s="212"/>
      <c r="E36" s="212"/>
      <c r="F36" s="251">
        <f>'数据-取费表'!B34</f>
        <v>0.03</v>
      </c>
      <c r="G36" s="252" t="s">
        <v>1530</v>
      </c>
    </row>
    <row r="37" spans="1:7" s="250" customFormat="1" ht="13.5" customHeight="1">
      <c r="A37" s="734" t="s">
        <v>353</v>
      </c>
      <c r="B37" s="207" t="s">
        <v>1531</v>
      </c>
      <c r="C37" s="241">
        <f ca="1">ROUND(E37*D37*F34/10000,0)</f>
        <v>1</v>
      </c>
      <c r="D37" s="209">
        <f ca="1">D19</f>
        <v>91.09</v>
      </c>
      <c r="E37" s="241">
        <f>'数据-取费表'!B35</f>
        <v>150</v>
      </c>
      <c r="F37" s="251"/>
      <c r="G37" s="253" t="s">
        <v>1532</v>
      </c>
    </row>
    <row r="38" spans="1:7" ht="13.5" customHeight="1">
      <c r="A38" s="734" t="s">
        <v>354</v>
      </c>
      <c r="B38" s="207" t="s">
        <v>1533</v>
      </c>
      <c r="C38" s="212">
        <f ca="1">ROUND(C34*F38,0)</f>
        <v>0</v>
      </c>
      <c r="D38" s="212"/>
      <c r="E38" s="212"/>
      <c r="F38" s="251">
        <f>'数据-取费表'!B36</f>
        <v>1.4999999999999999E-2</v>
      </c>
      <c r="G38" s="211" t="s">
        <v>1528</v>
      </c>
    </row>
    <row r="39" spans="1:7" s="206" customFormat="1" ht="13.5" customHeight="1">
      <c r="A39" s="247" t="s">
        <v>1534</v>
      </c>
      <c r="B39" s="202" t="s">
        <v>1535</v>
      </c>
      <c r="C39" s="224">
        <f ca="1">ROUND(C33*F20,0)</f>
        <v>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5.9999999999999995E-4</v>
      </c>
      <c r="E41" s="228" t="s">
        <v>1539</v>
      </c>
      <c r="F41" s="229">
        <f ca="1">F22</f>
        <v>5.67E-2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49" t="s">
        <v>1544</v>
      </c>
    </row>
    <row r="43" spans="1:7" ht="13.5" customHeight="1">
      <c r="A43" s="734" t="s">
        <v>347</v>
      </c>
      <c r="B43" s="207" t="s">
        <v>1545</v>
      </c>
      <c r="C43" s="230">
        <f ca="1">ROUND(IF('数据-取费表'!B22&lt;=1,C39*F22*'数据-取费表'!B21/2,C39*(POWER((1+F22),'数据-取费表'!B21/2)-1)),0)</f>
        <v>0</v>
      </c>
      <c r="D43" s="230"/>
      <c r="E43" s="230"/>
      <c r="F43" s="231"/>
      <c r="G43" s="3350"/>
    </row>
    <row r="44" spans="1:7" ht="13.5" customHeight="1">
      <c r="A44" s="734" t="s">
        <v>348</v>
      </c>
      <c r="B44" s="207" t="s">
        <v>1546</v>
      </c>
      <c r="C44" s="230">
        <f ca="1">ROUND(IF('数据-取费表'!B22&lt;=1,C40*F22*'数据-取费表'!B21/2,C40*(POWER((1+F22),'数据-取费表'!B21/2)-1)),4)</f>
        <v>5.9999999999999995E-4</v>
      </c>
      <c r="D44" s="230"/>
      <c r="E44" s="230"/>
      <c r="F44" s="231"/>
      <c r="G44" s="3351"/>
    </row>
    <row r="45" spans="1:7" s="206" customFormat="1" ht="13.5" customHeight="1">
      <c r="A45" s="247" t="s">
        <v>1547</v>
      </c>
      <c r="B45" s="236" t="s">
        <v>1513</v>
      </c>
      <c r="C45" s="237">
        <f ca="1">C46</f>
        <v>3</v>
      </c>
      <c r="D45" s="227">
        <f ca="1">C47</f>
        <v>1E-3</v>
      </c>
      <c r="E45" s="228" t="s">
        <v>1539</v>
      </c>
      <c r="F45" s="238">
        <f ca="1">F27</f>
        <v>0.1</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5.6000000000000001E-2</v>
      </c>
      <c r="D48" s="228" t="s">
        <v>1539</v>
      </c>
      <c r="E48" s="224"/>
      <c r="F48" s="229">
        <f>F30</f>
        <v>5.6000000000000001E-2</v>
      </c>
      <c r="G48" s="226" t="s">
        <v>1552</v>
      </c>
    </row>
    <row r="49" spans="1:7" ht="16.5" customHeight="1">
      <c r="A49" s="247" t="s">
        <v>1518</v>
      </c>
      <c r="B49" s="202" t="s">
        <v>1553</v>
      </c>
      <c r="C49" s="224">
        <f ca="1">ROUND((C33+C39+C41+C45)/(1-C40-D41-D45-C48),0)</f>
        <v>36</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34</v>
      </c>
      <c r="D51" s="224"/>
      <c r="E51" s="224"/>
      <c r="F51" s="256"/>
      <c r="G51" s="226" t="s">
        <v>1560</v>
      </c>
    </row>
    <row r="52" spans="1:7" s="200" customFormat="1" ht="16.5" thickBot="1">
      <c r="A52" s="257" t="s">
        <v>1561</v>
      </c>
      <c r="B52" s="258"/>
      <c r="C52" s="259">
        <f ca="1">C31+C51</f>
        <v>34</v>
      </c>
      <c r="D52" s="258"/>
      <c r="E52" s="258"/>
      <c r="F52" s="258"/>
      <c r="G52" s="260"/>
    </row>
    <row r="55" spans="1:7" ht="15">
      <c r="B55" s="262" t="s">
        <v>1562</v>
      </c>
      <c r="C55" s="263"/>
    </row>
    <row r="56" spans="1:7">
      <c r="B56" s="265" t="s">
        <v>802</v>
      </c>
      <c r="C56" s="267">
        <f ca="1">1-C57</f>
        <v>0</v>
      </c>
    </row>
    <row r="57" spans="1:7">
      <c r="B57" s="265" t="s">
        <v>803</v>
      </c>
      <c r="C57" s="266">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7" t="str">
        <f>项目基本情况!B1</f>
        <v>北京市房地产市场价值预评估</v>
      </c>
      <c r="C37" s="3167"/>
      <c r="D37" s="3167"/>
      <c r="E37" s="3167"/>
      <c r="F37" s="3167"/>
      <c r="G37" s="3167"/>
      <c r="H37" s="3167"/>
      <c r="I37" s="316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10" zoomScaleNormal="60" zoomScaleSheetLayoutView="100" workbookViewId="0">
      <selection activeCell="K43" sqref="K43"/>
    </sheetView>
  </sheetViews>
  <sheetFormatPr defaultColWidth="9" defaultRowHeight="14.25"/>
  <cols>
    <col min="1" max="1" width="10.5" style="347" customWidth="1"/>
    <col min="2" max="2" width="15.75" style="347" customWidth="1"/>
    <col min="3" max="3" width="19.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3390</v>
      </c>
      <c r="E1" s="3124" t="s">
        <v>3394</v>
      </c>
      <c r="F1" s="1735" t="s">
        <v>3395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f>IF(E1="项目模式",IF(C2="——",ROUND(C49*D3/10000,0),ROUND(C49*D3/10000,0)-D2),IF(E1="单套模式",IF(C2="——",ROUND(C49*D3/10000,4),ROUND(C49*D3/10000,4)-D2)))</f>
        <v>74.566299999999998</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8186</v>
      </c>
      <c r="C3" s="344" t="s">
        <v>1665</v>
      </c>
      <c r="D3" s="343">
        <f>IF(D1="",'数据-汇总表'!E3,SUMIF('数据-汇总表'!$C19:$C33,D1,'数据-汇总表'!$E19:$E33))</f>
        <v>91.09</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ht="15">
      <c r="A4" s="345" t="s">
        <v>1666</v>
      </c>
      <c r="B4" s="346"/>
      <c r="C4" s="3370" t="s">
        <v>1667</v>
      </c>
      <c r="D4" s="3371"/>
      <c r="E4" s="3372" t="s">
        <v>1668</v>
      </c>
      <c r="F4" s="3373"/>
      <c r="G4" s="3370" t="s">
        <v>1669</v>
      </c>
      <c r="H4" s="3371"/>
      <c r="I4" s="3370" t="s">
        <v>1670</v>
      </c>
      <c r="J4" s="3371"/>
      <c r="K4" s="1744" t="s">
        <v>1671</v>
      </c>
      <c r="L4" s="2486"/>
      <c r="M4" s="2487"/>
      <c r="N4" s="2487"/>
      <c r="O4" s="2487"/>
      <c r="P4" s="3374" t="s">
        <v>1672</v>
      </c>
      <c r="Q4" s="3375"/>
      <c r="R4" s="3380" t="s">
        <v>1668</v>
      </c>
      <c r="S4" s="3381"/>
      <c r="T4" s="3380" t="s">
        <v>1669</v>
      </c>
      <c r="U4" s="3381"/>
      <c r="V4" s="3356" t="s">
        <v>1670</v>
      </c>
      <c r="W4" s="3356"/>
      <c r="X4" s="1265"/>
      <c r="Y4" s="3380" t="s">
        <v>1672</v>
      </c>
      <c r="Z4" s="3381"/>
      <c r="AA4" s="3367" t="s">
        <v>1668</v>
      </c>
      <c r="AB4" s="3367" t="s">
        <v>1669</v>
      </c>
      <c r="AC4" s="3367" t="s">
        <v>1670</v>
      </c>
    </row>
    <row r="5" spans="1:29" ht="15">
      <c r="A5" s="348"/>
      <c r="B5" s="349"/>
      <c r="C5" s="3393" t="s">
        <v>3549</v>
      </c>
      <c r="D5" s="3394"/>
      <c r="E5" s="3388" t="str">
        <f>案例!G8</f>
        <v>望园东里</v>
      </c>
      <c r="F5" s="3389"/>
      <c r="G5" s="3388" t="str">
        <f>案例!G11</f>
        <v>望园东里</v>
      </c>
      <c r="H5" s="3389"/>
      <c r="I5" s="3388" t="str">
        <f>案例!G29</f>
        <v>望园东里</v>
      </c>
      <c r="J5" s="3389"/>
      <c r="K5" s="1745"/>
      <c r="L5" s="2486"/>
      <c r="M5" s="2487"/>
      <c r="N5" s="2487"/>
      <c r="O5" s="2487"/>
      <c r="P5" s="3376"/>
      <c r="Q5" s="3377"/>
      <c r="R5" s="3382"/>
      <c r="S5" s="3383"/>
      <c r="T5" s="3382"/>
      <c r="U5" s="3383"/>
      <c r="V5" s="3356"/>
      <c r="W5" s="3356"/>
      <c r="X5" s="1265"/>
      <c r="Y5" s="3382"/>
      <c r="Z5" s="3383"/>
      <c r="AA5" s="3368"/>
      <c r="AB5" s="3368"/>
      <c r="AC5" s="3368"/>
    </row>
    <row r="6" spans="1:29" ht="15.75" thickBot="1">
      <c r="A6" s="350"/>
      <c r="B6" s="351"/>
      <c r="C6" s="3386" t="s">
        <v>1677</v>
      </c>
      <c r="D6" s="3387"/>
      <c r="E6" s="3395" t="s">
        <v>1677</v>
      </c>
      <c r="F6" s="3396"/>
      <c r="G6" s="3386" t="s">
        <v>1677</v>
      </c>
      <c r="H6" s="3387"/>
      <c r="I6" s="3386" t="s">
        <v>1677</v>
      </c>
      <c r="J6" s="3387"/>
      <c r="K6" s="1745" t="s">
        <v>1678</v>
      </c>
      <c r="L6" s="2486"/>
      <c r="M6" s="2487"/>
      <c r="N6" s="2487"/>
      <c r="O6" s="2487"/>
      <c r="P6" s="3378"/>
      <c r="Q6" s="3379"/>
      <c r="R6" s="3382"/>
      <c r="S6" s="3383"/>
      <c r="T6" s="3384"/>
      <c r="U6" s="3385"/>
      <c r="V6" s="3356"/>
      <c r="W6" s="3356"/>
      <c r="X6" s="1265"/>
      <c r="Y6" s="3384"/>
      <c r="Z6" s="3385"/>
      <c r="AA6" s="3369"/>
      <c r="AB6" s="3369"/>
      <c r="AC6" s="3369"/>
    </row>
    <row r="7" spans="1:29" s="102" customFormat="1" ht="15.75" thickBot="1">
      <c r="A7" s="352" t="s">
        <v>1679</v>
      </c>
      <c r="B7" s="353"/>
      <c r="C7" s="354">
        <f>'数据-取费表'!B2</f>
        <v>39801</v>
      </c>
      <c r="D7" s="355">
        <v>100</v>
      </c>
      <c r="E7" s="356">
        <f>案例!U8</f>
        <v>39624</v>
      </c>
      <c r="F7" s="357">
        <f>SUMIF(58:58,YEAR(E7)&amp;"-"&amp;MONTH(E7),59:59)</f>
        <v>99</v>
      </c>
      <c r="G7" s="356">
        <f>案例!U12</f>
        <v>39696</v>
      </c>
      <c r="H7" s="355">
        <f>SUMIF(58:58,YEAR(G7)&amp;"-"&amp;MONTH(G7),59:59)</f>
        <v>99.5</v>
      </c>
      <c r="I7" s="356">
        <f>案例!U29</f>
        <v>39755</v>
      </c>
      <c r="J7" s="355">
        <f>SUMIF(58:58,YEAR(I7)&amp;"-"&amp;MONTH(I7),59:59)</f>
        <v>100</v>
      </c>
      <c r="K7" s="1746"/>
      <c r="L7" s="2488"/>
      <c r="M7" s="2439"/>
      <c r="N7" s="2439"/>
      <c r="O7" s="2439"/>
      <c r="P7" s="3390" t="s">
        <v>1680</v>
      </c>
      <c r="Q7" s="3392"/>
      <c r="R7" s="664" t="s">
        <v>20</v>
      </c>
      <c r="S7" s="665">
        <f t="shared" ref="S7:S15" si="0">F7</f>
        <v>99</v>
      </c>
      <c r="T7" s="664" t="s">
        <v>20</v>
      </c>
      <c r="U7" s="665">
        <f t="shared" ref="U7:U15" si="1">H7</f>
        <v>99.5</v>
      </c>
      <c r="V7" s="664" t="s">
        <v>20</v>
      </c>
      <c r="W7" s="665">
        <f t="shared" ref="W7:W15" si="2">J7</f>
        <v>100</v>
      </c>
      <c r="X7" s="666"/>
      <c r="Y7" s="3390" t="s">
        <v>1680</v>
      </c>
      <c r="Z7" s="3391"/>
      <c r="AA7" s="50">
        <f>D7/F7</f>
        <v>1.0101010101010102</v>
      </c>
      <c r="AB7" s="50">
        <f>D7/H7</f>
        <v>1.0050251256281406</v>
      </c>
      <c r="AC7" s="50">
        <f>D7/J7</f>
        <v>1</v>
      </c>
    </row>
    <row r="8" spans="1:29" s="102" customFormat="1" ht="15.75" thickBot="1">
      <c r="A8" s="352" t="s">
        <v>1681</v>
      </c>
      <c r="B8" s="353"/>
      <c r="C8" s="358" t="s">
        <v>3396</v>
      </c>
      <c r="D8" s="355">
        <v>100</v>
      </c>
      <c r="E8" s="1747" t="s">
        <v>3396</v>
      </c>
      <c r="F8" s="357">
        <f>SUMIF(61:61,E8,62:62)-SUMIF(61:61,C8,62:62)+100</f>
        <v>100</v>
      </c>
      <c r="G8" s="358" t="s">
        <v>3396</v>
      </c>
      <c r="H8" s="355">
        <f>SUMIF(61:61,G8,62:62)-SUMIF(61:61,C8,62:62)+100</f>
        <v>100</v>
      </c>
      <c r="I8" s="1747" t="s">
        <v>3396</v>
      </c>
      <c r="J8" s="355">
        <f>SUMIF(61:61,I8,62:62)-SUMIF(61:61,C8,62:62)+100</f>
        <v>100</v>
      </c>
      <c r="K8" s="1746"/>
      <c r="L8" s="2488"/>
      <c r="M8" s="2439"/>
      <c r="N8" s="2439"/>
      <c r="O8" s="2439"/>
      <c r="P8" s="3390" t="s">
        <v>1683</v>
      </c>
      <c r="Q8" s="3391"/>
      <c r="R8" s="664" t="s">
        <v>20</v>
      </c>
      <c r="S8" s="665">
        <f t="shared" si="0"/>
        <v>100</v>
      </c>
      <c r="T8" s="664" t="s">
        <v>20</v>
      </c>
      <c r="U8" s="665">
        <f t="shared" si="1"/>
        <v>100</v>
      </c>
      <c r="V8" s="664" t="s">
        <v>20</v>
      </c>
      <c r="W8" s="665">
        <f t="shared" si="2"/>
        <v>100</v>
      </c>
      <c r="X8" s="666"/>
      <c r="Y8" s="3390" t="s">
        <v>1683</v>
      </c>
      <c r="Z8" s="3391"/>
      <c r="AA8" s="50">
        <f t="shared" ref="AA8:AA19" si="3">D8/F8</f>
        <v>1</v>
      </c>
      <c r="AB8" s="50">
        <f t="shared" ref="AB8:AB19" si="4">D8/H8</f>
        <v>1</v>
      </c>
      <c r="AC8" s="50">
        <f t="shared" ref="AC8:AC19" si="5">D8/J8</f>
        <v>1</v>
      </c>
    </row>
    <row r="9" spans="1:29" s="102" customFormat="1">
      <c r="A9" s="359" t="s">
        <v>1684</v>
      </c>
      <c r="B9" s="60" t="s">
        <v>1685</v>
      </c>
      <c r="C9" s="3144" t="s">
        <v>3399</v>
      </c>
      <c r="D9" s="59">
        <v>100</v>
      </c>
      <c r="E9" s="361" t="s">
        <v>3390</v>
      </c>
      <c r="F9" s="60">
        <f>SUMIF(63:63,E9,64:64)-SUMIF(63:63,C9,64:64)+100</f>
        <v>100</v>
      </c>
      <c r="G9" s="362" t="s">
        <v>3390</v>
      </c>
      <c r="H9" s="59">
        <f>SUMIF(63:63,G9,64:64)-SUMIF(63:63,C9,64:64)+100</f>
        <v>100</v>
      </c>
      <c r="I9" s="362" t="s">
        <v>3390</v>
      </c>
      <c r="J9" s="59">
        <f>SUMIF(63:63,I9,64:64)-SUMIF(63:63,C9,64:64)+100</f>
        <v>100</v>
      </c>
      <c r="K9" s="1746"/>
      <c r="L9" s="2488"/>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366"/>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v>2</v>
      </c>
      <c r="D11" s="119">
        <v>100</v>
      </c>
      <c r="E11" s="369">
        <v>2</v>
      </c>
      <c r="F11" s="364">
        <f>LOOKUP(E11,68:68,69:69)-LOOKUP(C11,68:68,69:69)+100</f>
        <v>100</v>
      </c>
      <c r="G11" s="368">
        <v>2</v>
      </c>
      <c r="H11" s="119">
        <f>LOOKUP(G11,68:68,69:69)-LOOKUP(C11,68:68,69:69)+100</f>
        <v>100</v>
      </c>
      <c r="I11" s="368">
        <v>2</v>
      </c>
      <c r="J11" s="119">
        <f>LOOKUP(I11,68:68,69:69)-LOOKUP(C11,68:68,69:69)+100</f>
        <v>100</v>
      </c>
      <c r="K11" s="365"/>
      <c r="L11" s="2491"/>
      <c r="M11" s="2487"/>
      <c r="N11" s="2487"/>
      <c r="O11" s="2487"/>
      <c r="P11" s="3366"/>
      <c r="Q11" s="530" t="str">
        <f t="shared" si="6"/>
        <v>容积率</v>
      </c>
      <c r="R11" s="664" t="s">
        <v>18</v>
      </c>
      <c r="S11" s="665">
        <f t="shared" si="0"/>
        <v>100</v>
      </c>
      <c r="T11" s="664" t="s">
        <v>18</v>
      </c>
      <c r="U11" s="665">
        <f t="shared" si="1"/>
        <v>100</v>
      </c>
      <c r="V11" s="664" t="s">
        <v>18</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154" t="s">
        <v>3423</v>
      </c>
      <c r="D12" s="372">
        <v>100</v>
      </c>
      <c r="E12" s="3154" t="s">
        <v>3423</v>
      </c>
      <c r="F12" s="364">
        <f>SUMIF(70:70,E12,71:71)-SUMIF(70:70,C12,71:71)+100</f>
        <v>100</v>
      </c>
      <c r="G12" s="3154" t="s">
        <v>3423</v>
      </c>
      <c r="H12" s="119">
        <f>SUMIF(70:70,G12,71:71)-SUMIF(70:70,C12,71:71)+100</f>
        <v>100</v>
      </c>
      <c r="I12" s="3154" t="s">
        <v>3423</v>
      </c>
      <c r="J12" s="119">
        <f>SUMIF(70:70,I12,71:71)-SUMIF(70:70,C12,71:71)+100</f>
        <v>100</v>
      </c>
      <c r="K12" s="1748"/>
      <c r="L12" s="2488"/>
      <c r="M12" s="2439"/>
      <c r="N12" s="2439"/>
      <c r="O12" s="2439"/>
      <c r="P12" s="3366"/>
      <c r="Q12" s="530">
        <f t="shared" si="6"/>
        <v>111</v>
      </c>
      <c r="R12" s="664" t="s">
        <v>18</v>
      </c>
      <c r="S12" s="665">
        <f t="shared" si="0"/>
        <v>100</v>
      </c>
      <c r="T12" s="664" t="s">
        <v>18</v>
      </c>
      <c r="U12" s="665">
        <f t="shared" si="1"/>
        <v>100</v>
      </c>
      <c r="V12" s="664" t="s">
        <v>18</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366"/>
      <c r="Q13" s="530">
        <f t="shared" si="6"/>
        <v>111</v>
      </c>
      <c r="R13" s="664" t="s">
        <v>18</v>
      </c>
      <c r="S13" s="665">
        <f t="shared" si="0"/>
        <v>100</v>
      </c>
      <c r="T13" s="664" t="s">
        <v>18</v>
      </c>
      <c r="U13" s="665">
        <f t="shared" si="1"/>
        <v>100</v>
      </c>
      <c r="V13" s="664" t="s">
        <v>18</v>
      </c>
      <c r="W13" s="665">
        <f t="shared" si="2"/>
        <v>100</v>
      </c>
      <c r="X13" s="666"/>
      <c r="Y13" s="3256"/>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366"/>
      <c r="Q14" s="530">
        <f t="shared" si="6"/>
        <v>111</v>
      </c>
      <c r="R14" s="664" t="s">
        <v>18</v>
      </c>
      <c r="S14" s="665">
        <f t="shared" si="0"/>
        <v>100</v>
      </c>
      <c r="T14" s="664" t="s">
        <v>18</v>
      </c>
      <c r="U14" s="665">
        <f t="shared" si="1"/>
        <v>100</v>
      </c>
      <c r="V14" s="664" t="s">
        <v>18</v>
      </c>
      <c r="W14" s="665">
        <f t="shared" si="2"/>
        <v>100</v>
      </c>
      <c r="X14" s="666"/>
      <c r="Y14" s="3256"/>
      <c r="Z14" s="50">
        <f t="shared" si="7"/>
        <v>111</v>
      </c>
      <c r="AA14" s="50">
        <f t="shared" si="3"/>
        <v>1</v>
      </c>
      <c r="AB14" s="50">
        <f t="shared" si="4"/>
        <v>1</v>
      </c>
      <c r="AC14" s="50">
        <f t="shared" si="5"/>
        <v>1</v>
      </c>
    </row>
    <row r="15" spans="1:29" ht="71.2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64" t="s">
        <v>1691</v>
      </c>
      <c r="Q15" s="1263" t="str">
        <f t="shared" si="6"/>
        <v>居住社区成熟度</v>
      </c>
      <c r="R15" s="667" t="s">
        <v>18</v>
      </c>
      <c r="S15" s="668">
        <f t="shared" si="0"/>
        <v>100</v>
      </c>
      <c r="T15" s="667" t="s">
        <v>18</v>
      </c>
      <c r="U15" s="668">
        <f t="shared" si="1"/>
        <v>100</v>
      </c>
      <c r="V15" s="667" t="s">
        <v>18</v>
      </c>
      <c r="W15" s="668">
        <f t="shared" si="2"/>
        <v>100</v>
      </c>
      <c r="X15" s="1265"/>
      <c r="Y15" s="3357" t="s">
        <v>1691</v>
      </c>
      <c r="Z15" s="1264" t="str">
        <f t="shared" si="7"/>
        <v>居住社区成熟度</v>
      </c>
      <c r="AA15" s="1264">
        <f t="shared" si="3"/>
        <v>1</v>
      </c>
      <c r="AB15" s="1264">
        <f t="shared" si="4"/>
        <v>1</v>
      </c>
      <c r="AC15" s="1264">
        <f t="shared" si="5"/>
        <v>1</v>
      </c>
    </row>
    <row r="16" spans="1:29" ht="15">
      <c r="A16" s="367"/>
      <c r="B16" s="385"/>
      <c r="C16" s="386" t="s">
        <v>3561</v>
      </c>
      <c r="D16" s="387"/>
      <c r="E16" s="386" t="s">
        <v>3561</v>
      </c>
      <c r="F16" s="387"/>
      <c r="G16" s="386" t="s">
        <v>3561</v>
      </c>
      <c r="H16" s="389"/>
      <c r="I16" s="386" t="s">
        <v>3561</v>
      </c>
      <c r="J16" s="387"/>
      <c r="K16" s="1753"/>
      <c r="L16" s="2492"/>
      <c r="M16" s="2487"/>
      <c r="N16" s="2487"/>
      <c r="O16" s="2487"/>
      <c r="P16" s="3365"/>
      <c r="Q16" s="1263"/>
      <c r="R16" s="667"/>
      <c r="S16" s="668"/>
      <c r="T16" s="667"/>
      <c r="U16" s="668"/>
      <c r="V16" s="667"/>
      <c r="W16" s="668"/>
      <c r="X16" s="1265"/>
      <c r="Y16" s="3358"/>
      <c r="Z16" s="1264"/>
      <c r="AA16" s="1264">
        <v>1</v>
      </c>
      <c r="AB16" s="1264">
        <v>1</v>
      </c>
      <c r="AC16" s="1264">
        <v>1</v>
      </c>
    </row>
    <row r="17" spans="1:29" ht="57">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65"/>
      <c r="Q17" s="1263" t="str">
        <f>B17</f>
        <v>交通便捷度</v>
      </c>
      <c r="R17" s="667" t="s">
        <v>18</v>
      </c>
      <c r="S17" s="668">
        <f>F17</f>
        <v>100</v>
      </c>
      <c r="T17" s="667" t="s">
        <v>18</v>
      </c>
      <c r="U17" s="668">
        <f>H17</f>
        <v>100</v>
      </c>
      <c r="V17" s="667" t="s">
        <v>18</v>
      </c>
      <c r="W17" s="668">
        <f>J17</f>
        <v>100</v>
      </c>
      <c r="X17" s="1265"/>
      <c r="Y17" s="335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2"/>
      <c r="M18" s="2487"/>
      <c r="N18" s="2487"/>
      <c r="O18" s="2487"/>
      <c r="P18" s="3365"/>
      <c r="Q18" s="1263"/>
      <c r="R18" s="667"/>
      <c r="S18" s="668"/>
      <c r="T18" s="667"/>
      <c r="U18" s="668"/>
      <c r="V18" s="667"/>
      <c r="W18" s="668"/>
      <c r="X18" s="1265"/>
      <c r="Y18" s="3358"/>
      <c r="Z18" s="1264"/>
      <c r="AA18" s="1264">
        <v>1</v>
      </c>
      <c r="AB18" s="1264">
        <v>1</v>
      </c>
      <c r="AC18" s="1264">
        <v>1</v>
      </c>
    </row>
    <row r="19" spans="1:29" ht="28.5">
      <c r="A19" s="367"/>
      <c r="B19" s="390" t="s">
        <v>1258</v>
      </c>
      <c r="C19" s="1754" t="str">
        <f>估价对象房地状况!C7</f>
        <v>估价对象所在区域公共配套设施齐备情况</v>
      </c>
      <c r="D19" s="394">
        <v>100</v>
      </c>
      <c r="E19" s="398"/>
      <c r="F19" s="394">
        <f>SUMIF(80:80,E20,81:81)-SUMIF(80:80,C20,81:81)+100</f>
        <v>103</v>
      </c>
      <c r="G19" s="396"/>
      <c r="H19" s="389">
        <f>SUMIF(80:80,G20,81:81)-SUMIF(80:80,C20,81:81)+100</f>
        <v>103</v>
      </c>
      <c r="I19" s="396"/>
      <c r="J19" s="389">
        <f>SUMIF(80:80,I20,81:81)-SUMIF(80:80,C20,81:81)+100</f>
        <v>103</v>
      </c>
      <c r="K19" s="384">
        <v>3</v>
      </c>
      <c r="L19" s="2492"/>
      <c r="M19" s="2487"/>
      <c r="N19" s="2487"/>
      <c r="O19" s="2487"/>
      <c r="P19" s="3365"/>
      <c r="Q19" s="1263" t="str">
        <f>B19</f>
        <v>公共配套设施</v>
      </c>
      <c r="R19" s="667" t="s">
        <v>18</v>
      </c>
      <c r="S19" s="668">
        <f>F19</f>
        <v>103</v>
      </c>
      <c r="T19" s="667" t="s">
        <v>18</v>
      </c>
      <c r="U19" s="668">
        <f>H19</f>
        <v>103</v>
      </c>
      <c r="V19" s="667" t="s">
        <v>18</v>
      </c>
      <c r="W19" s="668">
        <f>J19</f>
        <v>103</v>
      </c>
      <c r="X19" s="1265"/>
      <c r="Y19" s="3358"/>
      <c r="Z19" s="1264" t="str">
        <f>Q19</f>
        <v>公共配套设施</v>
      </c>
      <c r="AA19" s="1264">
        <f t="shared" si="3"/>
        <v>0.970873786407767</v>
      </c>
      <c r="AB19" s="1264">
        <f t="shared" si="4"/>
        <v>0.970873786407767</v>
      </c>
      <c r="AC19" s="1264">
        <f t="shared" si="5"/>
        <v>0.970873786407767</v>
      </c>
    </row>
    <row r="20" spans="1:29" ht="15">
      <c r="A20" s="367"/>
      <c r="B20" s="395"/>
      <c r="C20" s="386" t="s">
        <v>3560</v>
      </c>
      <c r="D20" s="387"/>
      <c r="E20" s="1751" t="s">
        <v>3561</v>
      </c>
      <c r="F20" s="387"/>
      <c r="G20" s="1751" t="s">
        <v>3561</v>
      </c>
      <c r="H20" s="387"/>
      <c r="I20" s="1751" t="s">
        <v>3561</v>
      </c>
      <c r="J20" s="387"/>
      <c r="K20" s="1753"/>
      <c r="L20" s="2492"/>
      <c r="M20" s="2487"/>
      <c r="N20" s="2487"/>
      <c r="O20" s="2487"/>
      <c r="P20" s="3365"/>
      <c r="Q20" s="1263"/>
      <c r="R20" s="667"/>
      <c r="S20" s="668"/>
      <c r="T20" s="667"/>
      <c r="U20" s="668"/>
      <c r="V20" s="667"/>
      <c r="W20" s="668"/>
      <c r="X20" s="1265"/>
      <c r="Y20" s="335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65"/>
      <c r="Q21" s="1263" t="str">
        <f>B21</f>
        <v>基础设施水平</v>
      </c>
      <c r="R21" s="667" t="s">
        <v>14</v>
      </c>
      <c r="S21" s="668">
        <f>F21</f>
        <v>100</v>
      </c>
      <c r="T21" s="667" t="s">
        <v>14</v>
      </c>
      <c r="U21" s="668">
        <f>H21</f>
        <v>100</v>
      </c>
      <c r="V21" s="667" t="s">
        <v>14</v>
      </c>
      <c r="W21" s="668">
        <f>J21</f>
        <v>100</v>
      </c>
      <c r="X21" s="1265"/>
      <c r="Y21" s="335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2"/>
      <c r="M22" s="2487"/>
      <c r="N22" s="2487"/>
      <c r="O22" s="2487"/>
      <c r="P22" s="3365"/>
      <c r="Q22" s="1263"/>
      <c r="R22" s="667"/>
      <c r="S22" s="668"/>
      <c r="T22" s="667"/>
      <c r="U22" s="668"/>
      <c r="V22" s="667"/>
      <c r="W22" s="668"/>
      <c r="X22" s="1265"/>
      <c r="Y22" s="335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65"/>
      <c r="Q23" s="1263" t="str">
        <f>B23</f>
        <v>自然及人文环境</v>
      </c>
      <c r="R23" s="667" t="s">
        <v>18</v>
      </c>
      <c r="S23" s="668">
        <f>F23</f>
        <v>100</v>
      </c>
      <c r="T23" s="667" t="s">
        <v>18</v>
      </c>
      <c r="U23" s="668">
        <f>H23</f>
        <v>100</v>
      </c>
      <c r="V23" s="667" t="s">
        <v>18</v>
      </c>
      <c r="W23" s="668">
        <f>J23</f>
        <v>100</v>
      </c>
      <c r="X23" s="1265"/>
      <c r="Y23" s="3358"/>
      <c r="Z23" s="1264" t="str">
        <f>Q23</f>
        <v>自然及人文环境</v>
      </c>
      <c r="AA23" s="1264">
        <f>D23/F23</f>
        <v>1</v>
      </c>
      <c r="AB23" s="1264">
        <f>D23/H23</f>
        <v>1</v>
      </c>
      <c r="AC23" s="1264">
        <f>D23/J23</f>
        <v>1</v>
      </c>
    </row>
    <row r="24" spans="1:29" ht="15">
      <c r="A24" s="367"/>
      <c r="B24" s="395"/>
      <c r="C24" s="386" t="s">
        <v>3561</v>
      </c>
      <c r="D24" s="387"/>
      <c r="E24" s="386" t="s">
        <v>3561</v>
      </c>
      <c r="F24" s="387"/>
      <c r="G24" s="386" t="s">
        <v>3561</v>
      </c>
      <c r="H24" s="387"/>
      <c r="I24" s="386" t="s">
        <v>3561</v>
      </c>
      <c r="J24" s="387"/>
      <c r="K24" s="1753"/>
      <c r="L24" s="2492"/>
      <c r="M24" s="2487"/>
      <c r="N24" s="2487"/>
      <c r="O24" s="2487"/>
      <c r="P24" s="3365"/>
      <c r="Q24" s="1263"/>
      <c r="R24" s="667"/>
      <c r="S24" s="668"/>
      <c r="T24" s="667"/>
      <c r="U24" s="668"/>
      <c r="V24" s="667"/>
      <c r="W24" s="668"/>
      <c r="X24" s="1265"/>
      <c r="Y24" s="335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36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58"/>
      <c r="Z25" s="1264" t="str">
        <f>Q25</f>
        <v>楼层-1</v>
      </c>
      <c r="AA25" s="1264">
        <f t="shared" ref="AA25:AA46" si="15">D25/F25</f>
        <v>1</v>
      </c>
      <c r="AB25" s="1264">
        <f t="shared" ref="AB25:AB46" si="16">D25/H25</f>
        <v>1</v>
      </c>
      <c r="AC25" s="1264">
        <f t="shared" ref="AC25:AC46" si="17">D25/J25</f>
        <v>1</v>
      </c>
    </row>
    <row r="26" spans="1:29" ht="15">
      <c r="A26" s="367"/>
      <c r="B26" s="364" t="s">
        <v>1693</v>
      </c>
      <c r="C26" s="399" t="s">
        <v>3550</v>
      </c>
      <c r="D26" s="374">
        <v>100</v>
      </c>
      <c r="E26" s="1760" t="s">
        <v>3410</v>
      </c>
      <c r="F26" s="374">
        <f>SUMIF(88:88,E26,89:89)-SUMIF(88:88,C26,89:89)+100</f>
        <v>106</v>
      </c>
      <c r="G26" s="1761" t="s">
        <v>3564</v>
      </c>
      <c r="H26" s="374">
        <f>SUMIF(88:88,G26,89:89)-SUMIF(88:88,C26,89:89)+100</f>
        <v>98</v>
      </c>
      <c r="I26" s="1761" t="s">
        <v>3551</v>
      </c>
      <c r="J26" s="374">
        <f>SUMIF(88:88,I26,89:89)-SUMIF(88:88,C26,89:89)+100</f>
        <v>104</v>
      </c>
      <c r="K26" s="365">
        <v>2</v>
      </c>
      <c r="L26" s="2492"/>
      <c r="M26" s="2487"/>
      <c r="N26" s="2487"/>
      <c r="O26" s="2487"/>
      <c r="P26" s="3365"/>
      <c r="Q26" s="1263" t="str">
        <f t="shared" si="11"/>
        <v>朝向</v>
      </c>
      <c r="R26" s="667" t="s">
        <v>18</v>
      </c>
      <c r="S26" s="668">
        <f t="shared" si="12"/>
        <v>106</v>
      </c>
      <c r="T26" s="667" t="s">
        <v>18</v>
      </c>
      <c r="U26" s="668">
        <f t="shared" si="13"/>
        <v>98</v>
      </c>
      <c r="V26" s="667" t="s">
        <v>18</v>
      </c>
      <c r="W26" s="668">
        <f t="shared" si="14"/>
        <v>104</v>
      </c>
      <c r="X26" s="1265"/>
      <c r="Y26" s="3358"/>
      <c r="Z26" s="1264" t="str">
        <f>Q26</f>
        <v>朝向</v>
      </c>
      <c r="AA26" s="1264">
        <f t="shared" si="15"/>
        <v>0.94339622641509435</v>
      </c>
      <c r="AB26" s="1264">
        <f t="shared" si="16"/>
        <v>1.0204081632653061</v>
      </c>
      <c r="AC26" s="1264">
        <f t="shared" si="17"/>
        <v>0.96153846153846156</v>
      </c>
    </row>
    <row r="27" spans="1:29" s="102" customFormat="1" ht="15">
      <c r="A27" s="370"/>
      <c r="B27" s="3148" t="s">
        <v>3419</v>
      </c>
      <c r="C27" s="403" t="s">
        <v>3556</v>
      </c>
      <c r="D27" s="401">
        <v>100</v>
      </c>
      <c r="E27" s="403" t="str">
        <f>案例!W8</f>
        <v>2/24</v>
      </c>
      <c r="F27" s="401">
        <f>SUMIF(90:90,E27,91:91)-SUMIF(90:90,C27,91:91)+100</f>
        <v>99</v>
      </c>
      <c r="G27" s="402" t="str">
        <f>案例!W12</f>
        <v>19/24</v>
      </c>
      <c r="H27" s="401">
        <f>SUMIF(90:90,G27,91:91)-SUMIF(90:90,C27,91:91)+100</f>
        <v>101</v>
      </c>
      <c r="I27" s="402" t="str">
        <f>案例!W29</f>
        <v>21/24</v>
      </c>
      <c r="J27" s="401">
        <f>SUMIF(90:90,I27,91:91)-SUMIF(90:90,C27,91:91)+100</f>
        <v>101</v>
      </c>
      <c r="K27" s="1748"/>
      <c r="L27" s="2488"/>
      <c r="M27" s="2439"/>
      <c r="N27" s="2439"/>
      <c r="O27" s="2439"/>
      <c r="P27" s="3365"/>
      <c r="Q27" s="530" t="str">
        <f t="shared" si="11"/>
        <v>楼层</v>
      </c>
      <c r="R27" s="664" t="s">
        <v>18</v>
      </c>
      <c r="S27" s="665">
        <f t="shared" si="12"/>
        <v>99</v>
      </c>
      <c r="T27" s="664" t="s">
        <v>18</v>
      </c>
      <c r="U27" s="665">
        <f t="shared" si="13"/>
        <v>101</v>
      </c>
      <c r="V27" s="664" t="s">
        <v>18</v>
      </c>
      <c r="W27" s="665">
        <f t="shared" si="14"/>
        <v>101</v>
      </c>
      <c r="X27" s="666"/>
      <c r="Y27" s="3358"/>
      <c r="Z27" s="50" t="str">
        <f>Q27</f>
        <v>楼层</v>
      </c>
      <c r="AA27" s="1264">
        <f t="shared" si="15"/>
        <v>1.0101010101010102</v>
      </c>
      <c r="AB27" s="1264">
        <f t="shared" si="16"/>
        <v>0.99009900990099009</v>
      </c>
      <c r="AC27" s="1264">
        <f t="shared" si="17"/>
        <v>0.99009900990099009</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365"/>
      <c r="Q28" s="1263">
        <f t="shared" si="11"/>
        <v>111</v>
      </c>
      <c r="R28" s="667" t="s">
        <v>18</v>
      </c>
      <c r="S28" s="668">
        <f t="shared" si="12"/>
        <v>100</v>
      </c>
      <c r="T28" s="667" t="s">
        <v>18</v>
      </c>
      <c r="U28" s="668">
        <f t="shared" si="13"/>
        <v>100</v>
      </c>
      <c r="V28" s="667" t="s">
        <v>18</v>
      </c>
      <c r="W28" s="668">
        <f t="shared" si="14"/>
        <v>100</v>
      </c>
      <c r="X28" s="1265"/>
      <c r="Y28" s="335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365"/>
      <c r="Q29" s="1263">
        <f t="shared" si="11"/>
        <v>111</v>
      </c>
      <c r="R29" s="667" t="s">
        <v>18</v>
      </c>
      <c r="S29" s="668">
        <f t="shared" si="12"/>
        <v>100</v>
      </c>
      <c r="T29" s="667" t="s">
        <v>18</v>
      </c>
      <c r="U29" s="668">
        <f t="shared" si="13"/>
        <v>100</v>
      </c>
      <c r="V29" s="667" t="s">
        <v>18</v>
      </c>
      <c r="W29" s="668">
        <f t="shared" si="14"/>
        <v>100</v>
      </c>
      <c r="X29" s="1265"/>
      <c r="Y29" s="335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365"/>
      <c r="Q30" s="1263">
        <f t="shared" si="11"/>
        <v>111</v>
      </c>
      <c r="R30" s="667" t="s">
        <v>18</v>
      </c>
      <c r="S30" s="668">
        <f t="shared" si="12"/>
        <v>100</v>
      </c>
      <c r="T30" s="667" t="s">
        <v>18</v>
      </c>
      <c r="U30" s="668">
        <f t="shared" si="13"/>
        <v>100</v>
      </c>
      <c r="V30" s="667" t="s">
        <v>18</v>
      </c>
      <c r="W30" s="668">
        <f t="shared" si="14"/>
        <v>100</v>
      </c>
      <c r="X30" s="1265"/>
      <c r="Y30" s="335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365"/>
      <c r="Q31" s="1263">
        <f t="shared" si="11"/>
        <v>111</v>
      </c>
      <c r="R31" s="667" t="s">
        <v>18</v>
      </c>
      <c r="S31" s="668">
        <f t="shared" si="12"/>
        <v>100</v>
      </c>
      <c r="T31" s="667" t="s">
        <v>18</v>
      </c>
      <c r="U31" s="668">
        <f t="shared" si="13"/>
        <v>100</v>
      </c>
      <c r="V31" s="667" t="s">
        <v>18</v>
      </c>
      <c r="W31" s="668">
        <f t="shared" si="14"/>
        <v>100</v>
      </c>
      <c r="X31" s="1265"/>
      <c r="Y31" s="3358"/>
      <c r="Z31" s="1264">
        <f t="shared" si="18"/>
        <v>111</v>
      </c>
      <c r="AA31" s="1264">
        <f t="shared" si="15"/>
        <v>1</v>
      </c>
      <c r="AB31" s="1264">
        <f t="shared" si="16"/>
        <v>1</v>
      </c>
      <c r="AC31" s="1264">
        <f t="shared" si="17"/>
        <v>1</v>
      </c>
    </row>
    <row r="32" spans="1:29" ht="15">
      <c r="A32" s="379" t="s">
        <v>1694</v>
      </c>
      <c r="B32" s="60" t="s">
        <v>1695</v>
      </c>
      <c r="C32" s="1764" t="s">
        <v>3420</v>
      </c>
      <c r="D32" s="405">
        <v>100</v>
      </c>
      <c r="E32" s="1765" t="s">
        <v>3420</v>
      </c>
      <c r="F32" s="400">
        <f>SUMIF(100:100,E32,101:101)-SUMIF(100:100,C32,101:101)+100</f>
        <v>100</v>
      </c>
      <c r="G32" s="1764" t="s">
        <v>3420</v>
      </c>
      <c r="H32" s="405">
        <f>SUMIF(100:100,G32,101:101)-SUMIF(100:100,C32,101:101)+100</f>
        <v>100</v>
      </c>
      <c r="I32" s="1764" t="s">
        <v>3420</v>
      </c>
      <c r="J32" s="374">
        <f>SUMIF(100:100,I32,101:101)-SUMIF(100:100,C32,101:101)+100</f>
        <v>100</v>
      </c>
      <c r="K32" s="365">
        <v>1</v>
      </c>
      <c r="L32" s="2492"/>
      <c r="M32" s="2487"/>
      <c r="N32" s="2487"/>
      <c r="O32" s="2487"/>
      <c r="P32" s="3359" t="s">
        <v>1696</v>
      </c>
      <c r="Q32" s="1263" t="str">
        <f t="shared" si="11"/>
        <v>建筑类型</v>
      </c>
      <c r="R32" s="667" t="s">
        <v>18</v>
      </c>
      <c r="S32" s="668">
        <f t="shared" si="12"/>
        <v>100</v>
      </c>
      <c r="T32" s="667" t="s">
        <v>18</v>
      </c>
      <c r="U32" s="668">
        <f t="shared" si="13"/>
        <v>100</v>
      </c>
      <c r="V32" s="667" t="s">
        <v>18</v>
      </c>
      <c r="W32" s="668">
        <f t="shared" si="14"/>
        <v>100</v>
      </c>
      <c r="X32" s="1265"/>
      <c r="Y32" s="3362" t="s">
        <v>1696</v>
      </c>
      <c r="Z32" s="1264" t="str">
        <f t="shared" si="18"/>
        <v>建筑类型</v>
      </c>
      <c r="AA32" s="1264">
        <f t="shared" si="15"/>
        <v>1</v>
      </c>
      <c r="AB32" s="1264">
        <f t="shared" si="16"/>
        <v>1</v>
      </c>
      <c r="AC32" s="1264">
        <f t="shared" si="17"/>
        <v>1</v>
      </c>
    </row>
    <row r="33" spans="1:29" s="408" customFormat="1" ht="15">
      <c r="A33" s="406"/>
      <c r="B33" s="364" t="s">
        <v>1697</v>
      </c>
      <c r="C33" s="407">
        <f>项目基本情况!C17</f>
        <v>91.09</v>
      </c>
      <c r="D33" s="119">
        <v>100</v>
      </c>
      <c r="E33" s="407">
        <f>案例!L8</f>
        <v>99.4</v>
      </c>
      <c r="F33" s="119">
        <f>LOOKUP(E33,103:103,104:104)-LOOKUP(C33,103:103,104:104)+100</f>
        <v>100</v>
      </c>
      <c r="G33" s="407">
        <f>案例!L10</f>
        <v>64.010000000000005</v>
      </c>
      <c r="H33" s="119">
        <f>LOOKUP(G33,103:103,104:104)-LOOKUP(C33,103:103,104:104)+100</f>
        <v>101</v>
      </c>
      <c r="I33" s="369">
        <f>案例!L29</f>
        <v>83.42</v>
      </c>
      <c r="J33" s="119">
        <f>LOOKUP(I33,103:103,104:104)-LOOKUP(C33,103:103,104:104)+100</f>
        <v>101</v>
      </c>
      <c r="K33" s="1748"/>
      <c r="L33" s="2491"/>
      <c r="M33" s="2493"/>
      <c r="N33" s="2493"/>
      <c r="O33" s="2493"/>
      <c r="P33" s="3360"/>
      <c r="Q33" s="531" t="str">
        <f t="shared" si="11"/>
        <v>项目建筑规模</v>
      </c>
      <c r="R33" s="669" t="s">
        <v>18</v>
      </c>
      <c r="S33" s="670">
        <f t="shared" si="12"/>
        <v>100</v>
      </c>
      <c r="T33" s="669" t="s">
        <v>18</v>
      </c>
      <c r="U33" s="670">
        <f t="shared" si="13"/>
        <v>101</v>
      </c>
      <c r="V33" s="669" t="s">
        <v>18</v>
      </c>
      <c r="W33" s="670">
        <f t="shared" si="14"/>
        <v>101</v>
      </c>
      <c r="X33" s="671"/>
      <c r="Y33" s="3362"/>
      <c r="Z33" s="672" t="str">
        <f t="shared" si="18"/>
        <v>项目建筑规模</v>
      </c>
      <c r="AA33" s="1264">
        <f t="shared" si="15"/>
        <v>1</v>
      </c>
      <c r="AB33" s="1264">
        <f t="shared" si="16"/>
        <v>0.99009900990099009</v>
      </c>
      <c r="AC33" s="1264">
        <f t="shared" si="17"/>
        <v>0.99009900990099009</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360"/>
      <c r="Q34" s="1263" t="str">
        <f t="shared" si="11"/>
        <v>建筑结构</v>
      </c>
      <c r="R34" s="667" t="s">
        <v>18</v>
      </c>
      <c r="S34" s="668">
        <f t="shared" si="12"/>
        <v>100</v>
      </c>
      <c r="T34" s="667" t="s">
        <v>18</v>
      </c>
      <c r="U34" s="668">
        <f t="shared" si="13"/>
        <v>100</v>
      </c>
      <c r="V34" s="667" t="s">
        <v>18</v>
      </c>
      <c r="W34" s="668">
        <f t="shared" si="14"/>
        <v>100</v>
      </c>
      <c r="X34" s="1265"/>
      <c r="Y34" s="336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360"/>
      <c r="Q35" s="1263" t="str">
        <f t="shared" si="11"/>
        <v>建筑品质</v>
      </c>
      <c r="R35" s="667" t="s">
        <v>18</v>
      </c>
      <c r="S35" s="668">
        <f t="shared" si="12"/>
        <v>100</v>
      </c>
      <c r="T35" s="667" t="s">
        <v>18</v>
      </c>
      <c r="U35" s="668">
        <f t="shared" si="13"/>
        <v>100</v>
      </c>
      <c r="V35" s="667" t="s">
        <v>18</v>
      </c>
      <c r="W35" s="668">
        <f t="shared" si="14"/>
        <v>100</v>
      </c>
      <c r="X35" s="1265"/>
      <c r="Y35" s="336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360"/>
      <c r="Q36" s="1263" t="str">
        <f t="shared" si="11"/>
        <v>公共部分装修</v>
      </c>
      <c r="R36" s="667" t="s">
        <v>18</v>
      </c>
      <c r="S36" s="668">
        <f t="shared" si="12"/>
        <v>100</v>
      </c>
      <c r="T36" s="667" t="s">
        <v>18</v>
      </c>
      <c r="U36" s="668">
        <f t="shared" si="13"/>
        <v>100</v>
      </c>
      <c r="V36" s="667" t="s">
        <v>18</v>
      </c>
      <c r="W36" s="668">
        <f t="shared" si="14"/>
        <v>100</v>
      </c>
      <c r="X36" s="1265"/>
      <c r="Y36" s="3362"/>
      <c r="Z36" s="1264" t="str">
        <f t="shared" si="18"/>
        <v>公共部分装修</v>
      </c>
      <c r="AA36" s="1264">
        <f t="shared" si="15"/>
        <v>1</v>
      </c>
      <c r="AB36" s="1264">
        <f t="shared" si="16"/>
        <v>1</v>
      </c>
      <c r="AC36" s="1264">
        <f t="shared" si="17"/>
        <v>1</v>
      </c>
    </row>
    <row r="37" spans="1:29" s="102" customFormat="1" ht="15">
      <c r="A37" s="410"/>
      <c r="B37" s="364" t="s">
        <v>1701</v>
      </c>
      <c r="C37" s="411">
        <v>0.95</v>
      </c>
      <c r="D37" s="119">
        <v>100</v>
      </c>
      <c r="E37" s="411">
        <v>0.95</v>
      </c>
      <c r="F37" s="364">
        <f>LOOKUP(E37,112:112,113:113)-LOOKUP(C37,112:112,113:113)+100</f>
        <v>100</v>
      </c>
      <c r="G37" s="413">
        <v>0.95</v>
      </c>
      <c r="H37" s="119">
        <f>LOOKUP(G37,112:112,113:113)-LOOKUP(C37,112:112,113:113)+100</f>
        <v>100</v>
      </c>
      <c r="I37" s="412">
        <v>0.95</v>
      </c>
      <c r="J37" s="119">
        <f>LOOKUP(I37,112:112,113:113)-LOOKUP(C37,112:112,113:113)+100</f>
        <v>100</v>
      </c>
      <c r="K37" s="365">
        <v>3</v>
      </c>
      <c r="L37" s="2488"/>
      <c r="M37" s="2439"/>
      <c r="N37" s="2439"/>
      <c r="O37" s="2439"/>
      <c r="P37" s="3360"/>
      <c r="Q37" s="530" t="str">
        <f t="shared" si="11"/>
        <v>成新度</v>
      </c>
      <c r="R37" s="664" t="s">
        <v>18</v>
      </c>
      <c r="S37" s="665">
        <f t="shared" si="12"/>
        <v>100</v>
      </c>
      <c r="T37" s="664" t="s">
        <v>18</v>
      </c>
      <c r="U37" s="665">
        <f t="shared" si="13"/>
        <v>100</v>
      </c>
      <c r="V37" s="664" t="s">
        <v>18</v>
      </c>
      <c r="W37" s="665">
        <f t="shared" si="14"/>
        <v>100</v>
      </c>
      <c r="X37" s="666"/>
      <c r="Y37" s="3362"/>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360" t="s">
        <v>1696</v>
      </c>
      <c r="Q38" s="1263" t="str">
        <f t="shared" si="11"/>
        <v>物业管理</v>
      </c>
      <c r="R38" s="667" t="s">
        <v>18</v>
      </c>
      <c r="S38" s="668">
        <f t="shared" si="12"/>
        <v>100</v>
      </c>
      <c r="T38" s="667" t="s">
        <v>18</v>
      </c>
      <c r="U38" s="668">
        <f t="shared" si="13"/>
        <v>100</v>
      </c>
      <c r="V38" s="667" t="s">
        <v>18</v>
      </c>
      <c r="W38" s="668">
        <f t="shared" si="14"/>
        <v>100</v>
      </c>
      <c r="X38" s="1265"/>
      <c r="Y38" s="336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360"/>
      <c r="Q39" s="1263" t="str">
        <f t="shared" si="11"/>
        <v>市政基础设施</v>
      </c>
      <c r="R39" s="667" t="s">
        <v>18</v>
      </c>
      <c r="S39" s="668">
        <f t="shared" si="12"/>
        <v>100</v>
      </c>
      <c r="T39" s="667" t="s">
        <v>18</v>
      </c>
      <c r="U39" s="668">
        <f t="shared" si="13"/>
        <v>100</v>
      </c>
      <c r="V39" s="667" t="s">
        <v>18</v>
      </c>
      <c r="W39" s="668">
        <f t="shared" si="14"/>
        <v>100</v>
      </c>
      <c r="X39" s="1265"/>
      <c r="Y39" s="336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360"/>
      <c r="Q40" s="1263" t="str">
        <f t="shared" si="11"/>
        <v>房型</v>
      </c>
      <c r="R40" s="667" t="s">
        <v>18</v>
      </c>
      <c r="S40" s="668">
        <f t="shared" si="12"/>
        <v>100</v>
      </c>
      <c r="T40" s="667" t="s">
        <v>18</v>
      </c>
      <c r="U40" s="668">
        <f t="shared" si="13"/>
        <v>100</v>
      </c>
      <c r="V40" s="667" t="s">
        <v>18</v>
      </c>
      <c r="W40" s="668">
        <f t="shared" si="14"/>
        <v>100</v>
      </c>
      <c r="X40" s="1265"/>
      <c r="Y40" s="336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48">
        <f>ROUND(1-0.98*(2004-2003)/50,2)</f>
        <v>0.98</v>
      </c>
      <c r="N41" s="2493"/>
      <c r="O41" s="2493"/>
      <c r="P41" s="3360"/>
      <c r="Q41" s="531" t="str">
        <f t="shared" si="11"/>
        <v>单套/主力户型建筑面积</v>
      </c>
      <c r="R41" s="669" t="s">
        <v>18</v>
      </c>
      <c r="S41" s="670">
        <f t="shared" si="12"/>
        <v>100</v>
      </c>
      <c r="T41" s="669" t="s">
        <v>18</v>
      </c>
      <c r="U41" s="670">
        <f t="shared" si="13"/>
        <v>100</v>
      </c>
      <c r="V41" s="669" t="s">
        <v>18</v>
      </c>
      <c r="W41" s="670">
        <f t="shared" si="14"/>
        <v>100</v>
      </c>
      <c r="X41" s="671"/>
      <c r="Y41" s="3362"/>
      <c r="Z41" s="672" t="str">
        <f t="shared" si="18"/>
        <v>单套/主力户型建筑面积</v>
      </c>
      <c r="AA41" s="1264">
        <f t="shared" si="15"/>
        <v>1</v>
      </c>
      <c r="AB41" s="1264">
        <f t="shared" si="16"/>
        <v>1</v>
      </c>
      <c r="AC41" s="1264">
        <f t="shared" si="17"/>
        <v>1</v>
      </c>
    </row>
    <row r="42" spans="1:29" ht="15">
      <c r="A42" s="409"/>
      <c r="B42" s="364" t="s">
        <v>1706</v>
      </c>
      <c r="C42" s="3149" t="s">
        <v>3404</v>
      </c>
      <c r="D42" s="374">
        <v>100</v>
      </c>
      <c r="E42" s="1761" t="s">
        <v>3402</v>
      </c>
      <c r="F42" s="400">
        <f>SUMIF(122:122,E42,123:123)-SUMIF(122:122,C42,123:123)+100</f>
        <v>103</v>
      </c>
      <c r="G42" s="1760" t="s">
        <v>3402</v>
      </c>
      <c r="H42" s="374">
        <f>SUMIF(122:122,G42,123:123)-SUMIF(122:122,C42,123:123)+100</f>
        <v>103</v>
      </c>
      <c r="I42" s="1761" t="s">
        <v>3402</v>
      </c>
      <c r="J42" s="374">
        <f>SUMIF(122:122,I42,123:123)-SUMIF(122:122,C42,123:123)+100</f>
        <v>103</v>
      </c>
      <c r="K42" s="365">
        <v>3</v>
      </c>
      <c r="L42" s="2492"/>
      <c r="M42" s="2487"/>
      <c r="N42" s="2487"/>
      <c r="O42" s="2487"/>
      <c r="P42" s="3360"/>
      <c r="Q42" s="1263" t="str">
        <f t="shared" si="11"/>
        <v>内部装修</v>
      </c>
      <c r="R42" s="667" t="s">
        <v>18</v>
      </c>
      <c r="S42" s="668">
        <f t="shared" si="12"/>
        <v>103</v>
      </c>
      <c r="T42" s="667" t="s">
        <v>18</v>
      </c>
      <c r="U42" s="668">
        <f t="shared" si="13"/>
        <v>103</v>
      </c>
      <c r="V42" s="667" t="s">
        <v>18</v>
      </c>
      <c r="W42" s="668">
        <f t="shared" si="14"/>
        <v>103</v>
      </c>
      <c r="X42" s="1265"/>
      <c r="Y42" s="3362"/>
      <c r="Z42" s="1264" t="str">
        <f t="shared" si="18"/>
        <v>内部装修</v>
      </c>
      <c r="AA42" s="1264">
        <f t="shared" si="15"/>
        <v>0.970873786407767</v>
      </c>
      <c r="AB42" s="1264">
        <f t="shared" si="16"/>
        <v>0.970873786407767</v>
      </c>
      <c r="AC42" s="1264">
        <f t="shared" si="17"/>
        <v>0.970873786407767</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360"/>
      <c r="Q43" s="1263" t="str">
        <f t="shared" si="11"/>
        <v>内部装修维护情况</v>
      </c>
      <c r="R43" s="667" t="s">
        <v>18</v>
      </c>
      <c r="S43" s="668">
        <f t="shared" si="12"/>
        <v>100</v>
      </c>
      <c r="T43" s="667" t="s">
        <v>18</v>
      </c>
      <c r="U43" s="668">
        <f t="shared" si="13"/>
        <v>100</v>
      </c>
      <c r="V43" s="667" t="s">
        <v>18</v>
      </c>
      <c r="W43" s="668">
        <f t="shared" si="14"/>
        <v>100</v>
      </c>
      <c r="X43" s="1265"/>
      <c r="Y43" s="3362"/>
      <c r="Z43" s="1264" t="str">
        <f t="shared" si="18"/>
        <v>内部装修维护情况</v>
      </c>
      <c r="AA43" s="1264">
        <f t="shared" si="15"/>
        <v>1</v>
      </c>
      <c r="AB43" s="1264">
        <f t="shared" si="16"/>
        <v>1</v>
      </c>
      <c r="AC43" s="1264">
        <f t="shared" si="17"/>
        <v>1</v>
      </c>
    </row>
    <row r="44" spans="1:29" s="102" customFormat="1" ht="15" hidden="1">
      <c r="A44" s="410"/>
      <c r="B44" s="3148" t="s">
        <v>3409</v>
      </c>
      <c r="C44" s="407">
        <v>1990</v>
      </c>
      <c r="D44" s="119">
        <v>100</v>
      </c>
      <c r="E44" s="407">
        <v>2003</v>
      </c>
      <c r="F44" s="364">
        <f>SUMIF(126:126,E44,127:127)-SUMIF(126:126,C44,127:127)+100</f>
        <v>100</v>
      </c>
      <c r="G44" s="407">
        <v>1990</v>
      </c>
      <c r="H44" s="119">
        <f>SUMIF(126:126,G44,127:127)-SUMIF(126:126,C44,127:127)+100</f>
        <v>100</v>
      </c>
      <c r="I44" s="407">
        <v>2003</v>
      </c>
      <c r="J44" s="119">
        <f>SUMIF(126:126,I44,127:127)-SUMIF(126:126,C44,127:127)+100</f>
        <v>100</v>
      </c>
      <c r="K44" s="1748"/>
      <c r="L44" s="2488"/>
      <c r="M44" s="2439"/>
      <c r="N44" s="2439"/>
      <c r="O44" s="2439"/>
      <c r="P44" s="3360"/>
      <c r="Q44" s="530" t="str">
        <f t="shared" si="11"/>
        <v>建成年代</v>
      </c>
      <c r="R44" s="664" t="s">
        <v>18</v>
      </c>
      <c r="S44" s="665">
        <f t="shared" si="12"/>
        <v>100</v>
      </c>
      <c r="T44" s="664" t="s">
        <v>18</v>
      </c>
      <c r="U44" s="665">
        <f t="shared" si="13"/>
        <v>100</v>
      </c>
      <c r="V44" s="664" t="s">
        <v>18</v>
      </c>
      <c r="W44" s="665">
        <f t="shared" si="14"/>
        <v>100</v>
      </c>
      <c r="X44" s="666"/>
      <c r="Y44" s="3362"/>
      <c r="Z44" s="50" t="str">
        <f t="shared" si="18"/>
        <v>建成年代</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360"/>
      <c r="Q45" s="1263">
        <f t="shared" si="11"/>
        <v>111</v>
      </c>
      <c r="R45" s="667" t="s">
        <v>18</v>
      </c>
      <c r="S45" s="668">
        <f t="shared" si="12"/>
        <v>100</v>
      </c>
      <c r="T45" s="667" t="s">
        <v>18</v>
      </c>
      <c r="U45" s="668">
        <f t="shared" si="13"/>
        <v>100</v>
      </c>
      <c r="V45" s="667" t="s">
        <v>18</v>
      </c>
      <c r="W45" s="668">
        <f t="shared" si="14"/>
        <v>100</v>
      </c>
      <c r="X45" s="1265"/>
      <c r="Y45" s="336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361"/>
      <c r="Q46" s="1263">
        <f t="shared" si="11"/>
        <v>111</v>
      </c>
      <c r="R46" s="667" t="s">
        <v>17</v>
      </c>
      <c r="S46" s="668">
        <f t="shared" si="12"/>
        <v>100</v>
      </c>
      <c r="T46" s="667" t="s">
        <v>17</v>
      </c>
      <c r="U46" s="668">
        <f t="shared" si="13"/>
        <v>100</v>
      </c>
      <c r="V46" s="667" t="s">
        <v>17</v>
      </c>
      <c r="W46" s="668">
        <f t="shared" si="14"/>
        <v>100</v>
      </c>
      <c r="X46" s="1265"/>
      <c r="Y46" s="3363"/>
      <c r="Z46" s="1264">
        <f t="shared" si="18"/>
        <v>111</v>
      </c>
      <c r="AA46" s="1264">
        <f t="shared" si="15"/>
        <v>1</v>
      </c>
      <c r="AB46" s="1264">
        <f t="shared" si="16"/>
        <v>1</v>
      </c>
      <c r="AC46" s="1264">
        <f t="shared" si="17"/>
        <v>1</v>
      </c>
    </row>
    <row r="47" spans="1:29" ht="15">
      <c r="A47" s="416" t="s">
        <v>1708</v>
      </c>
      <c r="B47" s="417"/>
      <c r="C47" s="1081" t="s">
        <v>16</v>
      </c>
      <c r="D47" s="418"/>
      <c r="E47" s="419">
        <f>案例!P8</f>
        <v>8652</v>
      </c>
      <c r="F47" s="420"/>
      <c r="G47" s="421">
        <f>案例!R12</f>
        <v>9201</v>
      </c>
      <c r="H47" s="422"/>
      <c r="I47" s="419">
        <f>案例!P29</f>
        <v>8991</v>
      </c>
      <c r="J47" s="422"/>
      <c r="K47" s="1767"/>
      <c r="L47" s="2494"/>
      <c r="M47" s="2487"/>
      <c r="N47" s="2487"/>
      <c r="O47" s="2487"/>
      <c r="P47" s="3355" t="str">
        <f>A47</f>
        <v>成交单价（元/平方米）</v>
      </c>
      <c r="Q47" s="3355"/>
      <c r="R47" s="3356">
        <f>E47</f>
        <v>8652</v>
      </c>
      <c r="S47" s="3356"/>
      <c r="T47" s="3356">
        <f>G47</f>
        <v>9201</v>
      </c>
      <c r="U47" s="3356"/>
      <c r="V47" s="3356">
        <f>I47</f>
        <v>8991</v>
      </c>
      <c r="W47" s="3356"/>
      <c r="X47" s="385"/>
      <c r="Y47" s="673"/>
      <c r="Z47" s="385"/>
      <c r="AA47" s="385"/>
      <c r="AB47" s="385"/>
      <c r="AC47" s="385"/>
    </row>
    <row r="48" spans="1:29" ht="15.75" thickBot="1">
      <c r="A48" s="423" t="s">
        <v>1709</v>
      </c>
      <c r="B48" s="424"/>
      <c r="C48" s="1082">
        <f>R49</f>
        <v>8186</v>
      </c>
      <c r="D48" s="2141" t="s">
        <v>2138</v>
      </c>
      <c r="E48" s="1083">
        <f>R48</f>
        <v>7850</v>
      </c>
      <c r="F48" s="2142"/>
      <c r="G48" s="1082">
        <f>T48</f>
        <v>8719</v>
      </c>
      <c r="H48" s="2142"/>
      <c r="I48" s="1083">
        <f>V48</f>
        <v>7988</v>
      </c>
      <c r="J48" s="2142"/>
      <c r="K48" s="2143">
        <f>F48+H48+J48</f>
        <v>0</v>
      </c>
      <c r="L48" s="2494"/>
      <c r="M48" s="2487"/>
      <c r="N48" s="2487"/>
      <c r="O48" s="2487"/>
      <c r="P48" s="3355" t="str">
        <f>A48</f>
        <v>比较价值（元/平方米）</v>
      </c>
      <c r="Q48" s="3355"/>
      <c r="R48" s="3356">
        <f>IF(F1="售价",ROUND(PRODUCT(R47,AA7:AA46),0),ROUND(PRODUCT(R47,AA7:AA46),1))</f>
        <v>7850</v>
      </c>
      <c r="S48" s="3356"/>
      <c r="T48" s="3356">
        <f>IF(F1="售价",ROUND(PRODUCT(T47,AB7:AB46),0),ROUND(PRODUCT(T47,AB7:AB46),1))</f>
        <v>8719</v>
      </c>
      <c r="U48" s="3356"/>
      <c r="V48" s="3356">
        <f>IF(F1="售价",ROUND(PRODUCT(V47,AC7:AC46),0),ROUND(PRODUCT(V47,AC7:AC46),1))</f>
        <v>7988</v>
      </c>
      <c r="W48" s="3356"/>
      <c r="X48" s="385"/>
      <c r="Y48" s="385"/>
      <c r="Z48" s="385"/>
      <c r="AA48" s="385"/>
      <c r="AB48" s="385"/>
      <c r="AC48" s="385"/>
    </row>
    <row r="49" spans="1:29" ht="15.75" thickBot="1">
      <c r="A49" s="427" t="s">
        <v>1710</v>
      </c>
      <c r="B49" s="428"/>
      <c r="C49" s="1084">
        <f>R49</f>
        <v>8186</v>
      </c>
      <c r="D49" s="351"/>
      <c r="E49" s="351"/>
      <c r="F49" s="351"/>
      <c r="G49" s="351"/>
      <c r="H49" s="351"/>
      <c r="I49" s="351"/>
      <c r="J49" s="351"/>
      <c r="K49" s="1768"/>
      <c r="L49" s="2494"/>
      <c r="M49" s="2487"/>
      <c r="N49" s="2487"/>
      <c r="O49" s="2487"/>
      <c r="P49" s="3352" t="str">
        <f>A49</f>
        <v>估价对象XX用房的比较价值（楼面单价，元/平方米）</v>
      </c>
      <c r="Q49" s="3353"/>
      <c r="R49" s="3354">
        <f>IF(F1="售价",ROUND(IF(D48="简单平均",AVERAGE(R48:V48),R48*F48+T48*H48+V48*J48),0),ROUND(IF(D48="简单平均",AVERAGE(R48:V48),R48*F48+T48*H48+V48*J48),1))</f>
        <v>8186</v>
      </c>
      <c r="S49" s="3354"/>
      <c r="T49" s="3354"/>
      <c r="U49" s="3354"/>
      <c r="V49" s="3354"/>
      <c r="W49" s="335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0.10216560509554151</v>
      </c>
      <c r="F52" s="435" t="str">
        <f>IF(OR(E52&gt;=0.3,E52&lt;=-0.3),"超过30%","")</f>
        <v/>
      </c>
      <c r="G52" s="434">
        <f>IF(G47&lt;G48,G48/G47-1,G47/G48-1)</f>
        <v>5.5281568987269214E-2</v>
      </c>
      <c r="H52" s="435" t="str">
        <f>IF(OR(G52&gt;=0.3,G52&lt;=-0.3),"超过30%","")</f>
        <v/>
      </c>
      <c r="I52" s="434">
        <f>IF(I47&lt;I48,I48/I47-1,I47/I48-1)</f>
        <v>0.1255633450175262</v>
      </c>
      <c r="J52" s="435" t="str">
        <f>IF(OR(I52&gt;=0.3,I52&lt;=-0.3),"超过30%","")</f>
        <v/>
      </c>
      <c r="K52" s="2499"/>
      <c r="L52" s="2495"/>
      <c r="M52" s="2487"/>
      <c r="N52" s="2487"/>
      <c r="O52" s="2487"/>
    </row>
    <row r="53" spans="1:29" ht="13.5" customHeight="1">
      <c r="A53" s="2487"/>
      <c r="B53" s="2487"/>
      <c r="C53" s="432" t="s">
        <v>1712</v>
      </c>
      <c r="D53" s="436"/>
      <c r="E53" s="434">
        <f>IF(E48&lt;G48,G48/E48-1,E48/G48-1)</f>
        <v>0.11070063694267507</v>
      </c>
      <c r="F53" s="435" t="str">
        <f>IF(OR(E53&gt;=0.2,E53&lt;=-0.2),"超过20%","")</f>
        <v/>
      </c>
      <c r="G53" s="434">
        <f>IF(G48&lt;I48,I48/G48-1,G48/I48-1)</f>
        <v>9.1512268402603958E-2</v>
      </c>
      <c r="H53" s="435" t="str">
        <f>IF(OR(G53&gt;=0.2,G53&lt;=-0.2),"超过20%","")</f>
        <v/>
      </c>
      <c r="I53" s="434">
        <f>IF(I48&lt;E48,E48/I48-1,I48/E48-1)</f>
        <v>1.7579617834394989E-2</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6.3453536754507711E-2</v>
      </c>
      <c r="F54" s="435" t="str">
        <f>IF(OR(E54&gt;=0.3,E54&lt;=-0.3),"超过30%","")</f>
        <v/>
      </c>
      <c r="G54" s="434">
        <f>IF(G47&lt;I47,I47/G47-1,G47/I47-1)</f>
        <v>2.3356690023356608E-2</v>
      </c>
      <c r="H54" s="435" t="str">
        <f>IF(OR(G54&gt;=0.3,G54&lt;=-0.3),"超过30%","")</f>
        <v/>
      </c>
      <c r="I54" s="434">
        <f>IF(I47&lt;E47,E47/I47-1,I47/E47-1)</f>
        <v>3.9181692094313547E-2</v>
      </c>
      <c r="J54" s="435" t="str">
        <f>IF(OR(I54&gt;=0.3,I54&lt;=-0.3),"超过30%","")</f>
        <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2008-12</v>
      </c>
      <c r="D58" s="1104">
        <f>EDATE(C58,-1)</f>
        <v>39753</v>
      </c>
      <c r="E58" s="1104">
        <f>EDATE(D58,-1)</f>
        <v>39722</v>
      </c>
      <c r="F58" s="1104">
        <f t="shared" ref="F58:O58" si="19">EDATE(E58,-1)</f>
        <v>39692</v>
      </c>
      <c r="G58" s="1104">
        <f t="shared" si="19"/>
        <v>39661</v>
      </c>
      <c r="H58" s="1104">
        <f t="shared" si="19"/>
        <v>39630</v>
      </c>
      <c r="I58" s="1104">
        <f t="shared" si="19"/>
        <v>39600</v>
      </c>
      <c r="J58" s="1104">
        <f t="shared" si="19"/>
        <v>39569</v>
      </c>
      <c r="K58" s="1104">
        <f t="shared" si="19"/>
        <v>39539</v>
      </c>
      <c r="L58" s="1104">
        <f t="shared" si="19"/>
        <v>39508</v>
      </c>
      <c r="M58" s="1104">
        <f t="shared" si="19"/>
        <v>39479</v>
      </c>
      <c r="N58" s="1104">
        <f t="shared" si="19"/>
        <v>39448</v>
      </c>
      <c r="O58" s="1104">
        <f t="shared" si="19"/>
        <v>39417</v>
      </c>
      <c r="P58" s="1100"/>
    </row>
    <row r="59" spans="1:29" s="102" customFormat="1" ht="15">
      <c r="A59" s="443"/>
      <c r="B59" s="1772"/>
      <c r="C59" s="1102">
        <v>100</v>
      </c>
      <c r="D59" s="445">
        <v>100</v>
      </c>
      <c r="E59" s="446">
        <v>99.5</v>
      </c>
      <c r="F59" s="446">
        <f>E59</f>
        <v>99.5</v>
      </c>
      <c r="G59" s="446">
        <f>E59</f>
        <v>99.5</v>
      </c>
      <c r="H59" s="446">
        <v>99</v>
      </c>
      <c r="I59" s="446">
        <f>H59</f>
        <v>99</v>
      </c>
      <c r="J59" s="446">
        <f>H59</f>
        <v>99</v>
      </c>
      <c r="K59" s="446">
        <v>98.5</v>
      </c>
      <c r="L59" s="446">
        <f>K59</f>
        <v>98.5</v>
      </c>
      <c r="M59" s="447">
        <f>K59</f>
        <v>98.5</v>
      </c>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t="str">
        <f>C9</f>
        <v>住宅</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1（含）-3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v>1</v>
      </c>
      <c r="D68" s="480">
        <v>3</v>
      </c>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3145" t="s">
        <v>3424</v>
      </c>
      <c r="D70" s="3145" t="s">
        <v>3423</v>
      </c>
      <c r="E70" s="485"/>
      <c r="F70" s="485"/>
      <c r="G70" s="485"/>
      <c r="H70" s="486"/>
      <c r="I70" s="486"/>
      <c r="J70" s="486"/>
      <c r="K70" s="486"/>
      <c r="L70" s="487"/>
      <c r="M70" s="488"/>
      <c r="N70" s="881"/>
      <c r="O70" s="881"/>
      <c r="P70" s="1776"/>
      <c r="Q70" s="490"/>
    </row>
    <row r="71" spans="1:17" s="408" customFormat="1" ht="15.75" thickBot="1">
      <c r="A71" s="484"/>
      <c r="B71" s="474"/>
      <c r="C71" s="491">
        <v>100</v>
      </c>
      <c r="D71" s="467">
        <v>98</v>
      </c>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3145" t="s">
        <v>3411</v>
      </c>
      <c r="D88" s="3145" t="s">
        <v>3555</v>
      </c>
      <c r="E88" s="3145" t="s">
        <v>3563</v>
      </c>
      <c r="F88" s="3151" t="s">
        <v>3416</v>
      </c>
      <c r="G88" s="3145" t="s">
        <v>3567</v>
      </c>
      <c r="H88" s="485"/>
      <c r="I88" s="485"/>
      <c r="J88" s="485"/>
      <c r="K88" s="485"/>
      <c r="L88" s="485"/>
      <c r="M88" s="511"/>
      <c r="N88" s="878"/>
      <c r="O88" s="878"/>
      <c r="P88" s="1775"/>
      <c r="Q88" s="439"/>
    </row>
    <row r="89" spans="1:17" s="102" customFormat="1" ht="15.75" thickBot="1">
      <c r="A89" s="370"/>
      <c r="B89" s="474"/>
      <c r="C89" s="512">
        <v>100</v>
      </c>
      <c r="D89" s="475">
        <f t="shared" ref="D89:M89" si="24">C89-$K26</f>
        <v>98</v>
      </c>
      <c r="E89" s="475">
        <f t="shared" si="24"/>
        <v>96</v>
      </c>
      <c r="F89" s="475">
        <f t="shared" si="24"/>
        <v>94</v>
      </c>
      <c r="G89" s="475">
        <f t="shared" si="24"/>
        <v>92</v>
      </c>
      <c r="H89" s="475">
        <f t="shared" si="24"/>
        <v>90</v>
      </c>
      <c r="I89" s="475">
        <f t="shared" si="24"/>
        <v>88</v>
      </c>
      <c r="J89" s="475">
        <f t="shared" si="24"/>
        <v>86</v>
      </c>
      <c r="K89" s="475">
        <f t="shared" si="24"/>
        <v>84</v>
      </c>
      <c r="L89" s="475">
        <f t="shared" si="24"/>
        <v>82</v>
      </c>
      <c r="M89" s="475">
        <f t="shared" si="24"/>
        <v>80</v>
      </c>
      <c r="N89" s="880"/>
      <c r="O89" s="880"/>
      <c r="P89" s="1775"/>
      <c r="Q89" s="439"/>
    </row>
    <row r="90" spans="1:17" s="408" customFormat="1" ht="15.75" thickTop="1">
      <c r="A90" s="484"/>
      <c r="B90" s="469" t="str">
        <f>B27</f>
        <v>楼层</v>
      </c>
      <c r="C90" s="3152" t="str">
        <f>C27</f>
        <v>8/28</v>
      </c>
      <c r="D90" s="3152" t="str">
        <f>E27</f>
        <v>2/24</v>
      </c>
      <c r="E90" s="3152" t="str">
        <f>G27</f>
        <v>19/24</v>
      </c>
      <c r="F90" s="3152" t="str">
        <f>I27</f>
        <v>21/24</v>
      </c>
      <c r="G90" s="3152"/>
      <c r="H90" s="486"/>
      <c r="I90" s="486"/>
      <c r="J90" s="486"/>
      <c r="K90" s="486"/>
      <c r="L90" s="487"/>
      <c r="M90" s="488"/>
      <c r="N90" s="881"/>
      <c r="O90" s="881"/>
      <c r="P90" s="1776"/>
      <c r="Q90" s="490"/>
    </row>
    <row r="91" spans="1:17" s="408" customFormat="1" ht="15.75" thickBot="1">
      <c r="A91" s="484"/>
      <c r="B91" s="474"/>
      <c r="C91" s="491">
        <v>100</v>
      </c>
      <c r="D91" s="491">
        <v>99</v>
      </c>
      <c r="E91" s="491">
        <v>101</v>
      </c>
      <c r="F91" s="491">
        <v>101</v>
      </c>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3147" t="s">
        <v>3407</v>
      </c>
      <c r="D100" s="3147" t="s">
        <v>3421</v>
      </c>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5"/>
      <c r="Q101" s="439"/>
    </row>
    <row r="102" spans="1:17" ht="15.75" thickTop="1">
      <c r="A102" s="367"/>
      <c r="B102" s="469" t="s">
        <v>1737</v>
      </c>
      <c r="C102" s="509" t="str">
        <f>C103&amp;"(含)"&amp;"-"&amp;D103</f>
        <v>0(含)-60</v>
      </c>
      <c r="D102" s="509" t="str">
        <f t="shared" ref="D102:L102" si="26">D103&amp;"(含)"&amp;"-"&amp;E103</f>
        <v>60(含)-90</v>
      </c>
      <c r="E102" s="509" t="str">
        <f t="shared" si="26"/>
        <v>90(含)-120</v>
      </c>
      <c r="F102" s="509" t="str">
        <f t="shared" si="26"/>
        <v>120(含)-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v>0</v>
      </c>
      <c r="D103" s="6">
        <v>60</v>
      </c>
      <c r="E103" s="6">
        <v>90</v>
      </c>
      <c r="F103" s="6">
        <v>120</v>
      </c>
      <c r="G103" s="6"/>
      <c r="H103" s="6"/>
      <c r="I103" s="6"/>
      <c r="J103" s="524"/>
      <c r="K103" s="524"/>
      <c r="L103" s="525"/>
      <c r="M103" s="526"/>
      <c r="N103" s="881"/>
      <c r="O103" s="881"/>
      <c r="P103" s="1776"/>
      <c r="Q103" s="490"/>
    </row>
    <row r="104" spans="1:17" s="408" customFormat="1" ht="15.75" thickBot="1">
      <c r="A104" s="484"/>
      <c r="B104" s="474"/>
      <c r="C104" s="491">
        <v>100</v>
      </c>
      <c r="D104" s="467">
        <f>C104-$G$104</f>
        <v>99</v>
      </c>
      <c r="E104" s="467">
        <f t="shared" ref="E104:F104" si="27">D104-$G$104</f>
        <v>98</v>
      </c>
      <c r="F104" s="467">
        <f t="shared" si="27"/>
        <v>97</v>
      </c>
      <c r="G104" s="467">
        <v>1</v>
      </c>
      <c r="H104" s="467"/>
      <c r="I104" s="467"/>
      <c r="J104" s="467"/>
      <c r="K104" s="467"/>
      <c r="L104" s="467"/>
      <c r="M104" s="467"/>
      <c r="N104" s="880"/>
      <c r="O104" s="880"/>
      <c r="P104" s="1776"/>
      <c r="Q104" s="490"/>
    </row>
    <row r="105" spans="1:17" ht="15" thickTop="1">
      <c r="A105" s="409"/>
      <c r="B105" s="469" t="s">
        <v>1738</v>
      </c>
      <c r="C105" s="3145" t="s">
        <v>3408</v>
      </c>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103</v>
      </c>
      <c r="E113" s="475">
        <f>D113+$K37</f>
        <v>106</v>
      </c>
      <c r="F113" s="475">
        <f>E113+$K37</f>
        <v>109</v>
      </c>
      <c r="G113" s="475">
        <f>F113+$K37</f>
        <v>112</v>
      </c>
      <c r="H113" s="475">
        <f>G113+$K37</f>
        <v>115</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3146" t="s">
        <v>3406</v>
      </c>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3145" t="s">
        <v>3400</v>
      </c>
      <c r="D122" s="3145" t="s">
        <v>3401</v>
      </c>
      <c r="E122" s="3145" t="s">
        <v>3403</v>
      </c>
      <c r="F122" s="3146" t="s">
        <v>3405</v>
      </c>
      <c r="G122" s="513"/>
      <c r="H122" s="513"/>
      <c r="I122" s="513"/>
      <c r="J122" s="513"/>
      <c r="K122" s="514"/>
      <c r="L122" s="515"/>
      <c r="M122" s="516"/>
      <c r="N122" s="879"/>
      <c r="O122" s="879"/>
      <c r="P122" s="1775"/>
      <c r="Q122" s="439"/>
    </row>
    <row r="123" spans="1:17" ht="15.75" thickBot="1">
      <c r="A123" s="367"/>
      <c r="B123" s="474"/>
      <c r="C123" s="475">
        <v>100</v>
      </c>
      <c r="D123" s="475">
        <f t="shared" ref="D123:M123" si="33">C123-$K42</f>
        <v>97</v>
      </c>
      <c r="E123" s="475">
        <f t="shared" si="33"/>
        <v>94</v>
      </c>
      <c r="F123" s="475">
        <f t="shared" si="33"/>
        <v>91</v>
      </c>
      <c r="G123" s="475">
        <f t="shared" si="33"/>
        <v>88</v>
      </c>
      <c r="H123" s="475">
        <f t="shared" si="33"/>
        <v>85</v>
      </c>
      <c r="I123" s="475">
        <f t="shared" si="33"/>
        <v>82</v>
      </c>
      <c r="J123" s="475">
        <f t="shared" si="33"/>
        <v>79</v>
      </c>
      <c r="K123" s="475">
        <f t="shared" si="33"/>
        <v>76</v>
      </c>
      <c r="L123" s="475">
        <f t="shared" si="33"/>
        <v>73</v>
      </c>
      <c r="M123" s="475">
        <f t="shared" si="33"/>
        <v>70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t="str">
        <f>B44</f>
        <v>建成年代</v>
      </c>
      <c r="C126" s="485">
        <f>C44</f>
        <v>1990</v>
      </c>
      <c r="D126" s="485">
        <f>E44</f>
        <v>2003</v>
      </c>
      <c r="E126" s="485"/>
      <c r="F126" s="485"/>
      <c r="G126" s="485"/>
      <c r="H126" s="486"/>
      <c r="I126" s="486"/>
      <c r="J126" s="486"/>
      <c r="K126" s="486"/>
      <c r="L126" s="487"/>
      <c r="M126" s="488"/>
      <c r="N126" s="881"/>
      <c r="O126" s="881"/>
      <c r="P126" s="1776"/>
      <c r="Q126" s="490"/>
    </row>
    <row r="127" spans="1:17" s="408" customFormat="1" ht="15.75" thickBot="1">
      <c r="A127" s="484"/>
      <c r="B127" s="474"/>
      <c r="C127" s="491">
        <v>100</v>
      </c>
      <c r="D127" s="467">
        <v>100</v>
      </c>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32 H7:H32 J7:J46 F34:F46 H34:H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3390</v>
      </c>
      <c r="C1" s="1717" t="s">
        <v>1563</v>
      </c>
      <c r="D1" s="190"/>
      <c r="E1" s="190"/>
      <c r="F1" s="190"/>
      <c r="G1" s="1062">
        <f>MATCH(B1,'数据-取费表'!A6:A16,0)+5</f>
        <v>6</v>
      </c>
      <c r="H1" s="998" t="str">
        <f>IF(ISERROR(FIND("住宅",B1)),"非住宅","住宅")</f>
        <v>住宅</v>
      </c>
    </row>
    <row r="2" spans="1:8" s="192" customFormat="1" ht="18" customHeight="1">
      <c r="A2" s="193" t="s">
        <v>1462</v>
      </c>
      <c r="B2" s="3122">
        <f ca="1">ROUND(IF(D2="——",C52/10000,C52/10000-E2),4)</f>
        <v>62.033700000000003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6810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210828</v>
      </c>
      <c r="D5" s="203" t="s">
        <v>1469</v>
      </c>
      <c r="E5" s="204" t="s">
        <v>1470</v>
      </c>
      <c r="F5" s="204" t="s">
        <v>1471</v>
      </c>
      <c r="G5" s="205"/>
    </row>
    <row r="6" spans="1:8" s="206" customFormat="1" ht="13.5" customHeight="1">
      <c r="A6" s="732" t="s">
        <v>1472</v>
      </c>
      <c r="B6" s="207" t="s">
        <v>1473</v>
      </c>
      <c r="C6" s="208">
        <f>'[2]2002基准地价'!$E$18</f>
        <v>204588</v>
      </c>
      <c r="D6" s="209"/>
      <c r="E6" s="210"/>
      <c r="F6" s="210"/>
      <c r="G6" s="211"/>
    </row>
    <row r="7" spans="1:8" s="206" customFormat="1" ht="13.5" customHeight="1">
      <c r="A7" s="732" t="s">
        <v>1474</v>
      </c>
      <c r="B7" s="207" t="s">
        <v>1475</v>
      </c>
      <c r="C7" s="212">
        <f>ROUND(C6*F7,0)</f>
        <v>6240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91.09</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91.09</v>
      </c>
      <c r="E19" s="203">
        <f>'数据-取费表'!B31</f>
        <v>0</v>
      </c>
      <c r="F19" s="223"/>
      <c r="G19" s="1714" t="s">
        <v>3412</v>
      </c>
    </row>
    <row r="20" spans="1:7" s="206" customFormat="1" ht="13.5" customHeight="1">
      <c r="A20" s="247" t="s">
        <v>1574</v>
      </c>
      <c r="B20" s="202" t="s">
        <v>1575</v>
      </c>
      <c r="C20" s="224">
        <f>ROUND((C5+C19)*F20,0)</f>
        <v>2108</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24706</v>
      </c>
      <c r="D22" s="227">
        <f ca="1">C26</f>
        <v>5.9999999999999995E-4</v>
      </c>
      <c r="E22" s="228" t="s">
        <v>1579</v>
      </c>
      <c r="F22" s="229">
        <f ca="1">'数据-取费表'!B40</f>
        <v>5.67E-2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24586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120</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21294</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21294</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5.6000000000000001E-2</v>
      </c>
      <c r="D30" s="228" t="s">
        <v>1514</v>
      </c>
      <c r="E30" s="233"/>
      <c r="F30" s="229">
        <f>'数据-取费表'!B41</f>
        <v>5.6000000000000001E-2</v>
      </c>
      <c r="G30" s="226" t="s">
        <v>1520</v>
      </c>
    </row>
    <row r="31" spans="1:7" ht="16.5" customHeight="1">
      <c r="A31" s="201">
        <v>1</v>
      </c>
      <c r="B31" s="202" t="s">
        <v>1521</v>
      </c>
      <c r="C31" s="203">
        <f ca="1">ROUND((C5+C19+C20+C22+C27)/(1-C21-D22-D27-C30),0)</f>
        <v>277709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287846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255052</v>
      </c>
      <c r="D34" s="209"/>
      <c r="E34" s="212"/>
      <c r="F34" s="249"/>
      <c r="G34" s="211"/>
    </row>
    <row r="35" spans="1:7" ht="13.5" customHeight="1">
      <c r="A35" s="734" t="s">
        <v>351</v>
      </c>
      <c r="B35" s="207" t="s">
        <v>1527</v>
      </c>
      <c r="C35" s="212">
        <f ca="1">ROUND(C34*F35,0)</f>
        <v>7652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7652</v>
      </c>
      <c r="D36" s="212"/>
      <c r="E36" s="212"/>
      <c r="F36" s="251">
        <f>'数据-取费表'!B34</f>
        <v>0.03</v>
      </c>
      <c r="G36" s="252" t="s">
        <v>1530</v>
      </c>
    </row>
    <row r="37" spans="1:7" s="250" customFormat="1" ht="13.5" customHeight="1">
      <c r="A37" s="734" t="s">
        <v>353</v>
      </c>
      <c r="B37" s="207" t="s">
        <v>1531</v>
      </c>
      <c r="C37" s="241">
        <f ca="1">ROUND(E37*D37,0)</f>
        <v>13664</v>
      </c>
      <c r="D37" s="209">
        <f ca="1">D19</f>
        <v>91.09</v>
      </c>
      <c r="E37" s="241">
        <f>'数据-取费表'!B35</f>
        <v>150</v>
      </c>
      <c r="F37" s="251"/>
      <c r="G37" s="253"/>
    </row>
    <row r="38" spans="1:7" ht="13.5" customHeight="1">
      <c r="A38" s="734" t="s">
        <v>354</v>
      </c>
      <c r="B38" s="207" t="s">
        <v>1533</v>
      </c>
      <c r="C38" s="212">
        <f ca="1">ROUND(C34*F38,0)</f>
        <v>3826</v>
      </c>
      <c r="D38" s="212"/>
      <c r="E38" s="212"/>
      <c r="F38" s="251">
        <f>'数据-取费表'!B36</f>
        <v>1.4999999999999999E-2</v>
      </c>
      <c r="G38" s="211" t="s">
        <v>1528</v>
      </c>
    </row>
    <row r="39" spans="1:7" s="206" customFormat="1" ht="13.5" customHeight="1">
      <c r="A39" s="247" t="s">
        <v>1534</v>
      </c>
      <c r="B39" s="202" t="s">
        <v>1535</v>
      </c>
      <c r="C39" s="224">
        <f ca="1">ROUND(C33*F20,0)</f>
        <v>2878</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16484</v>
      </c>
      <c r="D41" s="227">
        <f ca="1">C44</f>
        <v>5.9999999999999995E-4</v>
      </c>
      <c r="E41" s="228" t="s">
        <v>1539</v>
      </c>
      <c r="F41" s="229">
        <f ca="1">F22</f>
        <v>5.67E-2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16321</v>
      </c>
      <c r="D42" s="230"/>
      <c r="E42" s="230"/>
      <c r="F42" s="231"/>
      <c r="G42" s="3349" t="s">
        <v>1591</v>
      </c>
    </row>
    <row r="43" spans="1:7" ht="13.5" customHeight="1">
      <c r="A43" s="734" t="s">
        <v>347</v>
      </c>
      <c r="B43" s="207" t="s">
        <v>1545</v>
      </c>
      <c r="C43" s="230">
        <f ca="1">ROUND(IF('数据-取费表'!B22&lt;=1,C39*F22*'数据-取费表'!B20/2,C39*(POWER((1+F22),'数据-取费表'!B20/2)-1)),0)</f>
        <v>163</v>
      </c>
      <c r="D43" s="230"/>
      <c r="E43" s="230"/>
      <c r="F43" s="231"/>
      <c r="G43" s="3350"/>
    </row>
    <row r="44" spans="1:7" ht="13.5" customHeight="1">
      <c r="A44" s="734" t="s">
        <v>348</v>
      </c>
      <c r="B44" s="207" t="s">
        <v>1546</v>
      </c>
      <c r="C44" s="230">
        <f ca="1">ROUND(IF('数据-取费表'!B22&lt;=1,C40*F22*'数据-取费表'!B20/2,C40*(POWER((1+F22),'数据-取费表'!B20/2)-1)),4)</f>
        <v>5.9999999999999995E-4</v>
      </c>
      <c r="D44" s="230"/>
      <c r="E44" s="230"/>
      <c r="F44" s="231"/>
      <c r="G44" s="3351"/>
    </row>
    <row r="45" spans="1:7" s="206" customFormat="1" ht="13.5" customHeight="1">
      <c r="A45" s="247" t="s">
        <v>1547</v>
      </c>
      <c r="B45" s="236" t="s">
        <v>1513</v>
      </c>
      <c r="C45" s="237">
        <f ca="1">C46</f>
        <v>29072</v>
      </c>
      <c r="D45" s="227">
        <f ca="1">C47</f>
        <v>1E-3</v>
      </c>
      <c r="E45" s="228" t="s">
        <v>1539</v>
      </c>
      <c r="F45" s="238">
        <f ca="1">F27</f>
        <v>0.1</v>
      </c>
      <c r="G45" s="239" t="s">
        <v>1548</v>
      </c>
    </row>
    <row r="46" spans="1:7" s="206" customFormat="1" ht="13.5" customHeight="1">
      <c r="A46" s="734" t="s">
        <v>346</v>
      </c>
      <c r="B46" s="240" t="s">
        <v>1549</v>
      </c>
      <c r="C46" s="241">
        <f ca="1">ROUND((C33+C39)*F27,0)</f>
        <v>29072</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5.6000000000000001E-2</v>
      </c>
      <c r="D48" s="228" t="s">
        <v>1539</v>
      </c>
      <c r="E48" s="224"/>
      <c r="F48" s="229">
        <f>F30</f>
        <v>5.6000000000000001E-2</v>
      </c>
      <c r="G48" s="226" t="s">
        <v>1552</v>
      </c>
    </row>
    <row r="49" spans="1:7" ht="16.5" customHeight="1">
      <c r="A49" s="247" t="s">
        <v>1518</v>
      </c>
      <c r="B49" s="202" t="s">
        <v>1592</v>
      </c>
      <c r="C49" s="224">
        <f ca="1">ROUND((C33+C39+C41+C45)/(1-C40-D41-D45-C48),0)</f>
        <v>360661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342628</v>
      </c>
      <c r="D51" s="224"/>
      <c r="E51" s="224"/>
      <c r="F51" s="256"/>
      <c r="G51" s="226" t="s">
        <v>1560</v>
      </c>
    </row>
    <row r="52" spans="1:7" s="200" customFormat="1" ht="16.5" thickBot="1">
      <c r="A52" s="257" t="s">
        <v>1561</v>
      </c>
      <c r="B52" s="258"/>
      <c r="C52" s="259">
        <f ca="1">C31+C51</f>
        <v>620337</v>
      </c>
      <c r="D52" s="258"/>
      <c r="E52" s="258"/>
      <c r="F52" s="258"/>
      <c r="G52" s="260"/>
    </row>
    <row r="55" spans="1:7" ht="15">
      <c r="B55" s="262" t="s">
        <v>1562</v>
      </c>
      <c r="C55" s="263"/>
    </row>
    <row r="56" spans="1:7">
      <c r="B56" s="265" t="s">
        <v>802</v>
      </c>
      <c r="C56" s="267">
        <f ca="1">1-C57</f>
        <v>0.44799999999999995</v>
      </c>
    </row>
    <row r="57" spans="1:7">
      <c r="B57" s="265" t="s">
        <v>803</v>
      </c>
      <c r="C57" s="266">
        <f ca="1">ROUND(C51/C52,3)</f>
        <v>0.55200000000000005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0.03</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91.09</v>
      </c>
      <c r="E14" s="21">
        <f>'数据-取费表'!B35</f>
        <v>150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91.09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91.09</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3.0499999999999999E-2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5.67E-2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99" t="s">
        <v>694</v>
      </c>
      <c r="C6" s="1011">
        <f ca="1">ROUND(F6*F8*F7*(1-F9)/10000,0)</f>
        <v>0</v>
      </c>
      <c r="D6" s="147" t="s">
        <v>2109</v>
      </c>
      <c r="E6" s="294" t="s">
        <v>696</v>
      </c>
      <c r="F6" s="295">
        <f ca="1">INDIRECT("'数据-取费表'!u"&amp;$G$1)</f>
        <v>0</v>
      </c>
      <c r="G6" s="1292"/>
      <c r="H6" s="1006" t="s">
        <v>398</v>
      </c>
      <c r="I6" s="3399" t="s">
        <v>694</v>
      </c>
      <c r="J6" s="293">
        <f ca="1">ROUND(M6*M8*M7*(1-M9)/10000,0)</f>
        <v>0</v>
      </c>
      <c r="K6" s="147" t="s">
        <v>2108</v>
      </c>
      <c r="L6" s="294" t="s">
        <v>696</v>
      </c>
      <c r="M6" s="295">
        <f ca="1">INDIRECT("'数据-取费表'!z"&amp;$G$1)</f>
        <v>0</v>
      </c>
    </row>
    <row r="7" spans="1:37" ht="18" customHeight="1">
      <c r="A7" s="1010"/>
      <c r="B7" s="3400"/>
      <c r="C7" s="1012"/>
      <c r="D7" s="299"/>
      <c r="E7" s="1013" t="s">
        <v>697</v>
      </c>
      <c r="F7" s="295">
        <f ca="1">IF(INDIRECT("'数据-取费表'!ah"&amp;$G$1)="",INDIRECT("'数据-取费表'!k"&amp;$G$1),INDIRECT("'数据-取费表'!ah"&amp;$G$1))</f>
        <v>0</v>
      </c>
      <c r="G7" s="1292"/>
      <c r="H7" s="296"/>
      <c r="I7" s="3400"/>
      <c r="J7" s="298"/>
      <c r="K7" s="299"/>
      <c r="L7" s="294" t="s">
        <v>697</v>
      </c>
      <c r="M7" s="295">
        <f ca="1">F7</f>
        <v>0</v>
      </c>
    </row>
    <row r="8" spans="1:37" ht="18" customHeight="1">
      <c r="A8" s="296"/>
      <c r="B8" s="3400"/>
      <c r="C8" s="298"/>
      <c r="D8" s="299"/>
      <c r="E8" s="294" t="s">
        <v>698</v>
      </c>
      <c r="F8" s="295">
        <f ca="1">INDIRECT("'数据-取费表'!ai"&amp;$G$1)</f>
        <v>0</v>
      </c>
      <c r="G8" s="1292"/>
      <c r="H8" s="296"/>
      <c r="I8" s="3400"/>
      <c r="J8" s="298"/>
      <c r="K8" s="299"/>
      <c r="L8" s="294" t="s">
        <v>698</v>
      </c>
      <c r="M8" s="295">
        <f ca="1">INDIRECT("'数据-取费表'!ai"&amp;$G$1)</f>
        <v>0</v>
      </c>
    </row>
    <row r="9" spans="1:37" ht="18" customHeight="1">
      <c r="A9" s="296"/>
      <c r="B9" s="3401"/>
      <c r="C9" s="298"/>
      <c r="D9" s="299"/>
      <c r="E9" s="294" t="s">
        <v>699</v>
      </c>
      <c r="F9" s="304">
        <f ca="1">INDIRECT("'数据-取费表'!w"&amp;$G$1)</f>
        <v>0</v>
      </c>
      <c r="G9" s="1292"/>
      <c r="H9" s="296"/>
      <c r="I9" s="34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2.52E-2</v>
      </c>
      <c r="G11" s="1292"/>
      <c r="H11" s="1014"/>
      <c r="I11" s="1275" t="s">
        <v>679</v>
      </c>
      <c r="J11" s="905"/>
      <c r="K11" s="646"/>
      <c r="L11" s="305" t="s">
        <v>702</v>
      </c>
      <c r="M11" s="809">
        <f ca="1">'数据-取费表'!B39</f>
        <v>2.52E-2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150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5.67E-2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97" t="s">
        <v>837</v>
      </c>
      <c r="L53" s="339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8"/>
      <c r="H2" s="2468"/>
      <c r="I2" s="2468"/>
      <c r="J2" s="2468"/>
      <c r="K2" s="2469"/>
      <c r="L2" s="2468"/>
      <c r="M2" s="2468"/>
    </row>
    <row r="3" spans="1:37" ht="18" customHeight="1" thickBot="1">
      <c r="A3" s="1297" t="s">
        <v>881</v>
      </c>
      <c r="B3" s="1298">
        <f ca="1">IF(ISERROR(D2/F43),0,ROUND(D2/F43,0))</f>
        <v>0</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99" t="s">
        <v>694</v>
      </c>
      <c r="C6" s="1011">
        <f ca="1">ROUND(F6*F8*F7*(1-F9),0)</f>
        <v>0</v>
      </c>
      <c r="D6" s="147" t="s">
        <v>2106</v>
      </c>
      <c r="E6" s="294" t="s">
        <v>696</v>
      </c>
      <c r="F6" s="295">
        <f ca="1">INDIRECT("'数据-取费表'!u"&amp;$G$1)</f>
        <v>0</v>
      </c>
      <c r="G6" s="1292"/>
      <c r="H6" s="1006" t="s">
        <v>398</v>
      </c>
      <c r="I6" s="3399" t="s">
        <v>694</v>
      </c>
      <c r="J6" s="293">
        <f ca="1">ROUND(M6*M8*M7*(1-M9),0)</f>
        <v>0</v>
      </c>
      <c r="K6" s="1284" t="s">
        <v>2107</v>
      </c>
      <c r="L6" s="294" t="s">
        <v>696</v>
      </c>
      <c r="M6" s="295">
        <f ca="1">INDIRECT("'数据-取费表'!z"&amp;$G$1)</f>
        <v>0</v>
      </c>
    </row>
    <row r="7" spans="1:37" ht="18" customHeight="1">
      <c r="A7" s="1010"/>
      <c r="B7" s="3400"/>
      <c r="C7" s="1012"/>
      <c r="D7" s="299"/>
      <c r="E7" s="1013" t="s">
        <v>697</v>
      </c>
      <c r="F7" s="295">
        <f ca="1">IF(INDIRECT("'数据-取费表'!ah"&amp;$G$1)="",INDIRECT("'数据-取费表'!k"&amp;$G$1),INDIRECT("'数据-取费表'!ah"&amp;$G$1))</f>
        <v>0</v>
      </c>
      <c r="G7" s="1292"/>
      <c r="H7" s="296"/>
      <c r="I7" s="3400"/>
      <c r="J7" s="298"/>
      <c r="K7" s="299"/>
      <c r="L7" s="294" t="s">
        <v>697</v>
      </c>
      <c r="M7" s="295">
        <f ca="1">F7</f>
        <v>0</v>
      </c>
    </row>
    <row r="8" spans="1:37" ht="18" customHeight="1">
      <c r="A8" s="296"/>
      <c r="B8" s="3400"/>
      <c r="C8" s="298"/>
      <c r="D8" s="299"/>
      <c r="E8" s="294" t="s">
        <v>698</v>
      </c>
      <c r="F8" s="295">
        <f ca="1">INDIRECT("'数据-取费表'!ai"&amp;$G$1)</f>
        <v>0</v>
      </c>
      <c r="G8" s="1292"/>
      <c r="H8" s="296"/>
      <c r="I8" s="3400"/>
      <c r="J8" s="298"/>
      <c r="K8" s="299"/>
      <c r="L8" s="294" t="s">
        <v>698</v>
      </c>
      <c r="M8" s="295">
        <f ca="1">INDIRECT("'数据-取费表'!ai"&amp;$G$1)</f>
        <v>0</v>
      </c>
    </row>
    <row r="9" spans="1:37" ht="18" customHeight="1">
      <c r="A9" s="296"/>
      <c r="B9" s="3401"/>
      <c r="C9" s="298"/>
      <c r="D9" s="299"/>
      <c r="E9" s="294" t="s">
        <v>699</v>
      </c>
      <c r="F9" s="304">
        <f ca="1">INDIRECT("'数据-取费表'!w"&amp;$G$1)</f>
        <v>0</v>
      </c>
      <c r="G9" s="1292"/>
      <c r="H9" s="296"/>
      <c r="I9" s="340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2.52E-2</v>
      </c>
      <c r="G11" s="1292"/>
      <c r="H11" s="1014"/>
      <c r="I11" s="1275" t="s">
        <v>891</v>
      </c>
      <c r="J11" s="905"/>
      <c r="K11" s="646"/>
      <c r="L11" s="305" t="s">
        <v>702</v>
      </c>
      <c r="M11" s="809">
        <f ca="1">'数据-取费表'!B39</f>
        <v>2.52E-2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150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3338</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5.67E-2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5.6000000000000001E-2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69" t="s">
        <v>2308</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3338</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0</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ROUND(C13*F37,0)</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ROUND(C5*F38,0)</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3354</v>
      </c>
      <c r="B45" s="1307"/>
      <c r="C45" s="1376" t="e">
        <f ca="1">ROUND((C68-C40)/10000,4)</f>
        <v>#DIV/0!</v>
      </c>
      <c r="D45" s="3130" t="s">
        <v>3355</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97" t="s">
        <v>837</v>
      </c>
      <c r="L53" s="3398"/>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3338</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3" t="s">
        <v>2317</v>
      </c>
      <c r="B2" s="2594" t="e">
        <f>IF(D2="——",C40,C40+E2)</f>
        <v>#DIV/0!</v>
      </c>
      <c r="C2" s="2595" t="s">
        <v>2318</v>
      </c>
      <c r="D2" s="3138" t="s">
        <v>3361</v>
      </c>
      <c r="E2" s="3139"/>
      <c r="F2" s="2597"/>
      <c r="G2" s="2598"/>
      <c r="H2" s="2599"/>
      <c r="I2" s="2600"/>
      <c r="J2" s="3408" t="s">
        <v>2319</v>
      </c>
      <c r="K2" s="3409"/>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410" t="s">
        <v>2329</v>
      </c>
      <c r="K3" s="3411"/>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410" t="s">
        <v>2331</v>
      </c>
      <c r="K4" s="3411"/>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416" t="s">
        <v>2335</v>
      </c>
      <c r="B6" s="3417"/>
      <c r="C6" s="3418"/>
      <c r="D6" s="2621"/>
      <c r="E6" s="2622"/>
      <c r="F6" s="2623"/>
      <c r="G6" s="2624"/>
      <c r="H6" s="2599"/>
      <c r="I6" s="2600"/>
      <c r="J6" s="3402">
        <v>1</v>
      </c>
      <c r="K6" s="3403"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402"/>
      <c r="K7" s="3404"/>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419" t="s">
        <v>2349</v>
      </c>
      <c r="C8" s="3420"/>
      <c r="D8" s="2640" t="s">
        <v>2350</v>
      </c>
      <c r="E8" s="2641" t="s">
        <v>2351</v>
      </c>
      <c r="F8" s="2642" t="s">
        <v>2352</v>
      </c>
      <c r="G8" s="2643"/>
      <c r="H8" s="2599"/>
      <c r="I8" s="2600"/>
      <c r="J8" s="3402"/>
      <c r="K8" s="3404"/>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419" t="s">
        <v>2355</v>
      </c>
      <c r="C9" s="3420"/>
      <c r="D9" s="2640">
        <f>ROUND(D6*E9,0)</f>
        <v>0</v>
      </c>
      <c r="E9" s="2644"/>
      <c r="F9" s="2645" t="s">
        <v>2356</v>
      </c>
      <c r="G9" s="2624"/>
      <c r="H9" s="2599"/>
      <c r="I9" s="2600"/>
      <c r="J9" s="3402"/>
      <c r="K9" s="3404"/>
      <c r="L9" s="2634" t="s">
        <v>2357</v>
      </c>
      <c r="M9" s="2635"/>
      <c r="N9" s="2611"/>
      <c r="O9" s="2636"/>
      <c r="P9" s="2636"/>
      <c r="Q9" s="2637">
        <v>365</v>
      </c>
      <c r="R9" s="2638">
        <f t="shared" si="0"/>
        <v>0</v>
      </c>
      <c r="S9" s="2592"/>
      <c r="T9" s="2592"/>
      <c r="U9" s="2592"/>
      <c r="V9" s="2600"/>
    </row>
    <row r="10" spans="1:22" s="2604" customFormat="1" ht="13.15" customHeight="1">
      <c r="A10" s="2639">
        <v>2</v>
      </c>
      <c r="B10" s="3419" t="s">
        <v>2358</v>
      </c>
      <c r="C10" s="3420"/>
      <c r="D10" s="2640">
        <f>ROUND(D6*E10,0)</f>
        <v>0</v>
      </c>
      <c r="E10" s="2644"/>
      <c r="F10" s="2645" t="s">
        <v>2359</v>
      </c>
      <c r="G10" s="2624"/>
      <c r="H10" s="2599"/>
      <c r="I10" s="2600"/>
      <c r="J10" s="3402"/>
      <c r="K10" s="3404"/>
      <c r="L10" s="2634" t="s">
        <v>2360</v>
      </c>
      <c r="M10" s="2635"/>
      <c r="N10" s="2611"/>
      <c r="O10" s="2636"/>
      <c r="P10" s="2636"/>
      <c r="Q10" s="2637">
        <v>365</v>
      </c>
      <c r="R10" s="2638">
        <f t="shared" si="0"/>
        <v>0</v>
      </c>
      <c r="S10" s="2592"/>
      <c r="T10" s="2592"/>
      <c r="U10" s="2592"/>
      <c r="V10" s="2600"/>
    </row>
    <row r="11" spans="1:22" s="2604" customFormat="1" ht="13.15" customHeight="1">
      <c r="A11" s="2639">
        <v>3</v>
      </c>
      <c r="B11" s="3419" t="s">
        <v>2361</v>
      </c>
      <c r="C11" s="3420"/>
      <c r="D11" s="2640">
        <f>D12+D14+D15+D16</f>
        <v>0</v>
      </c>
      <c r="E11" s="2646" t="e">
        <f>D11/D6</f>
        <v>#DIV/0!</v>
      </c>
      <c r="F11" s="2642"/>
      <c r="G11" s="2643"/>
      <c r="H11" s="2599"/>
      <c r="I11" s="2600"/>
      <c r="J11" s="3402"/>
      <c r="K11" s="3404"/>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412" t="s">
        <v>2364</v>
      </c>
      <c r="C12" s="3413"/>
      <c r="D12" s="2648">
        <f>ROUND(D13*1.2%*(1-30%),0)</f>
        <v>0</v>
      </c>
      <c r="E12" s="2649">
        <v>1.2E-2</v>
      </c>
      <c r="F12" s="2642" t="s">
        <v>2365</v>
      </c>
      <c r="G12" s="2643"/>
      <c r="H12" s="2599"/>
      <c r="I12" s="2600"/>
      <c r="J12" s="3402"/>
      <c r="K12" s="3404"/>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402"/>
      <c r="K13" s="3404"/>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412" t="s">
        <v>2370</v>
      </c>
      <c r="C14" s="3413"/>
      <c r="D14" s="2648">
        <f>ROUND(E14*B5/10000,0)</f>
        <v>0</v>
      </c>
      <c r="E14" s="2637"/>
      <c r="F14" s="2642" t="s">
        <v>2371</v>
      </c>
      <c r="G14" s="2643"/>
      <c r="H14" s="2599"/>
      <c r="I14" s="2600"/>
      <c r="J14" s="3402"/>
      <c r="K14" s="3405"/>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412" t="s">
        <v>2374</v>
      </c>
      <c r="C15" s="3413"/>
      <c r="D15" s="2648">
        <f>ROUND(D6*E15,0)</f>
        <v>0</v>
      </c>
      <c r="E15" s="2649">
        <v>5.5E-2</v>
      </c>
      <c r="F15" s="2642" t="s">
        <v>2375</v>
      </c>
      <c r="G15" s="2624"/>
      <c r="H15" s="2599"/>
      <c r="I15" s="2600"/>
      <c r="J15" s="3402">
        <v>2</v>
      </c>
      <c r="K15" s="3403"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412" t="s">
        <v>2383</v>
      </c>
      <c r="C16" s="3413"/>
      <c r="D16" s="2659">
        <f>D6*E16</f>
        <v>0</v>
      </c>
      <c r="E16" s="2660"/>
      <c r="F16" s="2645" t="s">
        <v>2384</v>
      </c>
      <c r="G16" s="2624"/>
      <c r="H16" s="2599"/>
      <c r="I16" s="2600"/>
      <c r="J16" s="3402"/>
      <c r="K16" s="3404"/>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414" t="s">
        <v>2386</v>
      </c>
      <c r="C17" s="3415"/>
      <c r="D17" s="2662">
        <f>ROUND(D6*E17,0)</f>
        <v>0</v>
      </c>
      <c r="E17" s="2663"/>
      <c r="F17" s="2664" t="s">
        <v>2387</v>
      </c>
      <c r="G17" s="2624"/>
      <c r="H17" s="2599"/>
      <c r="I17" s="2600"/>
      <c r="J17" s="3402"/>
      <c r="K17" s="3404"/>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402"/>
      <c r="K18" s="3404"/>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402"/>
      <c r="K19" s="3405"/>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02">
        <v>3</v>
      </c>
      <c r="K20" s="3403"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402"/>
      <c r="K21" s="3404"/>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402"/>
      <c r="K22" s="3404"/>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402"/>
      <c r="K23" s="3404"/>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402"/>
      <c r="K24" s="3405"/>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406">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407"/>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408" t="s">
        <v>2319</v>
      </c>
      <c r="K32" s="3409"/>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410" t="s">
        <v>2329</v>
      </c>
      <c r="K33" s="3411"/>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410" t="s">
        <v>2331</v>
      </c>
      <c r="K34" s="341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402">
        <v>1</v>
      </c>
      <c r="K36" s="3403"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402"/>
      <c r="K37" s="3404"/>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02"/>
      <c r="K38" s="3404"/>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402"/>
      <c r="K39" s="3404"/>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402"/>
      <c r="K40" s="3405"/>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406">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407"/>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2">
        <f>SUM(E6:E13)</f>
        <v>0</v>
      </c>
      <c r="F2" s="2479"/>
      <c r="G2" s="459"/>
      <c r="H2" s="459"/>
      <c r="I2" s="459"/>
      <c r="J2" s="459"/>
      <c r="K2" s="459"/>
      <c r="L2" s="459"/>
      <c r="M2" s="459"/>
      <c r="N2" s="459"/>
      <c r="O2" s="459"/>
      <c r="P2" s="459"/>
      <c r="Q2" s="459"/>
      <c r="R2" s="459"/>
      <c r="S2" s="459"/>
    </row>
    <row r="3" spans="1:22" ht="15.75">
      <c r="A3" s="1728" t="s">
        <v>686</v>
      </c>
      <c r="B3" s="2386" t="e">
        <f ca="1">ROUND(B2*10000/E2,0)</f>
        <v>#DIV/0!</v>
      </c>
      <c r="C3" s="1729"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21" t="s">
        <v>1654</v>
      </c>
      <c r="C5" s="3422"/>
      <c r="D5" s="2480"/>
      <c r="E5" s="1731"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9" t="s">
        <v>1651</v>
      </c>
      <c r="D6" s="2479"/>
      <c r="E6" s="2391">
        <f>IF(OR(A6=0,F6="否"),0,'数据-取费表'!K6+'数据-取费表'!S6)</f>
        <v>0</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9"/>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9"/>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9"/>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9"/>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9"/>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9"/>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1"/>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F4:AC34"/>
  <sheetViews>
    <sheetView workbookViewId="0">
      <selection activeCell="X38" sqref="X38"/>
    </sheetView>
  </sheetViews>
  <sheetFormatPr defaultRowHeight="13.5"/>
  <cols>
    <col min="10" max="10" width="22.25" bestFit="1" customWidth="1"/>
    <col min="11" max="11" width="8.5" bestFit="1" customWidth="1"/>
    <col min="12" max="12" width="12.25" bestFit="1" customWidth="1"/>
    <col min="13" max="13" width="8.5" bestFit="1" customWidth="1"/>
    <col min="14" max="14" width="15" style="3163" bestFit="1" customWidth="1"/>
    <col min="15" max="15" width="19.75" bestFit="1" customWidth="1"/>
    <col min="16" max="16" width="9.375" style="3155" bestFit="1" customWidth="1"/>
    <col min="20" max="20" width="13.75" customWidth="1"/>
    <col min="21" max="21" width="10.25" bestFit="1" customWidth="1"/>
  </cols>
  <sheetData>
    <row r="4" spans="6:29">
      <c r="F4" t="s">
        <v>3425</v>
      </c>
      <c r="G4" t="s">
        <v>3426</v>
      </c>
      <c r="H4" t="s">
        <v>3427</v>
      </c>
      <c r="I4" t="s">
        <v>3428</v>
      </c>
      <c r="J4" t="s">
        <v>3429</v>
      </c>
      <c r="K4" t="s">
        <v>3430</v>
      </c>
      <c r="L4" t="s">
        <v>3431</v>
      </c>
      <c r="M4" t="s">
        <v>3432</v>
      </c>
      <c r="N4" s="3163" t="s">
        <v>3433</v>
      </c>
      <c r="O4" t="s">
        <v>3434</v>
      </c>
      <c r="P4" s="3155" t="s">
        <v>3435</v>
      </c>
      <c r="Q4" t="s">
        <v>3436</v>
      </c>
      <c r="R4" t="s">
        <v>3437</v>
      </c>
      <c r="S4" t="s">
        <v>3438</v>
      </c>
      <c r="T4" t="s">
        <v>3439</v>
      </c>
      <c r="U4" t="s">
        <v>3440</v>
      </c>
      <c r="V4" t="s">
        <v>3441</v>
      </c>
      <c r="W4" t="s">
        <v>3417</v>
      </c>
      <c r="X4" t="s">
        <v>3442</v>
      </c>
      <c r="Y4" t="s">
        <v>3418</v>
      </c>
      <c r="Z4" t="s">
        <v>3443</v>
      </c>
      <c r="AA4" t="s">
        <v>3444</v>
      </c>
      <c r="AB4" t="s">
        <v>3445</v>
      </c>
      <c r="AC4" t="s">
        <v>3446</v>
      </c>
    </row>
    <row r="5" spans="6:29">
      <c r="F5" t="s">
        <v>3447</v>
      </c>
      <c r="G5" t="s">
        <v>3448</v>
      </c>
      <c r="I5" t="s">
        <v>3449</v>
      </c>
      <c r="K5" t="s">
        <v>3450</v>
      </c>
      <c r="L5">
        <v>65.239999999999995</v>
      </c>
      <c r="N5" s="3163">
        <v>5</v>
      </c>
      <c r="O5" t="s">
        <v>3451</v>
      </c>
      <c r="P5" s="3155">
        <v>7664</v>
      </c>
      <c r="Q5">
        <v>500000</v>
      </c>
      <c r="R5">
        <v>9728</v>
      </c>
      <c r="S5">
        <v>634600</v>
      </c>
      <c r="T5" t="s">
        <v>3452</v>
      </c>
      <c r="U5" s="3156">
        <v>39528</v>
      </c>
    </row>
    <row r="6" spans="6:29">
      <c r="F6" t="s">
        <v>3447</v>
      </c>
      <c r="G6" t="s">
        <v>3448</v>
      </c>
      <c r="I6" t="s">
        <v>3457</v>
      </c>
      <c r="K6" t="s">
        <v>3458</v>
      </c>
      <c r="L6">
        <v>83.42</v>
      </c>
      <c r="N6" s="3163">
        <v>17</v>
      </c>
      <c r="O6" t="s">
        <v>3451</v>
      </c>
      <c r="P6" s="3155">
        <v>6234</v>
      </c>
      <c r="Q6">
        <v>520000</v>
      </c>
      <c r="R6">
        <v>9351</v>
      </c>
      <c r="S6">
        <v>780000</v>
      </c>
      <c r="T6" t="s">
        <v>3459</v>
      </c>
      <c r="U6" s="3156">
        <v>39605</v>
      </c>
    </row>
    <row r="7" spans="6:29">
      <c r="F7" t="s">
        <v>3447</v>
      </c>
      <c r="G7" t="s">
        <v>3453</v>
      </c>
      <c r="I7" t="s">
        <v>3454</v>
      </c>
      <c r="K7" t="s">
        <v>3460</v>
      </c>
      <c r="L7">
        <v>64.010000000000005</v>
      </c>
      <c r="N7" s="3163">
        <v>3</v>
      </c>
      <c r="O7" t="s">
        <v>3451</v>
      </c>
      <c r="P7" s="3155">
        <v>4999</v>
      </c>
      <c r="Q7">
        <v>320000</v>
      </c>
      <c r="R7">
        <v>9350</v>
      </c>
      <c r="S7">
        <v>598400</v>
      </c>
      <c r="T7" t="s">
        <v>3461</v>
      </c>
      <c r="U7" s="3156">
        <v>39608</v>
      </c>
    </row>
    <row r="8" spans="6:29">
      <c r="F8" s="3161" t="s">
        <v>3447</v>
      </c>
      <c r="G8" s="3161" t="s">
        <v>3448</v>
      </c>
      <c r="H8" s="3161"/>
      <c r="I8" s="3161" t="s">
        <v>3462</v>
      </c>
      <c r="J8" s="3161" t="s">
        <v>3463</v>
      </c>
      <c r="K8" s="3161" t="s">
        <v>3464</v>
      </c>
      <c r="L8" s="3161">
        <v>99.4</v>
      </c>
      <c r="M8" s="3161"/>
      <c r="N8" s="3164">
        <v>2</v>
      </c>
      <c r="O8" s="3161" t="s">
        <v>3415</v>
      </c>
      <c r="P8" s="3162">
        <v>8652</v>
      </c>
      <c r="Q8" s="3161">
        <v>860000</v>
      </c>
      <c r="R8" s="3161">
        <v>9969</v>
      </c>
      <c r="S8" s="3161">
        <v>990900</v>
      </c>
      <c r="T8" s="3161" t="s">
        <v>3465</v>
      </c>
      <c r="U8" s="3157">
        <v>39624</v>
      </c>
      <c r="V8" s="1405" t="s">
        <v>3554</v>
      </c>
      <c r="W8" s="3166" t="s">
        <v>3557</v>
      </c>
    </row>
    <row r="9" spans="6:29" hidden="1">
      <c r="F9" t="s">
        <v>3447</v>
      </c>
      <c r="G9" t="s">
        <v>3466</v>
      </c>
      <c r="I9" t="s">
        <v>3457</v>
      </c>
      <c r="K9" t="s">
        <v>3467</v>
      </c>
      <c r="L9">
        <v>54.5</v>
      </c>
      <c r="N9" s="3163">
        <v>3</v>
      </c>
      <c r="O9" t="s">
        <v>3451</v>
      </c>
      <c r="P9" s="3155">
        <v>11193</v>
      </c>
      <c r="Q9">
        <v>610000</v>
      </c>
      <c r="R9">
        <v>9187</v>
      </c>
      <c r="S9">
        <v>500600</v>
      </c>
      <c r="T9" t="s">
        <v>3468</v>
      </c>
      <c r="U9" s="3156">
        <v>39661</v>
      </c>
      <c r="W9" s="3165"/>
    </row>
    <row r="10" spans="6:29" hidden="1">
      <c r="F10" t="s">
        <v>3447</v>
      </c>
      <c r="G10" s="1405" t="s">
        <v>3562</v>
      </c>
      <c r="I10" t="s">
        <v>3454</v>
      </c>
      <c r="K10" t="s">
        <v>3455</v>
      </c>
      <c r="L10">
        <v>64.010000000000005</v>
      </c>
      <c r="N10" s="3163">
        <v>4</v>
      </c>
      <c r="O10" t="s">
        <v>3451</v>
      </c>
      <c r="P10" s="3155">
        <v>9842</v>
      </c>
      <c r="Q10">
        <v>630000</v>
      </c>
      <c r="R10">
        <v>9771</v>
      </c>
      <c r="S10">
        <v>625400</v>
      </c>
      <c r="T10" t="s">
        <v>3456</v>
      </c>
      <c r="U10" s="3156">
        <v>39574</v>
      </c>
    </row>
    <row r="11" spans="6:29" hidden="1">
      <c r="F11" s="3161" t="s">
        <v>3447</v>
      </c>
      <c r="G11" s="3161" t="s">
        <v>3448</v>
      </c>
      <c r="H11" s="3161"/>
      <c r="I11" s="3161" t="s">
        <v>3469</v>
      </c>
      <c r="J11" s="3161"/>
      <c r="K11" s="3161" t="s">
        <v>3470</v>
      </c>
      <c r="L11" s="3161">
        <v>121.2</v>
      </c>
      <c r="M11" s="3161"/>
      <c r="N11" s="3164">
        <v>20</v>
      </c>
      <c r="O11" s="3161" t="s">
        <v>3471</v>
      </c>
      <c r="P11" s="3162">
        <v>7096</v>
      </c>
      <c r="Q11" s="3161">
        <v>860000</v>
      </c>
      <c r="R11" s="3161">
        <v>9655</v>
      </c>
      <c r="S11" s="3161">
        <v>1170100</v>
      </c>
      <c r="T11" s="3161" t="s">
        <v>3472</v>
      </c>
      <c r="U11" s="3160">
        <v>39663</v>
      </c>
      <c r="V11" s="1405" t="s">
        <v>3553</v>
      </c>
      <c r="W11" s="3166" t="s">
        <v>3558</v>
      </c>
    </row>
    <row r="12" spans="6:29">
      <c r="F12" s="3161" t="s">
        <v>3447</v>
      </c>
      <c r="G12" s="3161" t="s">
        <v>3448</v>
      </c>
      <c r="H12" s="3161"/>
      <c r="I12" s="3161" t="s">
        <v>3473</v>
      </c>
      <c r="J12" s="3161" t="s">
        <v>3474</v>
      </c>
      <c r="K12" s="3161" t="s">
        <v>3475</v>
      </c>
      <c r="L12" s="3161">
        <v>96.85</v>
      </c>
      <c r="M12" s="3161"/>
      <c r="N12" s="3164">
        <v>19</v>
      </c>
      <c r="O12" s="3161" t="s">
        <v>3476</v>
      </c>
      <c r="P12" s="3162">
        <v>8880</v>
      </c>
      <c r="Q12" s="3161">
        <v>860000</v>
      </c>
      <c r="R12" s="3161">
        <v>9201</v>
      </c>
      <c r="S12" s="3161">
        <v>891100</v>
      </c>
      <c r="T12" s="3161" t="s">
        <v>3477</v>
      </c>
      <c r="U12" s="3160">
        <v>39696</v>
      </c>
      <c r="V12" s="1405" t="s">
        <v>3565</v>
      </c>
      <c r="W12" s="3166" t="s">
        <v>3566</v>
      </c>
    </row>
    <row r="13" spans="6:29" hidden="1">
      <c r="F13" t="s">
        <v>3447</v>
      </c>
      <c r="G13" t="s">
        <v>3478</v>
      </c>
      <c r="I13" t="s">
        <v>3479</v>
      </c>
      <c r="K13" t="s">
        <v>3480</v>
      </c>
      <c r="L13">
        <v>98.69</v>
      </c>
      <c r="N13" s="3163">
        <v>1</v>
      </c>
      <c r="O13" t="s">
        <v>3481</v>
      </c>
      <c r="P13" s="3155">
        <v>5573</v>
      </c>
      <c r="Q13">
        <v>550000</v>
      </c>
      <c r="R13">
        <v>9205</v>
      </c>
      <c r="S13">
        <v>908400</v>
      </c>
      <c r="T13" t="s">
        <v>3482</v>
      </c>
      <c r="U13" s="3158"/>
      <c r="W13" s="3165"/>
    </row>
    <row r="14" spans="6:29" hidden="1">
      <c r="F14" t="s">
        <v>3447</v>
      </c>
      <c r="G14" t="s">
        <v>3483</v>
      </c>
      <c r="I14" t="s">
        <v>3413</v>
      </c>
      <c r="K14" t="s">
        <v>3484</v>
      </c>
      <c r="L14">
        <v>64.33</v>
      </c>
      <c r="N14" s="3163">
        <v>2</v>
      </c>
      <c r="O14" t="s">
        <v>3485</v>
      </c>
      <c r="P14" s="3155">
        <v>3553</v>
      </c>
      <c r="Q14">
        <v>228562</v>
      </c>
      <c r="R14">
        <v>3553</v>
      </c>
      <c r="S14">
        <v>228500</v>
      </c>
      <c r="T14" t="s">
        <v>3486</v>
      </c>
      <c r="U14" s="3158"/>
      <c r="W14" s="3165"/>
    </row>
    <row r="15" spans="6:29" hidden="1">
      <c r="F15" t="s">
        <v>3447</v>
      </c>
      <c r="G15" t="s">
        <v>3487</v>
      </c>
      <c r="I15" t="s">
        <v>3488</v>
      </c>
      <c r="K15" t="s">
        <v>3489</v>
      </c>
      <c r="L15">
        <v>109.02</v>
      </c>
      <c r="N15" s="3163">
        <v>17</v>
      </c>
      <c r="O15" t="s">
        <v>3451</v>
      </c>
      <c r="P15" s="3155">
        <v>6421</v>
      </c>
      <c r="Q15">
        <v>700000</v>
      </c>
      <c r="R15">
        <v>8950</v>
      </c>
      <c r="S15">
        <v>975699.99999999988</v>
      </c>
      <c r="T15" t="s">
        <v>3490</v>
      </c>
      <c r="U15" s="3158"/>
      <c r="W15" s="3165"/>
    </row>
    <row r="16" spans="6:29" hidden="1">
      <c r="F16" t="s">
        <v>3447</v>
      </c>
      <c r="G16" t="s">
        <v>3487</v>
      </c>
      <c r="I16" t="s">
        <v>3488</v>
      </c>
      <c r="K16" t="s">
        <v>3491</v>
      </c>
      <c r="L16">
        <v>109.02</v>
      </c>
      <c r="N16" s="3163">
        <v>20</v>
      </c>
      <c r="O16" t="s">
        <v>3451</v>
      </c>
      <c r="P16" s="3155">
        <v>7155</v>
      </c>
      <c r="Q16">
        <v>780000</v>
      </c>
      <c r="R16">
        <v>9537</v>
      </c>
      <c r="S16">
        <v>1039700</v>
      </c>
      <c r="T16" t="s">
        <v>3492</v>
      </c>
      <c r="U16" s="3158"/>
      <c r="W16" s="3165"/>
    </row>
    <row r="17" spans="6:23" hidden="1">
      <c r="F17" t="s">
        <v>3447</v>
      </c>
      <c r="G17" t="s">
        <v>3478</v>
      </c>
      <c r="I17" t="s">
        <v>3493</v>
      </c>
      <c r="K17" t="s">
        <v>3494</v>
      </c>
      <c r="L17">
        <v>89.21</v>
      </c>
      <c r="N17" s="3163">
        <v>2</v>
      </c>
      <c r="O17" t="s">
        <v>3451</v>
      </c>
      <c r="P17" s="3155">
        <v>5504</v>
      </c>
      <c r="Q17">
        <v>491000</v>
      </c>
      <c r="R17">
        <v>9715</v>
      </c>
      <c r="S17">
        <v>866600</v>
      </c>
      <c r="T17" t="s">
        <v>3495</v>
      </c>
      <c r="U17" s="3156"/>
      <c r="W17" s="3165"/>
    </row>
    <row r="18" spans="6:23" hidden="1">
      <c r="F18" t="s">
        <v>3447</v>
      </c>
      <c r="G18" t="s">
        <v>3478</v>
      </c>
      <c r="I18" t="s">
        <v>3479</v>
      </c>
      <c r="K18" t="s">
        <v>3496</v>
      </c>
      <c r="L18">
        <v>77.52</v>
      </c>
      <c r="N18" s="3163">
        <v>25</v>
      </c>
      <c r="O18" t="s">
        <v>3485</v>
      </c>
      <c r="P18" s="3155">
        <v>5418</v>
      </c>
      <c r="Q18">
        <v>420000</v>
      </c>
      <c r="R18">
        <v>9870</v>
      </c>
      <c r="S18">
        <v>765100</v>
      </c>
      <c r="T18" t="s">
        <v>3497</v>
      </c>
      <c r="U18" s="3156">
        <v>39546</v>
      </c>
      <c r="W18" s="3165"/>
    </row>
    <row r="19" spans="6:23" hidden="1">
      <c r="F19" t="s">
        <v>3447</v>
      </c>
      <c r="G19" t="s">
        <v>3498</v>
      </c>
      <c r="I19" t="s">
        <v>3499</v>
      </c>
      <c r="K19" t="s">
        <v>3500</v>
      </c>
      <c r="L19">
        <v>132.88999999999999</v>
      </c>
      <c r="N19" s="3163">
        <v>5</v>
      </c>
      <c r="O19" t="s">
        <v>3471</v>
      </c>
      <c r="P19" s="3155">
        <v>6773</v>
      </c>
      <c r="Q19">
        <v>900000</v>
      </c>
      <c r="R19">
        <v>10027</v>
      </c>
      <c r="S19">
        <v>1332400</v>
      </c>
      <c r="T19" t="s">
        <v>3501</v>
      </c>
      <c r="U19" s="3156"/>
      <c r="W19" s="3165"/>
    </row>
    <row r="20" spans="6:23" hidden="1">
      <c r="F20" t="s">
        <v>3447</v>
      </c>
      <c r="G20" t="s">
        <v>3478</v>
      </c>
      <c r="I20" t="s">
        <v>3479</v>
      </c>
      <c r="K20" t="s">
        <v>3502</v>
      </c>
      <c r="L20">
        <v>76.31</v>
      </c>
      <c r="N20" s="3163">
        <v>12</v>
      </c>
      <c r="O20" t="s">
        <v>3451</v>
      </c>
      <c r="P20" s="3155">
        <v>5897</v>
      </c>
      <c r="Q20">
        <v>450000</v>
      </c>
      <c r="R20">
        <v>9620</v>
      </c>
      <c r="S20">
        <v>734100</v>
      </c>
      <c r="T20" t="s">
        <v>3503</v>
      </c>
      <c r="U20" s="3156"/>
      <c r="W20" s="3165"/>
    </row>
    <row r="21" spans="6:23" hidden="1">
      <c r="F21" t="s">
        <v>3447</v>
      </c>
      <c r="G21" t="s">
        <v>3504</v>
      </c>
      <c r="I21" t="s">
        <v>3499</v>
      </c>
      <c r="J21" t="s">
        <v>3463</v>
      </c>
      <c r="K21" t="s">
        <v>3505</v>
      </c>
      <c r="L21">
        <v>53.41</v>
      </c>
      <c r="N21" s="3163">
        <v>4</v>
      </c>
      <c r="O21" t="s">
        <v>3451</v>
      </c>
      <c r="P21" s="3155">
        <v>10335</v>
      </c>
      <c r="Q21">
        <v>552000</v>
      </c>
      <c r="R21">
        <v>9565</v>
      </c>
      <c r="S21">
        <v>510800</v>
      </c>
      <c r="T21" t="s">
        <v>3506</v>
      </c>
      <c r="U21" s="3156"/>
      <c r="W21" s="3165"/>
    </row>
    <row r="22" spans="6:23" hidden="1">
      <c r="F22" t="s">
        <v>3447</v>
      </c>
      <c r="G22" t="s">
        <v>3507</v>
      </c>
      <c r="I22" t="s">
        <v>3508</v>
      </c>
      <c r="K22" t="s">
        <v>3509</v>
      </c>
      <c r="L22">
        <v>85.79</v>
      </c>
      <c r="N22" s="3163">
        <v>19</v>
      </c>
      <c r="O22" t="s">
        <v>3451</v>
      </c>
      <c r="P22" s="3155">
        <v>7169</v>
      </c>
      <c r="Q22">
        <v>615000</v>
      </c>
      <c r="R22">
        <v>10214</v>
      </c>
      <c r="S22">
        <v>876200</v>
      </c>
      <c r="T22" t="s">
        <v>3510</v>
      </c>
      <c r="U22" s="3156" t="s">
        <v>2420</v>
      </c>
      <c r="W22" s="3165"/>
    </row>
    <row r="23" spans="6:23" hidden="1">
      <c r="F23" t="s">
        <v>3447</v>
      </c>
      <c r="G23" t="s">
        <v>3511</v>
      </c>
      <c r="I23" t="s">
        <v>3413</v>
      </c>
      <c r="K23" t="s">
        <v>3512</v>
      </c>
      <c r="L23">
        <v>50.5</v>
      </c>
      <c r="O23" t="s">
        <v>3451</v>
      </c>
      <c r="P23" s="3155">
        <v>10396</v>
      </c>
      <c r="Q23">
        <v>525000</v>
      </c>
      <c r="R23">
        <v>9096</v>
      </c>
      <c r="S23">
        <v>459300</v>
      </c>
      <c r="T23" t="s">
        <v>3468</v>
      </c>
      <c r="U23" s="3156"/>
      <c r="W23" s="3165"/>
    </row>
    <row r="24" spans="6:23" hidden="1">
      <c r="F24" t="s">
        <v>3447</v>
      </c>
      <c r="G24" t="s">
        <v>3513</v>
      </c>
      <c r="I24" t="s">
        <v>3514</v>
      </c>
      <c r="J24" t="s">
        <v>3515</v>
      </c>
      <c r="K24" t="s">
        <v>3516</v>
      </c>
      <c r="L24">
        <v>132.91</v>
      </c>
      <c r="N24" s="3163">
        <v>14</v>
      </c>
      <c r="O24" t="s">
        <v>3471</v>
      </c>
      <c r="P24" s="3155">
        <v>7524</v>
      </c>
      <c r="Q24">
        <v>1000000</v>
      </c>
      <c r="R24">
        <v>9684</v>
      </c>
      <c r="S24">
        <v>1287100</v>
      </c>
      <c r="T24" t="s">
        <v>3517</v>
      </c>
      <c r="U24" s="3158">
        <v>39661</v>
      </c>
      <c r="W24" s="3165"/>
    </row>
    <row r="25" spans="6:23" hidden="1">
      <c r="F25" t="s">
        <v>3447</v>
      </c>
      <c r="G25" t="s">
        <v>3448</v>
      </c>
      <c r="I25" t="s">
        <v>3473</v>
      </c>
      <c r="J25" t="s">
        <v>3414</v>
      </c>
      <c r="K25" t="s">
        <v>3518</v>
      </c>
      <c r="L25">
        <v>99.57</v>
      </c>
      <c r="N25" s="3163">
        <v>5</v>
      </c>
      <c r="O25" t="s">
        <v>3476</v>
      </c>
      <c r="P25" s="3155">
        <v>6026</v>
      </c>
      <c r="Q25">
        <v>600000</v>
      </c>
      <c r="R25">
        <v>9590</v>
      </c>
      <c r="S25">
        <v>954800</v>
      </c>
      <c r="T25" t="s">
        <v>3519</v>
      </c>
      <c r="U25" s="3159">
        <v>39709</v>
      </c>
      <c r="W25" s="3165"/>
    </row>
    <row r="26" spans="6:23" hidden="1">
      <c r="F26" t="s">
        <v>3447</v>
      </c>
      <c r="G26" t="s">
        <v>3448</v>
      </c>
      <c r="I26" t="s">
        <v>3473</v>
      </c>
      <c r="K26" t="s">
        <v>3520</v>
      </c>
      <c r="L26">
        <v>96.85</v>
      </c>
      <c r="N26" s="3163">
        <v>13</v>
      </c>
      <c r="O26" t="s">
        <v>3476</v>
      </c>
      <c r="P26" s="3155">
        <v>9189</v>
      </c>
      <c r="Q26">
        <v>890000</v>
      </c>
      <c r="R26">
        <v>9269</v>
      </c>
      <c r="S26">
        <v>897700</v>
      </c>
      <c r="T26" t="s">
        <v>3521</v>
      </c>
      <c r="U26" s="3158"/>
      <c r="W26" s="3165"/>
    </row>
    <row r="27" spans="6:23" hidden="1">
      <c r="F27" t="s">
        <v>3447</v>
      </c>
      <c r="G27" t="s">
        <v>3453</v>
      </c>
      <c r="I27" t="s">
        <v>3522</v>
      </c>
      <c r="K27" t="s">
        <v>3523</v>
      </c>
      <c r="L27">
        <v>59.81</v>
      </c>
      <c r="N27" s="3163">
        <v>3</v>
      </c>
      <c r="O27" t="s">
        <v>3451</v>
      </c>
      <c r="P27" s="3155">
        <v>10951</v>
      </c>
      <c r="Q27">
        <v>655000</v>
      </c>
      <c r="R27">
        <v>9888</v>
      </c>
      <c r="S27">
        <v>591400</v>
      </c>
      <c r="T27" t="s">
        <v>3524</v>
      </c>
      <c r="U27" s="3156">
        <v>39765</v>
      </c>
      <c r="W27" s="3165"/>
    </row>
    <row r="28" spans="6:23" hidden="1">
      <c r="F28" s="3161" t="s">
        <v>3447</v>
      </c>
      <c r="G28" s="3161" t="s">
        <v>3448</v>
      </c>
      <c r="H28" s="3161"/>
      <c r="I28" s="3161" t="s">
        <v>3525</v>
      </c>
      <c r="J28" s="3161"/>
      <c r="K28" s="3161" t="s">
        <v>3526</v>
      </c>
      <c r="L28" s="3161">
        <v>67.64</v>
      </c>
      <c r="M28" s="3161"/>
      <c r="N28" s="3164">
        <v>6</v>
      </c>
      <c r="O28" s="3161" t="s">
        <v>3451</v>
      </c>
      <c r="P28" s="3162">
        <v>9876</v>
      </c>
      <c r="Q28" s="3161">
        <v>668000</v>
      </c>
      <c r="R28" s="3161">
        <v>9660</v>
      </c>
      <c r="S28" s="3161">
        <v>653400</v>
      </c>
      <c r="T28" s="3161" t="s">
        <v>3527</v>
      </c>
      <c r="U28" s="3160">
        <v>39752</v>
      </c>
      <c r="W28" s="3165"/>
    </row>
    <row r="29" spans="6:23">
      <c r="F29" s="3161" t="s">
        <v>3447</v>
      </c>
      <c r="G29" s="3161" t="s">
        <v>3448</v>
      </c>
      <c r="H29" s="3161"/>
      <c r="I29" s="3161" t="s">
        <v>3457</v>
      </c>
      <c r="J29" s="3161"/>
      <c r="K29" s="3161" t="s">
        <v>3528</v>
      </c>
      <c r="L29" s="3161">
        <v>83.42</v>
      </c>
      <c r="M29" s="3161"/>
      <c r="N29" s="3164">
        <v>21</v>
      </c>
      <c r="O29" s="3161" t="s">
        <v>3451</v>
      </c>
      <c r="P29" s="3162">
        <v>8991</v>
      </c>
      <c r="Q29" s="3161">
        <v>750000</v>
      </c>
      <c r="R29" s="3161">
        <v>9690</v>
      </c>
      <c r="S29" s="3161">
        <v>808300</v>
      </c>
      <c r="T29" s="3161" t="s">
        <v>3529</v>
      </c>
      <c r="U29" s="3160">
        <v>39755</v>
      </c>
      <c r="V29" s="1405" t="s">
        <v>3552</v>
      </c>
      <c r="W29" s="3166" t="s">
        <v>3559</v>
      </c>
    </row>
    <row r="30" spans="6:23">
      <c r="F30" t="s">
        <v>3447</v>
      </c>
      <c r="G30" t="s">
        <v>3448</v>
      </c>
      <c r="I30" t="s">
        <v>3457</v>
      </c>
      <c r="K30" t="s">
        <v>3530</v>
      </c>
      <c r="L30">
        <v>69.05</v>
      </c>
      <c r="N30" s="3163">
        <v>13</v>
      </c>
      <c r="O30" t="s">
        <v>3485</v>
      </c>
      <c r="P30" s="3155">
        <v>10282</v>
      </c>
      <c r="Q30">
        <v>710000</v>
      </c>
      <c r="R30">
        <v>9000</v>
      </c>
      <c r="S30">
        <v>621400</v>
      </c>
      <c r="T30" t="s">
        <v>3531</v>
      </c>
      <c r="U30" s="3156">
        <v>39763</v>
      </c>
    </row>
    <row r="31" spans="6:23">
      <c r="F31" t="s">
        <v>3447</v>
      </c>
      <c r="G31" t="s">
        <v>3487</v>
      </c>
      <c r="I31" t="s">
        <v>3532</v>
      </c>
      <c r="J31" t="s">
        <v>3533</v>
      </c>
      <c r="K31" t="s">
        <v>3534</v>
      </c>
      <c r="L31">
        <v>86.31</v>
      </c>
      <c r="N31" s="3163" t="s">
        <v>3535</v>
      </c>
      <c r="O31" t="s">
        <v>3481</v>
      </c>
      <c r="P31" s="3155">
        <v>7068</v>
      </c>
      <c r="Q31">
        <v>610000</v>
      </c>
      <c r="R31">
        <v>9550</v>
      </c>
      <c r="S31">
        <v>824200</v>
      </c>
      <c r="T31" t="s">
        <v>3536</v>
      </c>
      <c r="U31" s="3158">
        <v>39791</v>
      </c>
    </row>
    <row r="32" spans="6:23">
      <c r="F32" t="s">
        <v>3447</v>
      </c>
      <c r="G32" t="s">
        <v>3537</v>
      </c>
      <c r="I32" t="s">
        <v>3413</v>
      </c>
      <c r="J32" t="s">
        <v>3538</v>
      </c>
      <c r="K32" t="s">
        <v>3539</v>
      </c>
      <c r="L32">
        <v>54.24</v>
      </c>
      <c r="N32" s="3163">
        <v>12</v>
      </c>
      <c r="O32" t="s">
        <v>3485</v>
      </c>
      <c r="P32" s="3155">
        <v>5531</v>
      </c>
      <c r="Q32">
        <v>300000</v>
      </c>
      <c r="R32">
        <v>9588</v>
      </c>
      <c r="S32">
        <v>520000</v>
      </c>
      <c r="T32" t="s">
        <v>3540</v>
      </c>
      <c r="U32" s="3158"/>
    </row>
    <row r="33" spans="6:21">
      <c r="F33" t="s">
        <v>3447</v>
      </c>
      <c r="G33" t="s">
        <v>3448</v>
      </c>
      <c r="I33" t="s">
        <v>3541</v>
      </c>
      <c r="J33" t="s">
        <v>3414</v>
      </c>
      <c r="K33" t="s">
        <v>3509</v>
      </c>
      <c r="L33" t="s">
        <v>3542</v>
      </c>
      <c r="N33" s="3163" t="s">
        <v>3543</v>
      </c>
      <c r="O33" t="s">
        <v>3451</v>
      </c>
      <c r="P33" s="3155">
        <v>2659</v>
      </c>
      <c r="Q33">
        <v>290000</v>
      </c>
      <c r="R33">
        <v>8500</v>
      </c>
      <c r="S33">
        <v>927000</v>
      </c>
      <c r="T33" t="s">
        <v>3544</v>
      </c>
      <c r="U33" s="3158" t="s">
        <v>2420</v>
      </c>
    </row>
    <row r="34" spans="6:21">
      <c r="F34" t="s">
        <v>3447</v>
      </c>
      <c r="G34" t="s">
        <v>3504</v>
      </c>
      <c r="I34" t="s">
        <v>3545</v>
      </c>
      <c r="J34" t="s">
        <v>3546</v>
      </c>
      <c r="K34" t="s">
        <v>3547</v>
      </c>
      <c r="L34">
        <v>53.19</v>
      </c>
      <c r="O34" t="s">
        <v>3451</v>
      </c>
      <c r="P34" s="3155">
        <v>7144</v>
      </c>
      <c r="Q34">
        <v>380000</v>
      </c>
      <c r="R34">
        <v>8938</v>
      </c>
      <c r="S34">
        <v>475400</v>
      </c>
      <c r="T34" t="s">
        <v>3548</v>
      </c>
    </row>
  </sheetData>
  <phoneticPr fontId="13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91.09</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80" t="s">
        <v>1771</v>
      </c>
      <c r="S4" s="3381"/>
      <c r="T4" s="3380" t="s">
        <v>1772</v>
      </c>
      <c r="U4" s="3381"/>
      <c r="V4" s="3356" t="s">
        <v>1773</v>
      </c>
      <c r="W4" s="3356"/>
      <c r="X4" s="1265"/>
      <c r="Y4" s="3380" t="s">
        <v>1775</v>
      </c>
      <c r="Z4" s="3381"/>
      <c r="AA4" s="3367" t="s">
        <v>1771</v>
      </c>
      <c r="AB4" s="3356" t="s">
        <v>1772</v>
      </c>
      <c r="AC4" s="3367" t="s">
        <v>1773</v>
      </c>
    </row>
    <row r="5" spans="1:29" ht="15">
      <c r="A5" s="348"/>
      <c r="B5" s="349"/>
      <c r="C5" s="3423" t="s">
        <v>1673</v>
      </c>
      <c r="D5" s="3394"/>
      <c r="E5" s="3424" t="s">
        <v>1674</v>
      </c>
      <c r="F5" s="3389"/>
      <c r="G5" s="3423" t="s">
        <v>1675</v>
      </c>
      <c r="H5" s="3394"/>
      <c r="I5" s="3423" t="s">
        <v>1676</v>
      </c>
      <c r="J5" s="3394"/>
      <c r="K5" s="537"/>
      <c r="L5" s="2486"/>
      <c r="M5" s="2487"/>
      <c r="N5" s="2487"/>
      <c r="O5" s="2487"/>
      <c r="P5" s="3376"/>
      <c r="Q5" s="3377"/>
      <c r="R5" s="3382"/>
      <c r="S5" s="3383"/>
      <c r="T5" s="3382"/>
      <c r="U5" s="3383"/>
      <c r="V5" s="3356"/>
      <c r="W5" s="3356"/>
      <c r="X5" s="1265"/>
      <c r="Y5" s="3382"/>
      <c r="Z5" s="3383"/>
      <c r="AA5" s="3368"/>
      <c r="AB5" s="3356"/>
      <c r="AC5" s="3368"/>
    </row>
    <row r="6" spans="1:29" ht="15.75" thickBot="1">
      <c r="A6" s="350"/>
      <c r="B6" s="351"/>
      <c r="C6" s="3386" t="s">
        <v>1677</v>
      </c>
      <c r="D6" s="3387"/>
      <c r="E6" s="3395" t="s">
        <v>1677</v>
      </c>
      <c r="F6" s="3396"/>
      <c r="G6" s="3386" t="s">
        <v>1677</v>
      </c>
      <c r="H6" s="3387"/>
      <c r="I6" s="3386" t="s">
        <v>1677</v>
      </c>
      <c r="J6" s="3387"/>
      <c r="K6" s="537" t="s">
        <v>1678</v>
      </c>
      <c r="L6" s="2486"/>
      <c r="M6" s="2487"/>
      <c r="N6" s="2487"/>
      <c r="O6" s="2487"/>
      <c r="P6" s="3378"/>
      <c r="Q6" s="3379"/>
      <c r="R6" s="3382"/>
      <c r="S6" s="3383"/>
      <c r="T6" s="3384"/>
      <c r="U6" s="3385"/>
      <c r="V6" s="3356"/>
      <c r="W6" s="3356"/>
      <c r="X6" s="1265"/>
      <c r="Y6" s="3384"/>
      <c r="Z6" s="3385"/>
      <c r="AA6" s="3369"/>
      <c r="AB6" s="3356"/>
      <c r="AC6" s="3369"/>
    </row>
    <row r="7" spans="1:29" s="102" customFormat="1" ht="15.75" thickBot="1">
      <c r="A7" s="352" t="s">
        <v>1679</v>
      </c>
      <c r="B7" s="353"/>
      <c r="C7" s="354">
        <f>'数据-取费表'!B2</f>
        <v>39801</v>
      </c>
      <c r="D7" s="355">
        <v>100</v>
      </c>
      <c r="E7" s="356"/>
      <c r="F7" s="357">
        <f>SUMIF(58:58,YEAR(E7)&amp;"-"&amp;MONTH(E7),59:59)</f>
        <v>0</v>
      </c>
      <c r="G7" s="356"/>
      <c r="H7" s="355">
        <f>SUMIF(58:58,YEAR(G7)&amp;"-"&amp;MONTH(G7),59:59)</f>
        <v>0</v>
      </c>
      <c r="I7" s="356"/>
      <c r="J7" s="355">
        <f>SUMIF(58:58,YEAR(I7)&amp;"-"&amp;MONTH(I7),59:59)</f>
        <v>0</v>
      </c>
      <c r="K7" s="38"/>
      <c r="L7" s="2488"/>
      <c r="M7" s="2439"/>
      <c r="N7" s="2439"/>
      <c r="O7" s="2439"/>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66"/>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66"/>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6"/>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6"/>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6"/>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364" t="s">
        <v>1691</v>
      </c>
      <c r="Q15" s="1263" t="str">
        <f t="shared" si="6"/>
        <v>商业繁华度</v>
      </c>
      <c r="R15" s="667" t="s">
        <v>14</v>
      </c>
      <c r="S15" s="668">
        <f t="shared" si="0"/>
        <v>100</v>
      </c>
      <c r="T15" s="667" t="s">
        <v>14</v>
      </c>
      <c r="U15" s="668">
        <f t="shared" si="1"/>
        <v>100</v>
      </c>
      <c r="V15" s="667" t="s">
        <v>14</v>
      </c>
      <c r="W15" s="668">
        <f t="shared" si="2"/>
        <v>100</v>
      </c>
      <c r="X15" s="1265"/>
      <c r="Y15" s="335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2"/>
      <c r="M16" s="2487"/>
      <c r="N16" s="2487"/>
      <c r="O16" s="2487"/>
      <c r="P16" s="3365"/>
      <c r="Q16" s="1263"/>
      <c r="R16" s="667"/>
      <c r="S16" s="668"/>
      <c r="T16" s="667"/>
      <c r="U16" s="668"/>
      <c r="V16" s="667"/>
      <c r="W16" s="668"/>
      <c r="X16" s="1265"/>
      <c r="Y16" s="335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65"/>
      <c r="Q17" s="1263" t="str">
        <f>B17</f>
        <v>交通便捷度</v>
      </c>
      <c r="R17" s="667" t="s">
        <v>14</v>
      </c>
      <c r="S17" s="668">
        <f>F17</f>
        <v>100</v>
      </c>
      <c r="T17" s="667" t="s">
        <v>14</v>
      </c>
      <c r="U17" s="668">
        <f>H17</f>
        <v>100</v>
      </c>
      <c r="V17" s="667" t="s">
        <v>14</v>
      </c>
      <c r="W17" s="668">
        <f>J17</f>
        <v>100</v>
      </c>
      <c r="X17" s="1265"/>
      <c r="Y17" s="335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2"/>
      <c r="M18" s="2487"/>
      <c r="N18" s="2487"/>
      <c r="O18" s="2487"/>
      <c r="P18" s="3365"/>
      <c r="Q18" s="1263"/>
      <c r="R18" s="667"/>
      <c r="S18" s="668"/>
      <c r="T18" s="667"/>
      <c r="U18" s="668"/>
      <c r="V18" s="667"/>
      <c r="W18" s="668"/>
      <c r="X18" s="1265"/>
      <c r="Y18" s="335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65"/>
      <c r="Q19" s="1263" t="str">
        <f>B19</f>
        <v>公共配套设施</v>
      </c>
      <c r="R19" s="667" t="s">
        <v>14</v>
      </c>
      <c r="S19" s="668">
        <f>F19</f>
        <v>100</v>
      </c>
      <c r="T19" s="667" t="s">
        <v>14</v>
      </c>
      <c r="U19" s="668">
        <f>H19</f>
        <v>100</v>
      </c>
      <c r="V19" s="667" t="s">
        <v>14</v>
      </c>
      <c r="W19" s="668">
        <f>J19</f>
        <v>100</v>
      </c>
      <c r="X19" s="1265"/>
      <c r="Y19" s="335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2"/>
      <c r="M20" s="2487"/>
      <c r="N20" s="2487"/>
      <c r="O20" s="2487"/>
      <c r="P20" s="3365"/>
      <c r="Q20" s="1263"/>
      <c r="R20" s="667"/>
      <c r="S20" s="668"/>
      <c r="T20" s="667"/>
      <c r="U20" s="668"/>
      <c r="V20" s="667"/>
      <c r="W20" s="668"/>
      <c r="X20" s="1265"/>
      <c r="Y20" s="335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65"/>
      <c r="Q21" s="1263" t="str">
        <f>B21</f>
        <v>基础设施水平</v>
      </c>
      <c r="R21" s="667" t="s">
        <v>14</v>
      </c>
      <c r="S21" s="668">
        <f>F21</f>
        <v>100</v>
      </c>
      <c r="T21" s="667" t="s">
        <v>14</v>
      </c>
      <c r="U21" s="668">
        <f>H21</f>
        <v>100</v>
      </c>
      <c r="V21" s="667" t="s">
        <v>14</v>
      </c>
      <c r="W21" s="668">
        <f>J21</f>
        <v>100</v>
      </c>
      <c r="X21" s="1265"/>
      <c r="Y21" s="335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2"/>
      <c r="M22" s="2487"/>
      <c r="N22" s="2487"/>
      <c r="O22" s="2487"/>
      <c r="P22" s="3365"/>
      <c r="Q22" s="1263"/>
      <c r="R22" s="667"/>
      <c r="S22" s="668"/>
      <c r="T22" s="667"/>
      <c r="U22" s="668"/>
      <c r="V22" s="667"/>
      <c r="W22" s="668"/>
      <c r="X22" s="1265"/>
      <c r="Y22" s="335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65"/>
      <c r="Q23" s="1263" t="str">
        <f>B23</f>
        <v>自然及人文环境</v>
      </c>
      <c r="R23" s="667" t="s">
        <v>14</v>
      </c>
      <c r="S23" s="668">
        <f>F23</f>
        <v>100</v>
      </c>
      <c r="T23" s="667" t="s">
        <v>14</v>
      </c>
      <c r="U23" s="668">
        <f>H23</f>
        <v>100</v>
      </c>
      <c r="V23" s="667" t="s">
        <v>14</v>
      </c>
      <c r="W23" s="668">
        <f>J23</f>
        <v>100</v>
      </c>
      <c r="X23" s="1265"/>
      <c r="Y23" s="335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2"/>
      <c r="M24" s="2487"/>
      <c r="N24" s="2487"/>
      <c r="O24" s="2487"/>
      <c r="P24" s="3365"/>
      <c r="Q24" s="1263"/>
      <c r="R24" s="667"/>
      <c r="S24" s="668"/>
      <c r="T24" s="667"/>
      <c r="U24" s="668"/>
      <c r="V24" s="667"/>
      <c r="W24" s="668"/>
      <c r="X24" s="1265"/>
      <c r="Y24" s="335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65"/>
      <c r="Q25" s="1263" t="str">
        <f t="shared" ref="Q25:Q46" si="11">B25</f>
        <v>临街状况</v>
      </c>
      <c r="R25" s="667" t="s">
        <v>14</v>
      </c>
      <c r="S25" s="668">
        <f>F25</f>
        <v>100</v>
      </c>
      <c r="T25" s="667" t="s">
        <v>14</v>
      </c>
      <c r="U25" s="668">
        <f>H25</f>
        <v>100</v>
      </c>
      <c r="V25" s="667" t="s">
        <v>14</v>
      </c>
      <c r="W25" s="668">
        <f>J25</f>
        <v>100</v>
      </c>
      <c r="X25" s="1265"/>
      <c r="Y25" s="335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65"/>
      <c r="Q26" s="1263" t="str">
        <f t="shared" si="11"/>
        <v>平面位置/可视性</v>
      </c>
      <c r="R26" s="667" t="s">
        <v>14</v>
      </c>
      <c r="S26" s="668">
        <f>F26</f>
        <v>100</v>
      </c>
      <c r="T26" s="667" t="s">
        <v>14</v>
      </c>
      <c r="U26" s="668">
        <f>H26</f>
        <v>100</v>
      </c>
      <c r="V26" s="667" t="s">
        <v>14</v>
      </c>
      <c r="W26" s="668">
        <f>J26</f>
        <v>100</v>
      </c>
      <c r="X26" s="1265"/>
      <c r="Y26" s="335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39"/>
      <c r="N27" s="2439"/>
      <c r="O27" s="2439"/>
      <c r="P27" s="3365"/>
      <c r="Q27" s="530" t="str">
        <f t="shared" si="11"/>
        <v>人流量</v>
      </c>
      <c r="R27" s="664" t="s">
        <v>14</v>
      </c>
      <c r="S27" s="665">
        <f>F27</f>
        <v>100</v>
      </c>
      <c r="T27" s="664" t="s">
        <v>14</v>
      </c>
      <c r="U27" s="665">
        <f>H27</f>
        <v>100</v>
      </c>
      <c r="V27" s="664" t="s">
        <v>14</v>
      </c>
      <c r="W27" s="665">
        <f>J27</f>
        <v>100</v>
      </c>
      <c r="X27" s="666"/>
      <c r="Y27" s="335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6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5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65"/>
      <c r="Q29" s="1263">
        <f t="shared" si="11"/>
        <v>111</v>
      </c>
      <c r="R29" s="667" t="s">
        <v>14</v>
      </c>
      <c r="S29" s="668">
        <f t="shared" si="12"/>
        <v>100</v>
      </c>
      <c r="T29" s="667" t="s">
        <v>14</v>
      </c>
      <c r="U29" s="668">
        <f t="shared" si="13"/>
        <v>100</v>
      </c>
      <c r="V29" s="667" t="s">
        <v>14</v>
      </c>
      <c r="W29" s="668">
        <f t="shared" si="14"/>
        <v>100</v>
      </c>
      <c r="X29" s="1265"/>
      <c r="Y29" s="335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65"/>
      <c r="Q30" s="1263">
        <f t="shared" si="11"/>
        <v>111</v>
      </c>
      <c r="R30" s="667" t="s">
        <v>14</v>
      </c>
      <c r="S30" s="668">
        <f t="shared" si="12"/>
        <v>100</v>
      </c>
      <c r="T30" s="667" t="s">
        <v>14</v>
      </c>
      <c r="U30" s="668">
        <f t="shared" si="13"/>
        <v>100</v>
      </c>
      <c r="V30" s="667" t="s">
        <v>14</v>
      </c>
      <c r="W30" s="668">
        <f t="shared" si="14"/>
        <v>100</v>
      </c>
      <c r="X30" s="1265"/>
      <c r="Y30" s="335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65"/>
      <c r="Q31" s="1263">
        <f t="shared" si="11"/>
        <v>111</v>
      </c>
      <c r="R31" s="667" t="s">
        <v>14</v>
      </c>
      <c r="S31" s="668">
        <f t="shared" si="12"/>
        <v>100</v>
      </c>
      <c r="T31" s="667" t="s">
        <v>14</v>
      </c>
      <c r="U31" s="668">
        <f t="shared" si="13"/>
        <v>100</v>
      </c>
      <c r="V31" s="667" t="s">
        <v>14</v>
      </c>
      <c r="W31" s="668">
        <f t="shared" si="14"/>
        <v>100</v>
      </c>
      <c r="X31" s="1265"/>
      <c r="Y31" s="335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359" t="s">
        <v>1696</v>
      </c>
      <c r="Q32" s="1263" t="str">
        <f t="shared" si="11"/>
        <v>商业类型</v>
      </c>
      <c r="R32" s="667" t="s">
        <v>14</v>
      </c>
      <c r="S32" s="668">
        <f t="shared" si="12"/>
        <v>100</v>
      </c>
      <c r="T32" s="667" t="s">
        <v>14</v>
      </c>
      <c r="U32" s="668">
        <f t="shared" si="13"/>
        <v>100</v>
      </c>
      <c r="V32" s="667" t="s">
        <v>14</v>
      </c>
      <c r="W32" s="668">
        <f t="shared" si="14"/>
        <v>100</v>
      </c>
      <c r="X32" s="1265"/>
      <c r="Y32" s="336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360"/>
      <c r="Q33" s="531" t="str">
        <f t="shared" si="11"/>
        <v>项目建筑规模</v>
      </c>
      <c r="R33" s="669" t="s">
        <v>14</v>
      </c>
      <c r="S33" s="670" t="e">
        <f t="shared" si="12"/>
        <v>#N/A</v>
      </c>
      <c r="T33" s="669" t="s">
        <v>14</v>
      </c>
      <c r="U33" s="670" t="e">
        <f t="shared" si="13"/>
        <v>#N/A</v>
      </c>
      <c r="V33" s="669" t="s">
        <v>14</v>
      </c>
      <c r="W33" s="670" t="e">
        <f t="shared" si="14"/>
        <v>#N/A</v>
      </c>
      <c r="X33" s="671"/>
      <c r="Y33" s="336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60"/>
      <c r="Q34" s="1263" t="str">
        <f t="shared" si="11"/>
        <v>建筑结构</v>
      </c>
      <c r="R34" s="667" t="s">
        <v>14</v>
      </c>
      <c r="S34" s="668">
        <f t="shared" si="12"/>
        <v>100</v>
      </c>
      <c r="T34" s="667" t="s">
        <v>14</v>
      </c>
      <c r="U34" s="668">
        <f t="shared" si="13"/>
        <v>100</v>
      </c>
      <c r="V34" s="667" t="s">
        <v>14</v>
      </c>
      <c r="W34" s="668">
        <f t="shared" si="14"/>
        <v>100</v>
      </c>
      <c r="X34" s="1265"/>
      <c r="Y34" s="336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360"/>
      <c r="Q35" s="1263" t="str">
        <f t="shared" si="11"/>
        <v>公共部分装修</v>
      </c>
      <c r="R35" s="667" t="s">
        <v>14</v>
      </c>
      <c r="S35" s="668">
        <f t="shared" si="12"/>
        <v>100</v>
      </c>
      <c r="T35" s="667" t="s">
        <v>14</v>
      </c>
      <c r="U35" s="668">
        <f t="shared" si="13"/>
        <v>100</v>
      </c>
      <c r="V35" s="667" t="s">
        <v>14</v>
      </c>
      <c r="W35" s="668">
        <f t="shared" si="14"/>
        <v>100</v>
      </c>
      <c r="X35" s="1265"/>
      <c r="Y35" s="336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360"/>
      <c r="Q36" s="1263" t="str">
        <f t="shared" si="11"/>
        <v>成新度</v>
      </c>
      <c r="R36" s="667" t="s">
        <v>14</v>
      </c>
      <c r="S36" s="668" t="e">
        <f t="shared" si="12"/>
        <v>#N/A</v>
      </c>
      <c r="T36" s="667" t="s">
        <v>14</v>
      </c>
      <c r="U36" s="668" t="e">
        <f t="shared" si="13"/>
        <v>#N/A</v>
      </c>
      <c r="V36" s="667" t="s">
        <v>14</v>
      </c>
      <c r="W36" s="668" t="e">
        <f t="shared" si="14"/>
        <v>#N/A</v>
      </c>
      <c r="X36" s="1265"/>
      <c r="Y36" s="336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39"/>
      <c r="N37" s="2439"/>
      <c r="O37" s="2439"/>
      <c r="P37" s="3360"/>
      <c r="Q37" s="530" t="str">
        <f t="shared" si="11"/>
        <v>市政基础设施</v>
      </c>
      <c r="R37" s="664" t="s">
        <v>14</v>
      </c>
      <c r="S37" s="665">
        <f t="shared" si="12"/>
        <v>100</v>
      </c>
      <c r="T37" s="664" t="s">
        <v>14</v>
      </c>
      <c r="U37" s="665">
        <f t="shared" si="13"/>
        <v>100</v>
      </c>
      <c r="V37" s="664" t="s">
        <v>14</v>
      </c>
      <c r="W37" s="665">
        <f t="shared" si="14"/>
        <v>100</v>
      </c>
      <c r="X37" s="666"/>
      <c r="Y37" s="336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360" t="s">
        <v>1696</v>
      </c>
      <c r="Q38" s="1263" t="str">
        <f t="shared" si="11"/>
        <v>业态</v>
      </c>
      <c r="R38" s="667" t="s">
        <v>14</v>
      </c>
      <c r="S38" s="668">
        <f t="shared" si="12"/>
        <v>100</v>
      </c>
      <c r="T38" s="667" t="s">
        <v>14</v>
      </c>
      <c r="U38" s="668">
        <f t="shared" si="13"/>
        <v>100</v>
      </c>
      <c r="V38" s="667" t="s">
        <v>14</v>
      </c>
      <c r="W38" s="668">
        <f t="shared" si="14"/>
        <v>100</v>
      </c>
      <c r="X38" s="1265"/>
      <c r="Y38" s="336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360"/>
      <c r="Q39" s="1263" t="str">
        <f t="shared" si="11"/>
        <v>层高</v>
      </c>
      <c r="R39" s="667" t="s">
        <v>14</v>
      </c>
      <c r="S39" s="668">
        <f t="shared" si="12"/>
        <v>100</v>
      </c>
      <c r="T39" s="667" t="s">
        <v>14</v>
      </c>
      <c r="U39" s="668">
        <f t="shared" si="13"/>
        <v>100</v>
      </c>
      <c r="V39" s="667" t="s">
        <v>14</v>
      </c>
      <c r="W39" s="668">
        <f t="shared" si="14"/>
        <v>100</v>
      </c>
      <c r="X39" s="1265"/>
      <c r="Y39" s="336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60"/>
      <c r="Q40" s="1263" t="str">
        <f t="shared" si="11"/>
        <v>单套建筑面积</v>
      </c>
      <c r="R40" s="667" t="s">
        <v>14</v>
      </c>
      <c r="S40" s="668">
        <f t="shared" si="12"/>
        <v>100</v>
      </c>
      <c r="T40" s="667" t="s">
        <v>14</v>
      </c>
      <c r="U40" s="668">
        <f t="shared" si="13"/>
        <v>100</v>
      </c>
      <c r="V40" s="667" t="s">
        <v>14</v>
      </c>
      <c r="W40" s="668">
        <f t="shared" si="14"/>
        <v>100</v>
      </c>
      <c r="X40" s="1265"/>
      <c r="Y40" s="336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60"/>
      <c r="Q41" s="531" t="str">
        <f t="shared" si="11"/>
        <v>进深比</v>
      </c>
      <c r="R41" s="669" t="s">
        <v>14</v>
      </c>
      <c r="S41" s="670">
        <f t="shared" si="12"/>
        <v>100</v>
      </c>
      <c r="T41" s="669" t="s">
        <v>14</v>
      </c>
      <c r="U41" s="670">
        <f t="shared" si="13"/>
        <v>100</v>
      </c>
      <c r="V41" s="669" t="s">
        <v>14</v>
      </c>
      <c r="W41" s="670">
        <f t="shared" si="14"/>
        <v>100</v>
      </c>
      <c r="X41" s="671"/>
      <c r="Y41" s="336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360"/>
      <c r="Q42" s="1263" t="str">
        <f t="shared" si="11"/>
        <v>内部装修</v>
      </c>
      <c r="R42" s="667" t="s">
        <v>14</v>
      </c>
      <c r="S42" s="668">
        <f t="shared" si="12"/>
        <v>100</v>
      </c>
      <c r="T42" s="667" t="s">
        <v>14</v>
      </c>
      <c r="U42" s="668">
        <f t="shared" si="13"/>
        <v>100</v>
      </c>
      <c r="V42" s="667" t="s">
        <v>14</v>
      </c>
      <c r="W42" s="668">
        <f t="shared" si="14"/>
        <v>100</v>
      </c>
      <c r="X42" s="1265"/>
      <c r="Y42" s="336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360"/>
      <c r="Q43" s="1263" t="str">
        <f t="shared" si="11"/>
        <v>内部装修维护情况</v>
      </c>
      <c r="R43" s="667" t="s">
        <v>14</v>
      </c>
      <c r="S43" s="668">
        <f t="shared" si="12"/>
        <v>100</v>
      </c>
      <c r="T43" s="667" t="s">
        <v>14</v>
      </c>
      <c r="U43" s="668">
        <f t="shared" si="13"/>
        <v>100</v>
      </c>
      <c r="V43" s="667" t="s">
        <v>14</v>
      </c>
      <c r="W43" s="668">
        <f t="shared" si="14"/>
        <v>100</v>
      </c>
      <c r="X43" s="1265"/>
      <c r="Y43" s="336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60"/>
      <c r="Q44" s="530">
        <f t="shared" si="11"/>
        <v>111</v>
      </c>
      <c r="R44" s="664" t="s">
        <v>14</v>
      </c>
      <c r="S44" s="665">
        <f t="shared" si="12"/>
        <v>100</v>
      </c>
      <c r="T44" s="664" t="s">
        <v>14</v>
      </c>
      <c r="U44" s="665">
        <f t="shared" si="13"/>
        <v>100</v>
      </c>
      <c r="V44" s="664" t="s">
        <v>14</v>
      </c>
      <c r="W44" s="665">
        <f t="shared" si="14"/>
        <v>100</v>
      </c>
      <c r="X44" s="666"/>
      <c r="Y44" s="336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60"/>
      <c r="Q45" s="1263">
        <f t="shared" si="11"/>
        <v>111</v>
      </c>
      <c r="R45" s="667" t="s">
        <v>14</v>
      </c>
      <c r="S45" s="668">
        <f t="shared" si="12"/>
        <v>100</v>
      </c>
      <c r="T45" s="667" t="s">
        <v>14</v>
      </c>
      <c r="U45" s="668">
        <f t="shared" si="13"/>
        <v>100</v>
      </c>
      <c r="V45" s="667" t="s">
        <v>14</v>
      </c>
      <c r="W45" s="668">
        <f t="shared" si="14"/>
        <v>100</v>
      </c>
      <c r="X45" s="1265"/>
      <c r="Y45" s="336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61"/>
      <c r="Q46" s="1263">
        <f t="shared" si="11"/>
        <v>111</v>
      </c>
      <c r="R46" s="667" t="s">
        <v>14</v>
      </c>
      <c r="S46" s="668">
        <f t="shared" si="12"/>
        <v>100</v>
      </c>
      <c r="T46" s="667" t="s">
        <v>14</v>
      </c>
      <c r="U46" s="668">
        <f t="shared" si="13"/>
        <v>100</v>
      </c>
      <c r="V46" s="667" t="s">
        <v>14</v>
      </c>
      <c r="W46" s="668">
        <f t="shared" si="14"/>
        <v>100</v>
      </c>
      <c r="X46" s="1265"/>
      <c r="Y46" s="336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4"/>
      <c r="M47" s="2487"/>
      <c r="N47" s="2487"/>
      <c r="O47" s="2487"/>
      <c r="P47" s="3355" t="str">
        <f>A47</f>
        <v>成交单价（元/平方米）</v>
      </c>
      <c r="Q47" s="3355"/>
      <c r="R47" s="3356">
        <f>E47</f>
        <v>0</v>
      </c>
      <c r="S47" s="3356"/>
      <c r="T47" s="3356">
        <f>G47</f>
        <v>0</v>
      </c>
      <c r="U47" s="3356"/>
      <c r="V47" s="3356">
        <f>I47</f>
        <v>0</v>
      </c>
      <c r="W47" s="335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355" t="str">
        <f>A48</f>
        <v>比较价值（元/平方米）</v>
      </c>
      <c r="Q48" s="3355"/>
      <c r="R48" s="3356" t="e">
        <f>IF(F1="售价",ROUND(PRODUCT(R47,AA7:AA46),0),ROUND(PRODUCT(R47,AA7:AA46),1))</f>
        <v>#DIV/0!</v>
      </c>
      <c r="S48" s="3356"/>
      <c r="T48" s="3356" t="e">
        <f>IF(F1="售价",ROUND(PRODUCT(T47,AB7:AB46),0),ROUND(PRODUCT(T47,AB7:AB46),1))</f>
        <v>#DIV/0!</v>
      </c>
      <c r="U48" s="3356"/>
      <c r="V48" s="3356" t="e">
        <f>IF(F1="售价",ROUND(PRODUCT(V47,AC7:AC46),0),ROUND(PRODUCT(V47,AC7:AC46),1))</f>
        <v>#DIV/0!</v>
      </c>
      <c r="W48" s="335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4"/>
      <c r="M49" s="2487"/>
      <c r="N49" s="2487"/>
      <c r="O49" s="2487"/>
      <c r="P49" s="3352" t="str">
        <f>A49</f>
        <v>估价对象XX用房的比较价值（楼面单价，元/平方米）</v>
      </c>
      <c r="Q49" s="3353"/>
      <c r="R49" s="3354" t="e">
        <f>IF(F1="售价",ROUND(IF(D48="简单平均",AVERAGE(R48:V48),R48*F48+T48*H48+V48*J48),0),ROUND(IF(D48="简单平均",AVERAGE(R48:V48),R48*F48+T48*H48+V48*J48),1))</f>
        <v>#DIV/0!</v>
      </c>
      <c r="S49" s="3354"/>
      <c r="T49" s="3354"/>
      <c r="U49" s="3354"/>
      <c r="V49" s="3354"/>
      <c r="W49" s="3354"/>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2008-12</v>
      </c>
      <c r="D58" s="1104">
        <f>EDATE(C58,-1)</f>
        <v>39753</v>
      </c>
      <c r="E58" s="1104">
        <f t="shared" ref="E58:N58" si="16">EDATE(D58,-1)</f>
        <v>39722</v>
      </c>
      <c r="F58" s="1104">
        <f t="shared" si="16"/>
        <v>39692</v>
      </c>
      <c r="G58" s="1104">
        <f t="shared" si="16"/>
        <v>39661</v>
      </c>
      <c r="H58" s="1104">
        <f t="shared" si="16"/>
        <v>39630</v>
      </c>
      <c r="I58" s="1104">
        <f t="shared" si="16"/>
        <v>39600</v>
      </c>
      <c r="J58" s="1104">
        <f t="shared" si="16"/>
        <v>39569</v>
      </c>
      <c r="K58" s="1104">
        <f t="shared" si="16"/>
        <v>39539</v>
      </c>
      <c r="L58" s="1104">
        <f t="shared" si="16"/>
        <v>39508</v>
      </c>
      <c r="M58" s="1104">
        <f t="shared" si="16"/>
        <v>39479</v>
      </c>
      <c r="N58" s="1104">
        <f t="shared" si="16"/>
        <v>39448</v>
      </c>
      <c r="O58" s="1104">
        <f>EDATE(N58,-1)</f>
        <v>39417</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91.09</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431" t="s">
        <v>1775</v>
      </c>
      <c r="Q4" s="3432"/>
      <c r="R4" s="3435" t="s">
        <v>1771</v>
      </c>
      <c r="S4" s="3436"/>
      <c r="T4" s="3435" t="s">
        <v>1772</v>
      </c>
      <c r="U4" s="3436"/>
      <c r="V4" s="3437" t="s">
        <v>1773</v>
      </c>
      <c r="W4" s="3437"/>
      <c r="X4" s="1809"/>
      <c r="Y4" s="3435" t="s">
        <v>1775</v>
      </c>
      <c r="Z4" s="3436"/>
      <c r="AA4" s="3439" t="s">
        <v>1771</v>
      </c>
      <c r="AB4" s="3439" t="s">
        <v>1772</v>
      </c>
      <c r="AC4" s="3428" t="s">
        <v>1773</v>
      </c>
    </row>
    <row r="5" spans="1:29" ht="15">
      <c r="A5" s="348"/>
      <c r="B5" s="349"/>
      <c r="C5" s="3423" t="s">
        <v>1673</v>
      </c>
      <c r="D5" s="3394"/>
      <c r="E5" s="3424" t="s">
        <v>1674</v>
      </c>
      <c r="F5" s="3389"/>
      <c r="G5" s="3423" t="s">
        <v>1675</v>
      </c>
      <c r="H5" s="3394"/>
      <c r="I5" s="3423" t="s">
        <v>1676</v>
      </c>
      <c r="J5" s="3394"/>
      <c r="K5" s="537"/>
      <c r="L5" s="2486"/>
      <c r="M5" s="2487"/>
      <c r="N5" s="2487"/>
      <c r="O5" s="2487"/>
      <c r="P5" s="3433"/>
      <c r="Q5" s="3377"/>
      <c r="R5" s="3382"/>
      <c r="S5" s="3383"/>
      <c r="T5" s="3382"/>
      <c r="U5" s="3383"/>
      <c r="V5" s="3356"/>
      <c r="W5" s="3356"/>
      <c r="X5" s="1265"/>
      <c r="Y5" s="3382"/>
      <c r="Z5" s="3383"/>
      <c r="AA5" s="3368"/>
      <c r="AB5" s="3368"/>
      <c r="AC5" s="3429"/>
    </row>
    <row r="6" spans="1:29" ht="15.75" thickBot="1">
      <c r="A6" s="350"/>
      <c r="B6" s="351"/>
      <c r="C6" s="3386" t="s">
        <v>1677</v>
      </c>
      <c r="D6" s="3387"/>
      <c r="E6" s="3395" t="s">
        <v>1677</v>
      </c>
      <c r="F6" s="3396"/>
      <c r="G6" s="3386" t="s">
        <v>1677</v>
      </c>
      <c r="H6" s="3387"/>
      <c r="I6" s="3386" t="s">
        <v>1677</v>
      </c>
      <c r="J6" s="3387"/>
      <c r="K6" s="537" t="s">
        <v>1678</v>
      </c>
      <c r="L6" s="2486"/>
      <c r="M6" s="2487"/>
      <c r="N6" s="2487"/>
      <c r="O6" s="2487"/>
      <c r="P6" s="3434"/>
      <c r="Q6" s="3379"/>
      <c r="R6" s="3382"/>
      <c r="S6" s="3383"/>
      <c r="T6" s="3384"/>
      <c r="U6" s="3385"/>
      <c r="V6" s="3356"/>
      <c r="W6" s="3356"/>
      <c r="X6" s="1265"/>
      <c r="Y6" s="3384"/>
      <c r="Z6" s="3385"/>
      <c r="AA6" s="3369"/>
      <c r="AB6" s="3369"/>
      <c r="AC6" s="3430"/>
    </row>
    <row r="7" spans="1:29" s="102" customFormat="1" ht="15.75" thickBot="1">
      <c r="A7" s="352" t="s">
        <v>1679</v>
      </c>
      <c r="B7" s="353"/>
      <c r="C7" s="354">
        <f>'数据-取费表'!B2</f>
        <v>39801</v>
      </c>
      <c r="D7" s="355">
        <v>100</v>
      </c>
      <c r="E7" s="356"/>
      <c r="F7" s="357">
        <f>SUMIF(59:59,YEAR(E7)&amp;"-"&amp;MONTH(E7),60:60)</f>
        <v>0</v>
      </c>
      <c r="G7" s="356"/>
      <c r="H7" s="355">
        <f>SUMIF(59:59,YEAR(G7)&amp;"-"&amp;MONTH(G7),60:60)</f>
        <v>0</v>
      </c>
      <c r="I7" s="356"/>
      <c r="J7" s="355">
        <f>SUMIF(59:59,YEAR(I7)&amp;"-"&amp;MONTH(I7),60:60)</f>
        <v>0</v>
      </c>
      <c r="K7" s="38"/>
      <c r="L7" s="2488"/>
      <c r="M7" s="2439"/>
      <c r="N7" s="2439"/>
      <c r="O7" s="2439"/>
      <c r="P7" s="3438"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38" t="s">
        <v>1683</v>
      </c>
      <c r="Q8" s="3391"/>
      <c r="R8" s="664" t="s">
        <v>14</v>
      </c>
      <c r="S8" s="665">
        <f t="shared" si="0"/>
        <v>100</v>
      </c>
      <c r="T8" s="664" t="s">
        <v>14</v>
      </c>
      <c r="U8" s="665">
        <f t="shared" si="1"/>
        <v>100</v>
      </c>
      <c r="V8" s="664" t="s">
        <v>14</v>
      </c>
      <c r="W8" s="665">
        <f t="shared" si="2"/>
        <v>100</v>
      </c>
      <c r="X8" s="666"/>
      <c r="Y8" s="3390" t="s">
        <v>1683</v>
      </c>
      <c r="Z8" s="339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66"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66"/>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6"/>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39"/>
      <c r="N12" s="2439"/>
      <c r="O12" s="2439"/>
      <c r="P12" s="3366"/>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366"/>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366"/>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64" t="s">
        <v>1691</v>
      </c>
      <c r="Q15" s="1263" t="str">
        <f t="shared" si="6"/>
        <v>办公集聚程度</v>
      </c>
      <c r="R15" s="667" t="s">
        <v>14</v>
      </c>
      <c r="S15" s="668">
        <f t="shared" si="0"/>
        <v>100</v>
      </c>
      <c r="T15" s="667" t="s">
        <v>14</v>
      </c>
      <c r="U15" s="668">
        <f t="shared" si="1"/>
        <v>100</v>
      </c>
      <c r="V15" s="667" t="s">
        <v>14</v>
      </c>
      <c r="W15" s="668">
        <f t="shared" si="2"/>
        <v>100</v>
      </c>
      <c r="X15" s="1265"/>
      <c r="Y15" s="335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2"/>
      <c r="M16" s="2487"/>
      <c r="N16" s="2487"/>
      <c r="O16" s="2487"/>
      <c r="P16" s="3365"/>
      <c r="Q16" s="1263"/>
      <c r="R16" s="667"/>
      <c r="S16" s="668"/>
      <c r="T16" s="667"/>
      <c r="U16" s="668"/>
      <c r="V16" s="667"/>
      <c r="W16" s="668"/>
      <c r="X16" s="1265"/>
      <c r="Y16" s="335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65"/>
      <c r="Q17" s="1263" t="str">
        <f>B17</f>
        <v>交通便捷度</v>
      </c>
      <c r="R17" s="667" t="s">
        <v>14</v>
      </c>
      <c r="S17" s="668">
        <f>F17</f>
        <v>100</v>
      </c>
      <c r="T17" s="667" t="s">
        <v>14</v>
      </c>
      <c r="U17" s="668">
        <f>H17</f>
        <v>100</v>
      </c>
      <c r="V17" s="667" t="s">
        <v>14</v>
      </c>
      <c r="W17" s="668">
        <f>J17</f>
        <v>100</v>
      </c>
      <c r="X17" s="1265"/>
      <c r="Y17" s="335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2"/>
      <c r="M18" s="2487"/>
      <c r="N18" s="2487"/>
      <c r="O18" s="2487"/>
      <c r="P18" s="3365"/>
      <c r="Q18" s="1263"/>
      <c r="R18" s="667"/>
      <c r="S18" s="668"/>
      <c r="T18" s="667"/>
      <c r="U18" s="668"/>
      <c r="V18" s="667"/>
      <c r="W18" s="668"/>
      <c r="X18" s="1265"/>
      <c r="Y18" s="335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65"/>
      <c r="Q19" s="1263" t="str">
        <f>B19</f>
        <v>公共配套设施</v>
      </c>
      <c r="R19" s="667" t="s">
        <v>14</v>
      </c>
      <c r="S19" s="668">
        <f>F19</f>
        <v>100</v>
      </c>
      <c r="T19" s="667" t="s">
        <v>14</v>
      </c>
      <c r="U19" s="668">
        <f>H19</f>
        <v>100</v>
      </c>
      <c r="V19" s="667" t="s">
        <v>14</v>
      </c>
      <c r="W19" s="668">
        <f>J19</f>
        <v>100</v>
      </c>
      <c r="X19" s="1265"/>
      <c r="Y19" s="335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2"/>
      <c r="M20" s="2487"/>
      <c r="N20" s="2487"/>
      <c r="O20" s="2487"/>
      <c r="P20" s="3365"/>
      <c r="Q20" s="1263"/>
      <c r="R20" s="667"/>
      <c r="S20" s="668"/>
      <c r="T20" s="667"/>
      <c r="U20" s="668"/>
      <c r="V20" s="667"/>
      <c r="W20" s="668"/>
      <c r="X20" s="1265"/>
      <c r="Y20" s="335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65"/>
      <c r="Q21" s="1263" t="str">
        <f>B21</f>
        <v>基础设施水平</v>
      </c>
      <c r="R21" s="667" t="s">
        <v>14</v>
      </c>
      <c r="S21" s="668">
        <f>F21</f>
        <v>100</v>
      </c>
      <c r="T21" s="667" t="s">
        <v>14</v>
      </c>
      <c r="U21" s="668">
        <f>H21</f>
        <v>100</v>
      </c>
      <c r="V21" s="667" t="s">
        <v>14</v>
      </c>
      <c r="W21" s="668">
        <f>J21</f>
        <v>100</v>
      </c>
      <c r="X21" s="1265"/>
      <c r="Y21" s="335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2"/>
      <c r="M22" s="2487"/>
      <c r="N22" s="2487"/>
      <c r="O22" s="2487"/>
      <c r="P22" s="3365"/>
      <c r="Q22" s="1263"/>
      <c r="R22" s="667"/>
      <c r="S22" s="668"/>
      <c r="T22" s="667"/>
      <c r="U22" s="668"/>
      <c r="V22" s="667"/>
      <c r="W22" s="668"/>
      <c r="X22" s="1265"/>
      <c r="Y22" s="335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65"/>
      <c r="Q23" s="1263" t="str">
        <f>B23</f>
        <v>环境质量</v>
      </c>
      <c r="R23" s="667" t="s">
        <v>14</v>
      </c>
      <c r="S23" s="668">
        <f>F23</f>
        <v>100</v>
      </c>
      <c r="T23" s="667" t="s">
        <v>14</v>
      </c>
      <c r="U23" s="668">
        <f>H23</f>
        <v>100</v>
      </c>
      <c r="V23" s="667" t="s">
        <v>14</v>
      </c>
      <c r="W23" s="668">
        <f>J23</f>
        <v>100</v>
      </c>
      <c r="X23" s="1265"/>
      <c r="Y23" s="335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2"/>
      <c r="M24" s="2487"/>
      <c r="N24" s="2487"/>
      <c r="O24" s="2487"/>
      <c r="P24" s="3365"/>
      <c r="Q24" s="1263"/>
      <c r="R24" s="667"/>
      <c r="S24" s="668"/>
      <c r="T24" s="667"/>
      <c r="U24" s="668"/>
      <c r="V24" s="667"/>
      <c r="W24" s="668"/>
      <c r="X24" s="1265"/>
      <c r="Y24" s="335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2"/>
      <c r="M25" s="2487"/>
      <c r="N25" s="2487"/>
      <c r="O25" s="2487"/>
      <c r="P25" s="3365"/>
      <c r="Q25" s="1263" t="str">
        <f>B25</f>
        <v>毗邻道路的类型与等级</v>
      </c>
      <c r="R25" s="667" t="s">
        <v>14</v>
      </c>
      <c r="S25" s="668">
        <f>F25</f>
        <v>100</v>
      </c>
      <c r="T25" s="667" t="s">
        <v>14</v>
      </c>
      <c r="U25" s="668">
        <f>H25</f>
        <v>100</v>
      </c>
      <c r="V25" s="667" t="s">
        <v>14</v>
      </c>
      <c r="W25" s="668">
        <f>J25</f>
        <v>100</v>
      </c>
      <c r="X25" s="1265"/>
      <c r="Y25" s="335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2"/>
      <c r="M26" s="2487"/>
      <c r="N26" s="2487"/>
      <c r="O26" s="2487"/>
      <c r="P26" s="3365"/>
      <c r="Q26" s="1263"/>
      <c r="R26" s="667"/>
      <c r="S26" s="668"/>
      <c r="T26" s="667"/>
      <c r="U26" s="668"/>
      <c r="V26" s="667"/>
      <c r="W26" s="668"/>
      <c r="X26" s="1265"/>
      <c r="Y26" s="335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65"/>
      <c r="Q27" s="1263" t="str">
        <f t="shared" ref="Q27:Q47" si="11">B27</f>
        <v>楼层</v>
      </c>
      <c r="R27" s="667" t="s">
        <v>14</v>
      </c>
      <c r="S27" s="668">
        <f>F27</f>
        <v>100</v>
      </c>
      <c r="T27" s="667" t="s">
        <v>14</v>
      </c>
      <c r="U27" s="668">
        <f>H27</f>
        <v>100</v>
      </c>
      <c r="V27" s="667" t="s">
        <v>14</v>
      </c>
      <c r="W27" s="668">
        <f>J27</f>
        <v>100</v>
      </c>
      <c r="X27" s="1265"/>
      <c r="Y27" s="335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39"/>
      <c r="N28" s="2439"/>
      <c r="O28" s="2439"/>
      <c r="P28" s="3365"/>
      <c r="Q28" s="530" t="str">
        <f t="shared" si="11"/>
        <v>朝向</v>
      </c>
      <c r="R28" s="664" t="s">
        <v>14</v>
      </c>
      <c r="S28" s="665">
        <f>F28</f>
        <v>100</v>
      </c>
      <c r="T28" s="664" t="s">
        <v>14</v>
      </c>
      <c r="U28" s="665">
        <f>H28</f>
        <v>100</v>
      </c>
      <c r="V28" s="664" t="s">
        <v>14</v>
      </c>
      <c r="W28" s="665">
        <f>J28</f>
        <v>100</v>
      </c>
      <c r="X28" s="666"/>
      <c r="Y28" s="335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365"/>
      <c r="Q29" s="1263">
        <f t="shared" si="11"/>
        <v>111</v>
      </c>
      <c r="R29" s="667" t="s">
        <v>14</v>
      </c>
      <c r="S29" s="668">
        <f t="shared" ref="S29:S47" si="12">F29</f>
        <v>100</v>
      </c>
      <c r="T29" s="667" t="s">
        <v>14</v>
      </c>
      <c r="U29" s="668">
        <f t="shared" ref="U29:U47" si="13">H29</f>
        <v>100</v>
      </c>
      <c r="V29" s="667" t="s">
        <v>14</v>
      </c>
      <c r="W29" s="668">
        <f t="shared" ref="W29:W47" si="14">J29</f>
        <v>100</v>
      </c>
      <c r="X29" s="1265"/>
      <c r="Y29" s="335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365"/>
      <c r="Q30" s="1263">
        <f t="shared" si="11"/>
        <v>111</v>
      </c>
      <c r="R30" s="667" t="s">
        <v>14</v>
      </c>
      <c r="S30" s="668">
        <f t="shared" si="12"/>
        <v>100</v>
      </c>
      <c r="T30" s="667" t="s">
        <v>14</v>
      </c>
      <c r="U30" s="668">
        <f t="shared" si="13"/>
        <v>100</v>
      </c>
      <c r="V30" s="667" t="s">
        <v>14</v>
      </c>
      <c r="W30" s="668">
        <f t="shared" si="14"/>
        <v>100</v>
      </c>
      <c r="X30" s="1265"/>
      <c r="Y30" s="335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365"/>
      <c r="Q31" s="1263">
        <f t="shared" si="11"/>
        <v>111</v>
      </c>
      <c r="R31" s="667" t="s">
        <v>14</v>
      </c>
      <c r="S31" s="668">
        <f t="shared" si="12"/>
        <v>100</v>
      </c>
      <c r="T31" s="667" t="s">
        <v>14</v>
      </c>
      <c r="U31" s="668">
        <f t="shared" si="13"/>
        <v>100</v>
      </c>
      <c r="V31" s="667" t="s">
        <v>14</v>
      </c>
      <c r="W31" s="668">
        <f t="shared" si="14"/>
        <v>100</v>
      </c>
      <c r="X31" s="1265"/>
      <c r="Y31" s="335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365"/>
      <c r="Q32" s="1263">
        <f t="shared" si="11"/>
        <v>111</v>
      </c>
      <c r="R32" s="667" t="s">
        <v>14</v>
      </c>
      <c r="S32" s="668">
        <f t="shared" si="12"/>
        <v>100</v>
      </c>
      <c r="T32" s="667" t="s">
        <v>14</v>
      </c>
      <c r="U32" s="668">
        <f t="shared" si="13"/>
        <v>100</v>
      </c>
      <c r="V32" s="667" t="s">
        <v>14</v>
      </c>
      <c r="W32" s="668">
        <f t="shared" si="14"/>
        <v>100</v>
      </c>
      <c r="X32" s="1265"/>
      <c r="Y32" s="335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2"/>
      <c r="M33" s="2487"/>
      <c r="N33" s="2487"/>
      <c r="O33" s="2487"/>
      <c r="P33" s="3359" t="s">
        <v>1696</v>
      </c>
      <c r="Q33" s="1263" t="str">
        <f t="shared" si="11"/>
        <v>建筑类型</v>
      </c>
      <c r="R33" s="667" t="s">
        <v>14</v>
      </c>
      <c r="S33" s="668">
        <f t="shared" si="12"/>
        <v>100</v>
      </c>
      <c r="T33" s="667" t="s">
        <v>14</v>
      </c>
      <c r="U33" s="668">
        <f t="shared" si="13"/>
        <v>100</v>
      </c>
      <c r="V33" s="667" t="s">
        <v>14</v>
      </c>
      <c r="W33" s="668">
        <f t="shared" si="14"/>
        <v>100</v>
      </c>
      <c r="X33" s="1265"/>
      <c r="Y33" s="336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60"/>
      <c r="Q34" s="531" t="str">
        <f t="shared" si="11"/>
        <v>项目建筑规模</v>
      </c>
      <c r="R34" s="669" t="s">
        <v>14</v>
      </c>
      <c r="S34" s="670" t="e">
        <f t="shared" si="12"/>
        <v>#N/A</v>
      </c>
      <c r="T34" s="669" t="s">
        <v>14</v>
      </c>
      <c r="U34" s="670" t="e">
        <f t="shared" si="13"/>
        <v>#N/A</v>
      </c>
      <c r="V34" s="669" t="s">
        <v>14</v>
      </c>
      <c r="W34" s="670" t="e">
        <f t="shared" si="14"/>
        <v>#N/A</v>
      </c>
      <c r="X34" s="671"/>
      <c r="Y34" s="336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60"/>
      <c r="Q35" s="1263" t="str">
        <f t="shared" si="11"/>
        <v>建筑结构</v>
      </c>
      <c r="R35" s="667" t="s">
        <v>14</v>
      </c>
      <c r="S35" s="668">
        <f t="shared" si="12"/>
        <v>100</v>
      </c>
      <c r="T35" s="667" t="s">
        <v>14</v>
      </c>
      <c r="U35" s="668">
        <f t="shared" si="13"/>
        <v>100</v>
      </c>
      <c r="V35" s="667" t="s">
        <v>14</v>
      </c>
      <c r="W35" s="668">
        <f t="shared" si="14"/>
        <v>100</v>
      </c>
      <c r="X35" s="1265"/>
      <c r="Y35" s="336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60"/>
      <c r="Q36" s="1263" t="str">
        <f t="shared" si="11"/>
        <v>公共部分装修</v>
      </c>
      <c r="R36" s="667" t="s">
        <v>14</v>
      </c>
      <c r="S36" s="668">
        <f t="shared" si="12"/>
        <v>100</v>
      </c>
      <c r="T36" s="667" t="s">
        <v>14</v>
      </c>
      <c r="U36" s="668">
        <f t="shared" si="13"/>
        <v>100</v>
      </c>
      <c r="V36" s="667" t="s">
        <v>14</v>
      </c>
      <c r="W36" s="668">
        <f t="shared" si="14"/>
        <v>100</v>
      </c>
      <c r="X36" s="1265"/>
      <c r="Y36" s="336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60"/>
      <c r="Q37" s="1263" t="str">
        <f t="shared" si="11"/>
        <v>成新度</v>
      </c>
      <c r="R37" s="667" t="s">
        <v>14</v>
      </c>
      <c r="S37" s="668" t="e">
        <f t="shared" si="12"/>
        <v>#N/A</v>
      </c>
      <c r="T37" s="667" t="s">
        <v>14</v>
      </c>
      <c r="U37" s="668" t="e">
        <f t="shared" si="13"/>
        <v>#N/A</v>
      </c>
      <c r="V37" s="667" t="s">
        <v>14</v>
      </c>
      <c r="W37" s="668" t="e">
        <f t="shared" si="14"/>
        <v>#N/A</v>
      </c>
      <c r="X37" s="1265"/>
      <c r="Y37" s="336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60"/>
      <c r="Q38" s="530" t="str">
        <f t="shared" si="11"/>
        <v>写字楼等级</v>
      </c>
      <c r="R38" s="664" t="s">
        <v>14</v>
      </c>
      <c r="S38" s="665">
        <f t="shared" si="12"/>
        <v>100</v>
      </c>
      <c r="T38" s="664" t="s">
        <v>14</v>
      </c>
      <c r="U38" s="665">
        <f t="shared" si="13"/>
        <v>100</v>
      </c>
      <c r="V38" s="664" t="s">
        <v>14</v>
      </c>
      <c r="W38" s="665">
        <f t="shared" si="14"/>
        <v>100</v>
      </c>
      <c r="X38" s="666"/>
      <c r="Y38" s="336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60" t="s">
        <v>1696</v>
      </c>
      <c r="Q39" s="1263" t="str">
        <f t="shared" si="11"/>
        <v>物业管理</v>
      </c>
      <c r="R39" s="667" t="s">
        <v>14</v>
      </c>
      <c r="S39" s="668">
        <f t="shared" si="12"/>
        <v>100</v>
      </c>
      <c r="T39" s="667" t="s">
        <v>14</v>
      </c>
      <c r="U39" s="668">
        <f t="shared" si="13"/>
        <v>100</v>
      </c>
      <c r="V39" s="667" t="s">
        <v>14</v>
      </c>
      <c r="W39" s="668">
        <f t="shared" si="14"/>
        <v>100</v>
      </c>
      <c r="X39" s="1265"/>
      <c r="Y39" s="336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60"/>
      <c r="Q40" s="1263" t="str">
        <f t="shared" si="11"/>
        <v>市政基础设施</v>
      </c>
      <c r="R40" s="667" t="s">
        <v>14</v>
      </c>
      <c r="S40" s="668">
        <f t="shared" si="12"/>
        <v>100</v>
      </c>
      <c r="T40" s="667" t="s">
        <v>14</v>
      </c>
      <c r="U40" s="668">
        <f t="shared" si="13"/>
        <v>100</v>
      </c>
      <c r="V40" s="667" t="s">
        <v>14</v>
      </c>
      <c r="W40" s="668">
        <f t="shared" si="14"/>
        <v>100</v>
      </c>
      <c r="X40" s="1265"/>
      <c r="Y40" s="336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60"/>
      <c r="Q41" s="1263" t="str">
        <f t="shared" si="11"/>
        <v>层高</v>
      </c>
      <c r="R41" s="667" t="s">
        <v>14</v>
      </c>
      <c r="S41" s="668">
        <f t="shared" si="12"/>
        <v>100</v>
      </c>
      <c r="T41" s="667" t="s">
        <v>14</v>
      </c>
      <c r="U41" s="668">
        <f t="shared" si="13"/>
        <v>100</v>
      </c>
      <c r="V41" s="667" t="s">
        <v>14</v>
      </c>
      <c r="W41" s="668">
        <f t="shared" si="14"/>
        <v>100</v>
      </c>
      <c r="X41" s="1265"/>
      <c r="Y41" s="336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60"/>
      <c r="Q42" s="531" t="str">
        <f t="shared" si="11"/>
        <v>单套建筑面积</v>
      </c>
      <c r="R42" s="669" t="s">
        <v>14</v>
      </c>
      <c r="S42" s="670">
        <f t="shared" si="12"/>
        <v>100</v>
      </c>
      <c r="T42" s="669" t="s">
        <v>14</v>
      </c>
      <c r="U42" s="670">
        <f t="shared" si="13"/>
        <v>100</v>
      </c>
      <c r="V42" s="669" t="s">
        <v>14</v>
      </c>
      <c r="W42" s="670">
        <f t="shared" si="14"/>
        <v>100</v>
      </c>
      <c r="X42" s="671"/>
      <c r="Y42" s="336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60"/>
      <c r="Q43" s="1263" t="str">
        <f t="shared" si="11"/>
        <v>内部装修</v>
      </c>
      <c r="R43" s="667" t="s">
        <v>14</v>
      </c>
      <c r="S43" s="668">
        <f t="shared" si="12"/>
        <v>100</v>
      </c>
      <c r="T43" s="667" t="s">
        <v>14</v>
      </c>
      <c r="U43" s="668">
        <f t="shared" si="13"/>
        <v>100</v>
      </c>
      <c r="V43" s="667" t="s">
        <v>14</v>
      </c>
      <c r="W43" s="668">
        <f t="shared" si="14"/>
        <v>100</v>
      </c>
      <c r="X43" s="1265"/>
      <c r="Y43" s="336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2"/>
      <c r="M44" s="2487"/>
      <c r="N44" s="2487"/>
      <c r="O44" s="2487"/>
      <c r="P44" s="3360"/>
      <c r="Q44" s="1263" t="str">
        <f t="shared" si="11"/>
        <v>内部装修维护情况</v>
      </c>
      <c r="R44" s="667" t="s">
        <v>14</v>
      </c>
      <c r="S44" s="668">
        <f t="shared" si="12"/>
        <v>100</v>
      </c>
      <c r="T44" s="667" t="s">
        <v>14</v>
      </c>
      <c r="U44" s="668">
        <f t="shared" si="13"/>
        <v>100</v>
      </c>
      <c r="V44" s="667" t="s">
        <v>14</v>
      </c>
      <c r="W44" s="668">
        <f t="shared" si="14"/>
        <v>100</v>
      </c>
      <c r="X44" s="1265"/>
      <c r="Y44" s="336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60"/>
      <c r="Q45" s="530">
        <f t="shared" si="11"/>
        <v>111</v>
      </c>
      <c r="R45" s="664" t="s">
        <v>14</v>
      </c>
      <c r="S45" s="665">
        <f t="shared" si="12"/>
        <v>100</v>
      </c>
      <c r="T45" s="664" t="s">
        <v>14</v>
      </c>
      <c r="U45" s="665">
        <f t="shared" si="13"/>
        <v>100</v>
      </c>
      <c r="V45" s="664" t="s">
        <v>14</v>
      </c>
      <c r="W45" s="665">
        <f t="shared" si="14"/>
        <v>100</v>
      </c>
      <c r="X45" s="666"/>
      <c r="Y45" s="336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60"/>
      <c r="Q46" s="1263">
        <f t="shared" si="11"/>
        <v>111</v>
      </c>
      <c r="R46" s="667" t="s">
        <v>14</v>
      </c>
      <c r="S46" s="668">
        <f t="shared" si="12"/>
        <v>100</v>
      </c>
      <c r="T46" s="667" t="s">
        <v>14</v>
      </c>
      <c r="U46" s="668">
        <f t="shared" si="13"/>
        <v>100</v>
      </c>
      <c r="V46" s="667" t="s">
        <v>14</v>
      </c>
      <c r="W46" s="668">
        <f t="shared" si="14"/>
        <v>100</v>
      </c>
      <c r="X46" s="1265"/>
      <c r="Y46" s="336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61"/>
      <c r="Q47" s="1263">
        <f t="shared" si="11"/>
        <v>111</v>
      </c>
      <c r="R47" s="667" t="s">
        <v>14</v>
      </c>
      <c r="S47" s="668">
        <f t="shared" si="12"/>
        <v>100</v>
      </c>
      <c r="T47" s="667" t="s">
        <v>14</v>
      </c>
      <c r="U47" s="668">
        <f t="shared" si="13"/>
        <v>100</v>
      </c>
      <c r="V47" s="667" t="s">
        <v>14</v>
      </c>
      <c r="W47" s="668">
        <f t="shared" si="14"/>
        <v>100</v>
      </c>
      <c r="X47" s="1265"/>
      <c r="Y47" s="336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4"/>
      <c r="M48" s="2487"/>
      <c r="N48" s="2487"/>
      <c r="O48" s="2487"/>
      <c r="P48" s="3366" t="str">
        <f>A48</f>
        <v>成交单价（元/平方米）</v>
      </c>
      <c r="Q48" s="3355"/>
      <c r="R48" s="3356">
        <f>E48</f>
        <v>0</v>
      </c>
      <c r="S48" s="3356"/>
      <c r="T48" s="3356">
        <f>G48</f>
        <v>0</v>
      </c>
      <c r="U48" s="3356"/>
      <c r="V48" s="3356">
        <f>I48</f>
        <v>0</v>
      </c>
      <c r="W48" s="335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4"/>
      <c r="M49" s="2487"/>
      <c r="N49" s="2487"/>
      <c r="O49" s="2487"/>
      <c r="P49" s="3366" t="str">
        <f>A49</f>
        <v>比较价值（元/平方米）</v>
      </c>
      <c r="Q49" s="3355"/>
      <c r="R49" s="3356" t="e">
        <f>IF(F1="售价",ROUND(PRODUCT(R48,AA7:AA47),0),ROUND(PRODUCT(R48,AA7:AA47),1))</f>
        <v>#DIV/0!</v>
      </c>
      <c r="S49" s="3356"/>
      <c r="T49" s="3356" t="e">
        <f>IF(F1="售价",ROUND(PRODUCT(T48,AB7:AB47),0),ROUND(PRODUCT(T48,AB7:AB47),1))</f>
        <v>#DIV/0!</v>
      </c>
      <c r="U49" s="3356"/>
      <c r="V49" s="3356" t="e">
        <f>IF(F1="售价",ROUND(PRODUCT(V48,AC7:AC47),0),ROUND(PRODUCT(V48,AC7:AC47),1))</f>
        <v>#DIV/0!</v>
      </c>
      <c r="W49" s="335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2008-12</v>
      </c>
      <c r="D59" s="1104">
        <f>EDATE(C59,-1)</f>
        <v>39753</v>
      </c>
      <c r="E59" s="1104">
        <f>EDATE(D59,-1)</f>
        <v>39722</v>
      </c>
      <c r="F59" s="1104">
        <f t="shared" ref="F59:O59" si="16">EDATE(E59,-1)</f>
        <v>39692</v>
      </c>
      <c r="G59" s="1104">
        <f t="shared" si="16"/>
        <v>39661</v>
      </c>
      <c r="H59" s="1104">
        <f t="shared" si="16"/>
        <v>39630</v>
      </c>
      <c r="I59" s="1104">
        <f t="shared" si="16"/>
        <v>39600</v>
      </c>
      <c r="J59" s="1104">
        <f t="shared" si="16"/>
        <v>39569</v>
      </c>
      <c r="K59" s="1104">
        <f t="shared" si="16"/>
        <v>39539</v>
      </c>
      <c r="L59" s="1104">
        <f t="shared" si="16"/>
        <v>39508</v>
      </c>
      <c r="M59" s="1104">
        <f t="shared" si="16"/>
        <v>39479</v>
      </c>
      <c r="N59" s="1104">
        <f t="shared" si="16"/>
        <v>39448</v>
      </c>
      <c r="O59" s="1104">
        <f t="shared" si="16"/>
        <v>39417</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估价对象为北京市房地产，为所有。根据《国有土地使用证》[]，估价对象（分摊）出让国有建设用地使用权面积为0平方米，建筑面积为91.09平方米。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估价对象为北京市房地产,属开发建设的，该项目尚在开发建设中。根据《国有土地使用证》[]，估价对象（分摊）出让国有建设用地使用权面积为0平方米，规划建筑面积为91.09平方米。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2008年12月19日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2008年12月19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91.09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860"/>
      <c r="M4" s="861"/>
      <c r="N4" s="861"/>
      <c r="O4" s="861"/>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ht="15">
      <c r="A5" s="348"/>
      <c r="B5" s="349"/>
      <c r="C5" s="3423" t="s">
        <v>1673</v>
      </c>
      <c r="D5" s="3394"/>
      <c r="E5" s="3424" t="s">
        <v>1674</v>
      </c>
      <c r="F5" s="3389"/>
      <c r="G5" s="3423" t="s">
        <v>1675</v>
      </c>
      <c r="H5" s="3394"/>
      <c r="I5" s="3423" t="s">
        <v>1676</v>
      </c>
      <c r="J5" s="3394"/>
      <c r="K5" s="537"/>
      <c r="L5" s="860"/>
      <c r="M5" s="861"/>
      <c r="N5" s="861"/>
      <c r="O5" s="861"/>
      <c r="P5" s="3376"/>
      <c r="Q5" s="3377"/>
      <c r="R5" s="3382"/>
      <c r="S5" s="3383"/>
      <c r="T5" s="3382"/>
      <c r="U5" s="3383"/>
      <c r="V5" s="3356"/>
      <c r="W5" s="3356"/>
      <c r="X5" s="1265"/>
      <c r="Y5" s="3382"/>
      <c r="Z5" s="3383"/>
      <c r="AA5" s="3368"/>
      <c r="AB5" s="3368"/>
      <c r="AC5" s="3368"/>
    </row>
    <row r="6" spans="1:29" ht="15.75" thickBot="1">
      <c r="A6" s="350"/>
      <c r="B6" s="351"/>
      <c r="C6" s="3386" t="s">
        <v>1677</v>
      </c>
      <c r="D6" s="3387"/>
      <c r="E6" s="3395" t="s">
        <v>1677</v>
      </c>
      <c r="F6" s="3396"/>
      <c r="G6" s="3386" t="s">
        <v>1677</v>
      </c>
      <c r="H6" s="3387"/>
      <c r="I6" s="3386" t="s">
        <v>1677</v>
      </c>
      <c r="J6" s="3387"/>
      <c r="K6" s="537" t="s">
        <v>1678</v>
      </c>
      <c r="L6" s="860"/>
      <c r="M6" s="861"/>
      <c r="N6" s="861"/>
      <c r="O6" s="861"/>
      <c r="P6" s="3378"/>
      <c r="Q6" s="3379"/>
      <c r="R6" s="3382"/>
      <c r="S6" s="3383"/>
      <c r="T6" s="3384"/>
      <c r="U6" s="3385"/>
      <c r="V6" s="3356"/>
      <c r="W6" s="3356"/>
      <c r="X6" s="1265"/>
      <c r="Y6" s="3384"/>
      <c r="Z6" s="3385"/>
      <c r="AA6" s="3369"/>
      <c r="AB6" s="3369"/>
      <c r="AC6" s="3369"/>
    </row>
    <row r="7" spans="1:29" s="102" customFormat="1" ht="15.75" thickBot="1">
      <c r="A7" s="352" t="s">
        <v>1679</v>
      </c>
      <c r="B7" s="353"/>
      <c r="C7" s="354">
        <f>'数据-取费表'!B2</f>
        <v>39801</v>
      </c>
      <c r="D7" s="355">
        <v>100</v>
      </c>
      <c r="E7" s="356"/>
      <c r="F7" s="357">
        <f>SUMIF(52:52,YEAR(E7)&amp;"-"&amp;MONTH(E7),53:53)</f>
        <v>0</v>
      </c>
      <c r="G7" s="356"/>
      <c r="H7" s="355">
        <f>SUMIF(52:52,YEAR(G7)&amp;"-"&amp;MONTH(G7),53:53)</f>
        <v>0</v>
      </c>
      <c r="I7" s="356"/>
      <c r="J7" s="355">
        <f>SUMIF(52:52,YEAR(I7)&amp;"-"&amp;MONTH(I7),53:53)</f>
        <v>0</v>
      </c>
      <c r="K7" s="38"/>
      <c r="L7" s="862"/>
      <c r="M7" s="863"/>
      <c r="N7" s="863"/>
      <c r="O7" s="863"/>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0" t="s">
        <v>1683</v>
      </c>
      <c r="Q8" s="3391"/>
      <c r="R8" s="664" t="s">
        <v>14</v>
      </c>
      <c r="S8" s="665">
        <f t="shared" si="0"/>
        <v>100</v>
      </c>
      <c r="T8" s="664" t="s">
        <v>14</v>
      </c>
      <c r="U8" s="665">
        <f t="shared" si="1"/>
        <v>100</v>
      </c>
      <c r="V8" s="664" t="s">
        <v>14</v>
      </c>
      <c r="W8" s="665">
        <f t="shared" si="2"/>
        <v>100</v>
      </c>
      <c r="X8" s="666"/>
      <c r="Y8" s="3390" t="s">
        <v>1683</v>
      </c>
      <c r="Z8" s="339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5"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55"/>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5"/>
      <c r="Q11" s="530" t="str">
        <f t="shared" si="6"/>
        <v>容积率</v>
      </c>
      <c r="R11" s="664" t="s">
        <v>14</v>
      </c>
      <c r="S11" s="665">
        <f t="shared" si="0"/>
        <v>100</v>
      </c>
      <c r="T11" s="664" t="s">
        <v>14</v>
      </c>
      <c r="U11" s="665">
        <f t="shared" si="1"/>
        <v>100</v>
      </c>
      <c r="V11" s="664" t="s">
        <v>14</v>
      </c>
      <c r="W11" s="665">
        <f t="shared" si="2"/>
        <v>100</v>
      </c>
      <c r="X11" s="666"/>
      <c r="Y11" s="325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5"/>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5"/>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5"/>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57" t="s">
        <v>1691</v>
      </c>
      <c r="Q15" s="1263" t="str">
        <f t="shared" si="6"/>
        <v>产业集聚程度</v>
      </c>
      <c r="R15" s="667" t="s">
        <v>14</v>
      </c>
      <c r="S15" s="668">
        <f t="shared" si="0"/>
        <v>100</v>
      </c>
      <c r="T15" s="667" t="s">
        <v>14</v>
      </c>
      <c r="U15" s="668">
        <f t="shared" si="1"/>
        <v>100</v>
      </c>
      <c r="V15" s="667" t="s">
        <v>14</v>
      </c>
      <c r="W15" s="668">
        <f t="shared" si="2"/>
        <v>100</v>
      </c>
      <c r="X15" s="1265"/>
      <c r="Y15" s="335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58"/>
      <c r="Q16" s="1263"/>
      <c r="R16" s="667"/>
      <c r="S16" s="668"/>
      <c r="T16" s="667"/>
      <c r="U16" s="668"/>
      <c r="V16" s="667"/>
      <c r="W16" s="668"/>
      <c r="X16" s="1265"/>
      <c r="Y16" s="335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58"/>
      <c r="Q17" s="1263" t="str">
        <f>B17</f>
        <v>交通便捷度</v>
      </c>
      <c r="R17" s="667" t="s">
        <v>14</v>
      </c>
      <c r="S17" s="668">
        <f>F17</f>
        <v>100</v>
      </c>
      <c r="T17" s="667" t="s">
        <v>14</v>
      </c>
      <c r="U17" s="668">
        <f>H17</f>
        <v>100</v>
      </c>
      <c r="V17" s="667" t="s">
        <v>14</v>
      </c>
      <c r="W17" s="668">
        <f>J17</f>
        <v>100</v>
      </c>
      <c r="X17" s="1265"/>
      <c r="Y17" s="335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58"/>
      <c r="Q18" s="1263"/>
      <c r="R18" s="667"/>
      <c r="S18" s="668"/>
      <c r="T18" s="667"/>
      <c r="U18" s="668"/>
      <c r="V18" s="667"/>
      <c r="W18" s="668"/>
      <c r="X18" s="1265"/>
      <c r="Y18" s="335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58"/>
      <c r="Q19" s="1263" t="str">
        <f>B19</f>
        <v>公共配套设施</v>
      </c>
      <c r="R19" s="667" t="s">
        <v>14</v>
      </c>
      <c r="S19" s="668">
        <f>F19</f>
        <v>100</v>
      </c>
      <c r="T19" s="667" t="s">
        <v>14</v>
      </c>
      <c r="U19" s="668">
        <f>H19</f>
        <v>100</v>
      </c>
      <c r="V19" s="667" t="s">
        <v>14</v>
      </c>
      <c r="W19" s="668">
        <f>J19</f>
        <v>100</v>
      </c>
      <c r="X19" s="1265"/>
      <c r="Y19" s="335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58"/>
      <c r="Q20" s="1263"/>
      <c r="R20" s="667"/>
      <c r="S20" s="668"/>
      <c r="T20" s="667"/>
      <c r="U20" s="668"/>
      <c r="V20" s="667"/>
      <c r="W20" s="668"/>
      <c r="X20" s="1265"/>
      <c r="Y20" s="335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58"/>
      <c r="Q21" s="1263" t="str">
        <f>B21</f>
        <v>基础设施水平</v>
      </c>
      <c r="R21" s="667" t="s">
        <v>14</v>
      </c>
      <c r="S21" s="668">
        <f>F21</f>
        <v>100</v>
      </c>
      <c r="T21" s="667" t="s">
        <v>14</v>
      </c>
      <c r="U21" s="668">
        <f>H21</f>
        <v>100</v>
      </c>
      <c r="V21" s="667" t="s">
        <v>14</v>
      </c>
      <c r="W21" s="668">
        <f>J21</f>
        <v>100</v>
      </c>
      <c r="X21" s="1265"/>
      <c r="Y21" s="335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58"/>
      <c r="Q22" s="1263"/>
      <c r="R22" s="667"/>
      <c r="S22" s="668"/>
      <c r="T22" s="667"/>
      <c r="U22" s="668"/>
      <c r="V22" s="667"/>
      <c r="W22" s="668"/>
      <c r="X22" s="1265"/>
      <c r="Y22" s="335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58"/>
      <c r="Q23" s="1263" t="str">
        <f>B23</f>
        <v>环境质量</v>
      </c>
      <c r="R23" s="667" t="s">
        <v>14</v>
      </c>
      <c r="S23" s="668">
        <f>F23</f>
        <v>100</v>
      </c>
      <c r="T23" s="667" t="s">
        <v>14</v>
      </c>
      <c r="U23" s="668">
        <f>H23</f>
        <v>100</v>
      </c>
      <c r="V23" s="667" t="s">
        <v>14</v>
      </c>
      <c r="W23" s="668">
        <f>J23</f>
        <v>100</v>
      </c>
      <c r="X23" s="1265"/>
      <c r="Y23" s="335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58"/>
      <c r="Q24" s="1263"/>
      <c r="R24" s="667"/>
      <c r="S24" s="668"/>
      <c r="T24" s="667"/>
      <c r="U24" s="668"/>
      <c r="V24" s="667"/>
      <c r="W24" s="668"/>
      <c r="X24" s="1265"/>
      <c r="Y24" s="335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58"/>
      <c r="Q25" s="1263">
        <f>B25</f>
        <v>111</v>
      </c>
      <c r="R25" s="667" t="s">
        <v>14</v>
      </c>
      <c r="S25" s="668">
        <f>F25</f>
        <v>100</v>
      </c>
      <c r="T25" s="667" t="s">
        <v>14</v>
      </c>
      <c r="U25" s="668">
        <f>H25</f>
        <v>100</v>
      </c>
      <c r="V25" s="667" t="s">
        <v>14</v>
      </c>
      <c r="W25" s="668">
        <f>J25</f>
        <v>100</v>
      </c>
      <c r="X25" s="1265"/>
      <c r="Y25" s="335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58"/>
      <c r="Q26" s="1263">
        <f t="shared" ref="Q26:Q40" si="11">B26</f>
        <v>111</v>
      </c>
      <c r="R26" s="667" t="s">
        <v>14</v>
      </c>
      <c r="S26" s="668">
        <f>F26</f>
        <v>100</v>
      </c>
      <c r="T26" s="667" t="s">
        <v>14</v>
      </c>
      <c r="U26" s="668">
        <f>H26</f>
        <v>100</v>
      </c>
      <c r="V26" s="667" t="s">
        <v>14</v>
      </c>
      <c r="W26" s="668">
        <f>J26</f>
        <v>100</v>
      </c>
      <c r="X26" s="1265"/>
      <c r="Y26" s="335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58"/>
      <c r="Q27" s="530">
        <f t="shared" si="11"/>
        <v>111</v>
      </c>
      <c r="R27" s="664" t="s">
        <v>14</v>
      </c>
      <c r="S27" s="665">
        <f>F27</f>
        <v>100</v>
      </c>
      <c r="T27" s="664" t="s">
        <v>14</v>
      </c>
      <c r="U27" s="665">
        <f>H27</f>
        <v>100</v>
      </c>
      <c r="V27" s="664" t="s">
        <v>14</v>
      </c>
      <c r="W27" s="665">
        <f>J27</f>
        <v>100</v>
      </c>
      <c r="X27" s="666"/>
      <c r="Y27" s="335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58"/>
      <c r="Q28" s="1263">
        <f t="shared" si="11"/>
        <v>111</v>
      </c>
      <c r="R28" s="667" t="s">
        <v>14</v>
      </c>
      <c r="S28" s="668">
        <f t="shared" ref="S28:S40" si="12">F28</f>
        <v>100</v>
      </c>
      <c r="T28" s="667" t="s">
        <v>14</v>
      </c>
      <c r="U28" s="668">
        <f t="shared" ref="U28:U40" si="13">H28</f>
        <v>100</v>
      </c>
      <c r="V28" s="667" t="s">
        <v>14</v>
      </c>
      <c r="W28" s="668">
        <f t="shared" ref="W28:W40" si="14">J28</f>
        <v>100</v>
      </c>
      <c r="X28" s="1265"/>
      <c r="Y28" s="335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0" t="s">
        <v>1696</v>
      </c>
      <c r="Q29" s="1263" t="str">
        <f t="shared" si="11"/>
        <v>建筑类型</v>
      </c>
      <c r="R29" s="667" t="s">
        <v>14</v>
      </c>
      <c r="S29" s="668">
        <f t="shared" si="12"/>
        <v>100</v>
      </c>
      <c r="T29" s="667" t="s">
        <v>14</v>
      </c>
      <c r="U29" s="668">
        <f t="shared" si="13"/>
        <v>100</v>
      </c>
      <c r="V29" s="667" t="s">
        <v>14</v>
      </c>
      <c r="W29" s="668">
        <f t="shared" si="14"/>
        <v>100</v>
      </c>
      <c r="X29" s="1265"/>
      <c r="Y29" s="336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2"/>
      <c r="Q30" s="531" t="str">
        <f t="shared" si="11"/>
        <v>项目建筑规模</v>
      </c>
      <c r="R30" s="669" t="s">
        <v>14</v>
      </c>
      <c r="S30" s="670" t="e">
        <f t="shared" si="12"/>
        <v>#N/A</v>
      </c>
      <c r="T30" s="669" t="s">
        <v>14</v>
      </c>
      <c r="U30" s="670" t="e">
        <f t="shared" si="13"/>
        <v>#N/A</v>
      </c>
      <c r="V30" s="669" t="s">
        <v>14</v>
      </c>
      <c r="W30" s="670" t="e">
        <f t="shared" si="14"/>
        <v>#N/A</v>
      </c>
      <c r="X30" s="671"/>
      <c r="Y30" s="336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2"/>
      <c r="Q31" s="1263" t="str">
        <f t="shared" si="11"/>
        <v>建筑结构</v>
      </c>
      <c r="R31" s="667" t="s">
        <v>14</v>
      </c>
      <c r="S31" s="668">
        <f t="shared" si="12"/>
        <v>100</v>
      </c>
      <c r="T31" s="667" t="s">
        <v>14</v>
      </c>
      <c r="U31" s="668">
        <f t="shared" si="13"/>
        <v>100</v>
      </c>
      <c r="V31" s="667" t="s">
        <v>14</v>
      </c>
      <c r="W31" s="668">
        <f t="shared" si="14"/>
        <v>100</v>
      </c>
      <c r="X31" s="1265"/>
      <c r="Y31" s="336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2"/>
      <c r="Q32" s="1263" t="str">
        <f t="shared" si="11"/>
        <v>公共部分装修</v>
      </c>
      <c r="R32" s="667" t="s">
        <v>14</v>
      </c>
      <c r="S32" s="668">
        <f t="shared" si="12"/>
        <v>100</v>
      </c>
      <c r="T32" s="667" t="s">
        <v>14</v>
      </c>
      <c r="U32" s="668">
        <f t="shared" si="13"/>
        <v>100</v>
      </c>
      <c r="V32" s="667" t="s">
        <v>14</v>
      </c>
      <c r="W32" s="668">
        <f t="shared" si="14"/>
        <v>100</v>
      </c>
      <c r="X32" s="1265"/>
      <c r="Y32" s="336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2"/>
      <c r="Q33" s="1263" t="str">
        <f t="shared" si="11"/>
        <v>成新度</v>
      </c>
      <c r="R33" s="667" t="s">
        <v>14</v>
      </c>
      <c r="S33" s="668" t="e">
        <f t="shared" si="12"/>
        <v>#N/A</v>
      </c>
      <c r="T33" s="667" t="s">
        <v>14</v>
      </c>
      <c r="U33" s="668" t="e">
        <f t="shared" si="13"/>
        <v>#N/A</v>
      </c>
      <c r="V33" s="667" t="s">
        <v>14</v>
      </c>
      <c r="W33" s="668" t="e">
        <f t="shared" si="14"/>
        <v>#N/A</v>
      </c>
      <c r="X33" s="1265"/>
      <c r="Y33" s="336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2"/>
      <c r="Q34" s="530" t="str">
        <f t="shared" si="11"/>
        <v>物业管理</v>
      </c>
      <c r="R34" s="664" t="s">
        <v>14</v>
      </c>
      <c r="S34" s="665">
        <f t="shared" si="12"/>
        <v>100</v>
      </c>
      <c r="T34" s="664" t="s">
        <v>14</v>
      </c>
      <c r="U34" s="665">
        <f t="shared" si="13"/>
        <v>100</v>
      </c>
      <c r="V34" s="664" t="s">
        <v>14</v>
      </c>
      <c r="W34" s="665">
        <f t="shared" si="14"/>
        <v>100</v>
      </c>
      <c r="X34" s="666"/>
      <c r="Y34" s="336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2" t="s">
        <v>1696</v>
      </c>
      <c r="Q35" s="1263" t="str">
        <f t="shared" si="11"/>
        <v>市政基础设施</v>
      </c>
      <c r="R35" s="667" t="s">
        <v>14</v>
      </c>
      <c r="S35" s="668">
        <f t="shared" si="12"/>
        <v>100</v>
      </c>
      <c r="T35" s="667" t="s">
        <v>14</v>
      </c>
      <c r="U35" s="668">
        <f t="shared" si="13"/>
        <v>100</v>
      </c>
      <c r="V35" s="667" t="s">
        <v>14</v>
      </c>
      <c r="W35" s="668">
        <f t="shared" si="14"/>
        <v>100</v>
      </c>
      <c r="X35" s="1265"/>
      <c r="Y35" s="336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2"/>
      <c r="Q36" s="1263" t="str">
        <f t="shared" si="11"/>
        <v>内部装修</v>
      </c>
      <c r="R36" s="667" t="s">
        <v>14</v>
      </c>
      <c r="S36" s="668">
        <f t="shared" si="12"/>
        <v>100</v>
      </c>
      <c r="T36" s="667" t="s">
        <v>14</v>
      </c>
      <c r="U36" s="668">
        <f t="shared" si="13"/>
        <v>100</v>
      </c>
      <c r="V36" s="667" t="s">
        <v>14</v>
      </c>
      <c r="W36" s="668">
        <f t="shared" si="14"/>
        <v>100</v>
      </c>
      <c r="X36" s="1265"/>
      <c r="Y36" s="336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2"/>
      <c r="Q37" s="1263" t="str">
        <f t="shared" si="11"/>
        <v>内部装修状况</v>
      </c>
      <c r="R37" s="667" t="s">
        <v>14</v>
      </c>
      <c r="S37" s="668">
        <f t="shared" si="12"/>
        <v>100</v>
      </c>
      <c r="T37" s="667" t="s">
        <v>14</v>
      </c>
      <c r="U37" s="668">
        <f t="shared" si="13"/>
        <v>100</v>
      </c>
      <c r="V37" s="667" t="s">
        <v>14</v>
      </c>
      <c r="W37" s="668">
        <f t="shared" si="14"/>
        <v>100</v>
      </c>
      <c r="X37" s="1265"/>
      <c r="Y37" s="336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2"/>
      <c r="Q38" s="531">
        <f t="shared" si="11"/>
        <v>111</v>
      </c>
      <c r="R38" s="669" t="s">
        <v>14</v>
      </c>
      <c r="S38" s="670">
        <f t="shared" si="12"/>
        <v>100</v>
      </c>
      <c r="T38" s="669" t="s">
        <v>14</v>
      </c>
      <c r="U38" s="670">
        <f t="shared" si="13"/>
        <v>100</v>
      </c>
      <c r="V38" s="669" t="s">
        <v>14</v>
      </c>
      <c r="W38" s="670">
        <f t="shared" si="14"/>
        <v>100</v>
      </c>
      <c r="X38" s="671"/>
      <c r="Y38" s="336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2"/>
      <c r="Q39" s="1263">
        <f t="shared" si="11"/>
        <v>111</v>
      </c>
      <c r="R39" s="667" t="s">
        <v>14</v>
      </c>
      <c r="S39" s="668">
        <f t="shared" si="12"/>
        <v>100</v>
      </c>
      <c r="T39" s="667" t="s">
        <v>14</v>
      </c>
      <c r="U39" s="668">
        <f t="shared" si="13"/>
        <v>100</v>
      </c>
      <c r="V39" s="667" t="s">
        <v>14</v>
      </c>
      <c r="W39" s="668">
        <f t="shared" si="14"/>
        <v>100</v>
      </c>
      <c r="X39" s="1265"/>
      <c r="Y39" s="336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3"/>
      <c r="Q40" s="1263">
        <f t="shared" si="11"/>
        <v>111</v>
      </c>
      <c r="R40" s="667" t="s">
        <v>14</v>
      </c>
      <c r="S40" s="668">
        <f t="shared" si="12"/>
        <v>100</v>
      </c>
      <c r="T40" s="667" t="s">
        <v>14</v>
      </c>
      <c r="U40" s="668">
        <f t="shared" si="13"/>
        <v>100</v>
      </c>
      <c r="V40" s="667" t="s">
        <v>14</v>
      </c>
      <c r="W40" s="668">
        <f t="shared" si="14"/>
        <v>100</v>
      </c>
      <c r="X40" s="1265"/>
      <c r="Y40" s="336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55" t="str">
        <f>A41</f>
        <v>成交单价（元/平方米）</v>
      </c>
      <c r="Q41" s="3355"/>
      <c r="R41" s="3356">
        <f>E41</f>
        <v>0</v>
      </c>
      <c r="S41" s="3356"/>
      <c r="T41" s="3356">
        <f>G41</f>
        <v>0</v>
      </c>
      <c r="U41" s="3356"/>
      <c r="V41" s="3356">
        <f>I41</f>
        <v>0</v>
      </c>
      <c r="W41" s="335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5" t="str">
        <f>A42</f>
        <v>比较价值（元/平方米）</v>
      </c>
      <c r="Q42" s="3355"/>
      <c r="R42" s="3356" t="e">
        <f>IF(F1="售价",ROUND(PRODUCT(R41,AA7:AA40),0),ROUND(PRODUCT(R41,AA7:AA40),1))</f>
        <v>#DIV/0!</v>
      </c>
      <c r="S42" s="3356"/>
      <c r="T42" s="3356" t="e">
        <f>IF(F1="售价",ROUND(PRODUCT(T41,AB7:AB40),0),ROUND(PRODUCT(T41,AB7:AB40),1))</f>
        <v>#DIV/0!</v>
      </c>
      <c r="U42" s="3356"/>
      <c r="V42" s="3356" t="e">
        <f>IF(F1="售价",ROUND(PRODUCT(V41,AC7:AC40),0),ROUND(PRODUCT(V41,AC7:AC40),1))</f>
        <v>#DIV/0!</v>
      </c>
      <c r="W42" s="335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52" t="str">
        <f>A43</f>
        <v>估价对象XX用房的比较价值（楼面单价，元/平方米）</v>
      </c>
      <c r="Q43" s="3353"/>
      <c r="R43" s="3354" t="e">
        <f>IF(F1="售价",ROUND(IF(D42="简单平均",AVERAGE(R42:V42),R42*F42+T42*H42+V42*J42),0),ROUND(IF(D42="简单平均",AVERAGE(R42:V42),R42*F42+T42*H42+V42*J42),1))</f>
        <v>#DIV/0!</v>
      </c>
      <c r="S43" s="3354"/>
      <c r="T43" s="3354"/>
      <c r="U43" s="3354"/>
      <c r="V43" s="3354"/>
      <c r="W43" s="3354"/>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2008-12</v>
      </c>
      <c r="D52" s="1104">
        <f>EDATE(C52,-1)</f>
        <v>39753</v>
      </c>
      <c r="E52" s="1104">
        <f t="shared" ref="E52:O52" si="16">EDATE(D52,-1)</f>
        <v>39722</v>
      </c>
      <c r="F52" s="1104">
        <f t="shared" si="16"/>
        <v>39692</v>
      </c>
      <c r="G52" s="1104">
        <f t="shared" si="16"/>
        <v>39661</v>
      </c>
      <c r="H52" s="1104">
        <f t="shared" si="16"/>
        <v>39630</v>
      </c>
      <c r="I52" s="1104">
        <f t="shared" si="16"/>
        <v>39600</v>
      </c>
      <c r="J52" s="1104">
        <f t="shared" si="16"/>
        <v>39569</v>
      </c>
      <c r="K52" s="1104">
        <f t="shared" si="16"/>
        <v>39539</v>
      </c>
      <c r="L52" s="1104">
        <f t="shared" si="16"/>
        <v>39508</v>
      </c>
      <c r="M52" s="1104">
        <f t="shared" si="16"/>
        <v>39479</v>
      </c>
      <c r="N52" s="1104">
        <f t="shared" si="16"/>
        <v>39448</v>
      </c>
      <c r="O52" s="1104">
        <f t="shared" si="16"/>
        <v>39417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3335</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ht="15">
      <c r="A5" s="348"/>
      <c r="B5" s="349"/>
      <c r="C5" s="3423" t="s">
        <v>1673</v>
      </c>
      <c r="D5" s="3394"/>
      <c r="E5" s="3424" t="s">
        <v>1674</v>
      </c>
      <c r="F5" s="3389"/>
      <c r="G5" s="3423" t="s">
        <v>1675</v>
      </c>
      <c r="H5" s="3394"/>
      <c r="I5" s="3423" t="s">
        <v>1676</v>
      </c>
      <c r="J5" s="3394"/>
      <c r="K5" s="537"/>
      <c r="L5" s="2486"/>
      <c r="M5" s="2487"/>
      <c r="N5" s="2487"/>
      <c r="O5" s="2487"/>
      <c r="P5" s="3376"/>
      <c r="Q5" s="3377"/>
      <c r="R5" s="3382"/>
      <c r="S5" s="3383"/>
      <c r="T5" s="3382"/>
      <c r="U5" s="3383"/>
      <c r="V5" s="3356"/>
      <c r="W5" s="3356"/>
      <c r="X5" s="1265"/>
      <c r="Y5" s="3382"/>
      <c r="Z5" s="3383"/>
      <c r="AA5" s="3368"/>
      <c r="AB5" s="3368"/>
      <c r="AC5" s="3368"/>
    </row>
    <row r="6" spans="1:29" ht="15.75" thickBot="1">
      <c r="A6" s="350"/>
      <c r="B6" s="351"/>
      <c r="C6" s="3386" t="s">
        <v>1677</v>
      </c>
      <c r="D6" s="3387"/>
      <c r="E6" s="3395" t="s">
        <v>1677</v>
      </c>
      <c r="F6" s="3396"/>
      <c r="G6" s="3386" t="s">
        <v>1677</v>
      </c>
      <c r="H6" s="3387"/>
      <c r="I6" s="3386" t="s">
        <v>1677</v>
      </c>
      <c r="J6" s="3387"/>
      <c r="K6" s="537" t="s">
        <v>1678</v>
      </c>
      <c r="L6" s="2486"/>
      <c r="M6" s="2487"/>
      <c r="N6" s="2487"/>
      <c r="O6" s="2487"/>
      <c r="P6" s="3378"/>
      <c r="Q6" s="3379"/>
      <c r="R6" s="3382"/>
      <c r="S6" s="3383"/>
      <c r="T6" s="3384"/>
      <c r="U6" s="3385"/>
      <c r="V6" s="3356"/>
      <c r="W6" s="3356"/>
      <c r="X6" s="1265"/>
      <c r="Y6" s="3384"/>
      <c r="Z6" s="3385"/>
      <c r="AA6" s="3369"/>
      <c r="AB6" s="3369"/>
      <c r="AC6" s="3369"/>
    </row>
    <row r="7" spans="1:29" s="102" customFormat="1" ht="15.75" thickBot="1">
      <c r="A7" s="352" t="s">
        <v>1679</v>
      </c>
      <c r="B7" s="353"/>
      <c r="C7" s="354">
        <f>'数据-取费表'!B2</f>
        <v>39801</v>
      </c>
      <c r="D7" s="355">
        <v>100</v>
      </c>
      <c r="E7" s="356"/>
      <c r="F7" s="357">
        <f>SUMIF(48:48,YEAR(E7)&amp;"-"&amp;MONTH(E7),49:49)</f>
        <v>0</v>
      </c>
      <c r="G7" s="356"/>
      <c r="H7" s="355">
        <f>SUMIF(48:48,YEAR(G7)&amp;"-"&amp;MONTH(G7),49:49)</f>
        <v>0</v>
      </c>
      <c r="I7" s="356"/>
      <c r="J7" s="355">
        <f>SUMIF(48:48,YEAR(I7)&amp;"-"&amp;MONTH(I7),49:49)</f>
        <v>0</v>
      </c>
      <c r="K7" s="38"/>
      <c r="L7" s="2488"/>
      <c r="M7" s="2439"/>
      <c r="N7" s="2439"/>
      <c r="O7" s="2439"/>
      <c r="P7" s="3390" t="s">
        <v>1680</v>
      </c>
      <c r="Q7" s="3392"/>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55"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55"/>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55"/>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55"/>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55"/>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57" t="s">
        <v>1691</v>
      </c>
      <c r="Q14" s="1263" t="str">
        <f t="shared" si="6"/>
        <v>交通便捷度</v>
      </c>
      <c r="R14" s="667" t="s">
        <v>14</v>
      </c>
      <c r="S14" s="668">
        <f t="shared" si="0"/>
        <v>100</v>
      </c>
      <c r="T14" s="667" t="s">
        <v>14</v>
      </c>
      <c r="U14" s="668">
        <f t="shared" si="1"/>
        <v>100</v>
      </c>
      <c r="V14" s="667" t="s">
        <v>14</v>
      </c>
      <c r="W14" s="668">
        <f t="shared" si="2"/>
        <v>100</v>
      </c>
      <c r="X14" s="1265"/>
      <c r="Y14" s="335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58"/>
      <c r="Q15" s="1263"/>
      <c r="R15" s="667"/>
      <c r="S15" s="668"/>
      <c r="T15" s="667"/>
      <c r="U15" s="668"/>
      <c r="V15" s="667"/>
      <c r="W15" s="668"/>
      <c r="X15" s="1265"/>
      <c r="Y15" s="335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58"/>
      <c r="Q16" s="1263" t="str">
        <f>B16</f>
        <v>公共配套设施</v>
      </c>
      <c r="R16" s="667" t="s">
        <v>14</v>
      </c>
      <c r="S16" s="668">
        <f>F16</f>
        <v>100</v>
      </c>
      <c r="T16" s="667" t="s">
        <v>14</v>
      </c>
      <c r="U16" s="668">
        <f>H16</f>
        <v>100</v>
      </c>
      <c r="V16" s="667" t="s">
        <v>14</v>
      </c>
      <c r="W16" s="668">
        <f>J16</f>
        <v>100</v>
      </c>
      <c r="X16" s="1265"/>
      <c r="Y16" s="335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2"/>
      <c r="M17" s="2487"/>
      <c r="N17" s="2487"/>
      <c r="O17" s="2487"/>
      <c r="P17" s="3358"/>
      <c r="Q17" s="1263"/>
      <c r="R17" s="667"/>
      <c r="S17" s="668"/>
      <c r="T17" s="667"/>
      <c r="U17" s="668"/>
      <c r="V17" s="667"/>
      <c r="W17" s="668"/>
      <c r="X17" s="1265"/>
      <c r="Y17" s="335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58"/>
      <c r="Q18" s="1263" t="str">
        <f>B18</f>
        <v>基础设施水平</v>
      </c>
      <c r="R18" s="667" t="s">
        <v>14</v>
      </c>
      <c r="S18" s="668">
        <f>F18</f>
        <v>100</v>
      </c>
      <c r="T18" s="667" t="s">
        <v>14</v>
      </c>
      <c r="U18" s="668">
        <f>H18</f>
        <v>100</v>
      </c>
      <c r="V18" s="667" t="s">
        <v>14</v>
      </c>
      <c r="W18" s="668">
        <f>J18</f>
        <v>100</v>
      </c>
      <c r="X18" s="1265"/>
      <c r="Y18" s="335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2"/>
      <c r="M19" s="2487"/>
      <c r="N19" s="2487"/>
      <c r="O19" s="2487"/>
      <c r="P19" s="3358"/>
      <c r="Q19" s="1263"/>
      <c r="R19" s="667"/>
      <c r="S19" s="668"/>
      <c r="T19" s="667"/>
      <c r="U19" s="668"/>
      <c r="V19" s="667"/>
      <c r="W19" s="668"/>
      <c r="X19" s="1265"/>
      <c r="Y19" s="335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58"/>
      <c r="Q20" s="1263" t="str">
        <f>B20</f>
        <v>自然及人文环境</v>
      </c>
      <c r="R20" s="667" t="s">
        <v>14</v>
      </c>
      <c r="S20" s="668">
        <f>F20</f>
        <v>100</v>
      </c>
      <c r="T20" s="667" t="s">
        <v>14</v>
      </c>
      <c r="U20" s="668">
        <f>H20</f>
        <v>100</v>
      </c>
      <c r="V20" s="667" t="s">
        <v>14</v>
      </c>
      <c r="W20" s="668">
        <f>J20</f>
        <v>100</v>
      </c>
      <c r="X20" s="1265"/>
      <c r="Y20" s="335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58"/>
      <c r="Q21" s="1263"/>
      <c r="R21" s="667"/>
      <c r="S21" s="668"/>
      <c r="T21" s="667"/>
      <c r="U21" s="668"/>
      <c r="V21" s="667"/>
      <c r="W21" s="668"/>
      <c r="X21" s="1265"/>
      <c r="Y21" s="335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58"/>
      <c r="Q22" s="1263" t="str">
        <f>B22</f>
        <v>楼层</v>
      </c>
      <c r="R22" s="667" t="s">
        <v>14</v>
      </c>
      <c r="S22" s="668">
        <f>F22</f>
        <v>100</v>
      </c>
      <c r="T22" s="667" t="s">
        <v>14</v>
      </c>
      <c r="U22" s="668">
        <f>H22</f>
        <v>100</v>
      </c>
      <c r="V22" s="667" t="s">
        <v>14</v>
      </c>
      <c r="W22" s="668">
        <f>J22</f>
        <v>100</v>
      </c>
      <c r="X22" s="1265"/>
      <c r="Y22" s="335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58"/>
      <c r="Q23" s="1263">
        <f>B23</f>
        <v>111</v>
      </c>
      <c r="R23" s="667" t="s">
        <v>14</v>
      </c>
      <c r="S23" s="668">
        <f>F23</f>
        <v>100</v>
      </c>
      <c r="T23" s="667" t="s">
        <v>14</v>
      </c>
      <c r="U23" s="668">
        <f>H23</f>
        <v>100</v>
      </c>
      <c r="V23" s="667" t="s">
        <v>14</v>
      </c>
      <c r="W23" s="668">
        <f>J23</f>
        <v>100</v>
      </c>
      <c r="X23" s="1265"/>
      <c r="Y23" s="335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58"/>
      <c r="Q24" s="1263">
        <f t="shared" ref="Q24:Q36" si="11">B24</f>
        <v>111</v>
      </c>
      <c r="R24" s="667" t="s">
        <v>14</v>
      </c>
      <c r="S24" s="668">
        <f>F24</f>
        <v>100</v>
      </c>
      <c r="T24" s="667" t="s">
        <v>14</v>
      </c>
      <c r="U24" s="668">
        <f>H24</f>
        <v>100</v>
      </c>
      <c r="V24" s="667" t="s">
        <v>14</v>
      </c>
      <c r="W24" s="668">
        <f>J24</f>
        <v>100</v>
      </c>
      <c r="X24" s="1265"/>
      <c r="Y24" s="335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58"/>
      <c r="Q25" s="530">
        <f t="shared" si="11"/>
        <v>111</v>
      </c>
      <c r="R25" s="664" t="s">
        <v>14</v>
      </c>
      <c r="S25" s="665">
        <f>F25</f>
        <v>100</v>
      </c>
      <c r="T25" s="664" t="s">
        <v>14</v>
      </c>
      <c r="U25" s="665">
        <f>H25</f>
        <v>100</v>
      </c>
      <c r="V25" s="664" t="s">
        <v>14</v>
      </c>
      <c r="W25" s="665">
        <f>J25</f>
        <v>100</v>
      </c>
      <c r="X25" s="666"/>
      <c r="Y25" s="335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40"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62"/>
      <c r="Q27" s="531" t="str">
        <f t="shared" si="11"/>
        <v>项目停车位配比</v>
      </c>
      <c r="R27" s="669" t="s">
        <v>14</v>
      </c>
      <c r="S27" s="670">
        <f t="shared" si="12"/>
        <v>100</v>
      </c>
      <c r="T27" s="669" t="s">
        <v>14</v>
      </c>
      <c r="U27" s="670">
        <f t="shared" si="13"/>
        <v>100</v>
      </c>
      <c r="V27" s="669" t="s">
        <v>14</v>
      </c>
      <c r="W27" s="670">
        <f t="shared" si="14"/>
        <v>100</v>
      </c>
      <c r="X27" s="671"/>
      <c r="Y27" s="336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62"/>
      <c r="Q28" s="1263" t="str">
        <f t="shared" si="11"/>
        <v>公共部分装修</v>
      </c>
      <c r="R28" s="667" t="s">
        <v>14</v>
      </c>
      <c r="S28" s="668">
        <f t="shared" si="12"/>
        <v>100</v>
      </c>
      <c r="T28" s="667" t="s">
        <v>14</v>
      </c>
      <c r="U28" s="668">
        <f t="shared" si="13"/>
        <v>100</v>
      </c>
      <c r="V28" s="667" t="s">
        <v>14</v>
      </c>
      <c r="W28" s="668">
        <f t="shared" si="14"/>
        <v>100</v>
      </c>
      <c r="X28" s="1265"/>
      <c r="Y28" s="336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62"/>
      <c r="Q29" s="1263" t="str">
        <f t="shared" si="11"/>
        <v>成新率</v>
      </c>
      <c r="R29" s="667" t="s">
        <v>14</v>
      </c>
      <c r="S29" s="668" t="e">
        <f t="shared" si="12"/>
        <v>#N/A</v>
      </c>
      <c r="T29" s="667" t="s">
        <v>14</v>
      </c>
      <c r="U29" s="668" t="e">
        <f t="shared" si="13"/>
        <v>#N/A</v>
      </c>
      <c r="V29" s="667" t="s">
        <v>14</v>
      </c>
      <c r="W29" s="668" t="e">
        <f t="shared" si="14"/>
        <v>#N/A</v>
      </c>
      <c r="X29" s="1265"/>
      <c r="Y29" s="336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62"/>
      <c r="Q30" s="1263" t="str">
        <f t="shared" si="11"/>
        <v>物业等级</v>
      </c>
      <c r="R30" s="667" t="s">
        <v>14</v>
      </c>
      <c r="S30" s="668">
        <f t="shared" si="12"/>
        <v>100</v>
      </c>
      <c r="T30" s="667" t="s">
        <v>14</v>
      </c>
      <c r="U30" s="668">
        <f t="shared" si="13"/>
        <v>100</v>
      </c>
      <c r="V30" s="667" t="s">
        <v>14</v>
      </c>
      <c r="W30" s="668">
        <f t="shared" si="14"/>
        <v>100</v>
      </c>
      <c r="X30" s="1265"/>
      <c r="Y30" s="336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62"/>
      <c r="Q31" s="530" t="str">
        <f t="shared" si="11"/>
        <v>停车位面积</v>
      </c>
      <c r="R31" s="664" t="s">
        <v>14</v>
      </c>
      <c r="S31" s="665" t="e">
        <f t="shared" si="12"/>
        <v>#N/A</v>
      </c>
      <c r="T31" s="664" t="s">
        <v>14</v>
      </c>
      <c r="U31" s="665" t="e">
        <f t="shared" si="13"/>
        <v>#N/A</v>
      </c>
      <c r="V31" s="664" t="s">
        <v>14</v>
      </c>
      <c r="W31" s="665" t="e">
        <f t="shared" si="14"/>
        <v>#N/A</v>
      </c>
      <c r="X31" s="666"/>
      <c r="Y31" s="336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62" t="s">
        <v>1696</v>
      </c>
      <c r="Q32" s="1263" t="str">
        <f t="shared" si="11"/>
        <v>车位类型</v>
      </c>
      <c r="R32" s="667" t="s">
        <v>14</v>
      </c>
      <c r="S32" s="668">
        <f t="shared" si="12"/>
        <v>100</v>
      </c>
      <c r="T32" s="667" t="s">
        <v>14</v>
      </c>
      <c r="U32" s="668">
        <f t="shared" si="13"/>
        <v>100</v>
      </c>
      <c r="V32" s="667" t="s">
        <v>14</v>
      </c>
      <c r="W32" s="668">
        <f t="shared" si="14"/>
        <v>100</v>
      </c>
      <c r="X32" s="1265"/>
      <c r="Y32" s="336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62"/>
      <c r="Q33" s="1263" t="str">
        <f t="shared" si="11"/>
        <v>是否直接入户</v>
      </c>
      <c r="R33" s="667" t="s">
        <v>14</v>
      </c>
      <c r="S33" s="668">
        <f t="shared" si="12"/>
        <v>100</v>
      </c>
      <c r="T33" s="667" t="s">
        <v>14</v>
      </c>
      <c r="U33" s="668">
        <f t="shared" si="13"/>
        <v>100</v>
      </c>
      <c r="V33" s="667" t="s">
        <v>14</v>
      </c>
      <c r="W33" s="668">
        <f t="shared" si="14"/>
        <v>100</v>
      </c>
      <c r="X33" s="1265"/>
      <c r="Y33" s="336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62"/>
      <c r="Q34" s="1263">
        <f t="shared" si="11"/>
        <v>111</v>
      </c>
      <c r="R34" s="667" t="s">
        <v>14</v>
      </c>
      <c r="S34" s="668">
        <f t="shared" si="12"/>
        <v>100</v>
      </c>
      <c r="T34" s="667" t="s">
        <v>14</v>
      </c>
      <c r="U34" s="668">
        <f t="shared" si="13"/>
        <v>100</v>
      </c>
      <c r="V34" s="667" t="s">
        <v>14</v>
      </c>
      <c r="W34" s="668">
        <f t="shared" si="14"/>
        <v>100</v>
      </c>
      <c r="X34" s="1265"/>
      <c r="Y34" s="336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62"/>
      <c r="Q35" s="531">
        <f t="shared" si="11"/>
        <v>111</v>
      </c>
      <c r="R35" s="669" t="s">
        <v>14</v>
      </c>
      <c r="S35" s="670">
        <f t="shared" si="12"/>
        <v>100</v>
      </c>
      <c r="T35" s="669" t="s">
        <v>14</v>
      </c>
      <c r="U35" s="670">
        <f t="shared" si="13"/>
        <v>100</v>
      </c>
      <c r="V35" s="669" t="s">
        <v>14</v>
      </c>
      <c r="W35" s="670">
        <f t="shared" si="14"/>
        <v>100</v>
      </c>
      <c r="X35" s="671"/>
      <c r="Y35" s="336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62"/>
      <c r="Q36" s="1263">
        <f t="shared" si="11"/>
        <v>111</v>
      </c>
      <c r="R36" s="667" t="s">
        <v>14</v>
      </c>
      <c r="S36" s="668">
        <f t="shared" si="12"/>
        <v>100</v>
      </c>
      <c r="T36" s="667" t="s">
        <v>14</v>
      </c>
      <c r="U36" s="668">
        <f t="shared" si="13"/>
        <v>100</v>
      </c>
      <c r="V36" s="667" t="s">
        <v>14</v>
      </c>
      <c r="W36" s="668">
        <f t="shared" si="14"/>
        <v>100</v>
      </c>
      <c r="X36" s="1265"/>
      <c r="Y36" s="3362"/>
      <c r="Z36" s="1264">
        <f t="shared" si="15"/>
        <v>111</v>
      </c>
      <c r="AA36" s="1264">
        <f t="shared" si="3"/>
        <v>1</v>
      </c>
      <c r="AB36" s="1264">
        <f t="shared" si="4"/>
        <v>1</v>
      </c>
      <c r="AC36" s="1264">
        <f t="shared" si="5"/>
        <v>1</v>
      </c>
    </row>
    <row r="37" spans="1:29" ht="15">
      <c r="A37" s="416" t="s">
        <v>1844</v>
      </c>
      <c r="B37" s="1821" t="s">
        <v>3356</v>
      </c>
      <c r="C37" s="1081" t="s">
        <v>0</v>
      </c>
      <c r="D37" s="418"/>
      <c r="E37" s="419"/>
      <c r="F37" s="420"/>
      <c r="G37" s="421"/>
      <c r="H37" s="422"/>
      <c r="I37" s="419"/>
      <c r="J37" s="422"/>
      <c r="K37" s="545"/>
      <c r="L37" s="2494"/>
      <c r="M37" s="2487"/>
      <c r="N37" s="2487"/>
      <c r="O37" s="2487"/>
      <c r="P37" s="3355" t="str">
        <f>A37</f>
        <v>成交单价</v>
      </c>
      <c r="Q37" s="3355"/>
      <c r="R37" s="3356">
        <f>E37</f>
        <v>0</v>
      </c>
      <c r="S37" s="3356"/>
      <c r="T37" s="3356">
        <f>G37</f>
        <v>0</v>
      </c>
      <c r="U37" s="3356"/>
      <c r="V37" s="3356">
        <f>I37</f>
        <v>0</v>
      </c>
      <c r="W37" s="335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355" t="str">
        <f>A38</f>
        <v>比较价值（元/平方米）</v>
      </c>
      <c r="Q38" s="3355"/>
      <c r="R38" s="3356" t="e">
        <f>IF(F1="售价",ROUND(PRODUCT(R37,AA7:AA36),0),ROUND(PRODUCT(R37,AA7:AA36),1))</f>
        <v>#DIV/0!</v>
      </c>
      <c r="S38" s="3356"/>
      <c r="T38" s="3356" t="e">
        <f>IF(F1="售价",ROUND(PRODUCT(T37,AB7:AB36),0),ROUND(PRODUCT(T37,AB7:AB36),1))</f>
        <v>#DIV/0!</v>
      </c>
      <c r="U38" s="3356"/>
      <c r="V38" s="3356" t="e">
        <f>IF(F1="售价",ROUND(PRODUCT(V37,AC7:AC36),0),ROUND(PRODUCT(V37,AC7:AC36),1))</f>
        <v>#DIV/0!</v>
      </c>
      <c r="W38" s="335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52" t="str">
        <f>A39</f>
        <v>估价对象XX用房的比较价值（楼面单价，元/平方米）</v>
      </c>
      <c r="Q39" s="3353"/>
      <c r="R39" s="3441" t="e">
        <f>IF(F1="售价",ROUND(IF(D38="简单平均",AVERAGE(R38:W38),R38*F38+T38*H38+V38*J38),0),ROUND(IF(D38="简单平均",AVERAGE(R38:V38),R38*F38+T38*H38+V38*J38),1))</f>
        <v>#DIV/0!</v>
      </c>
      <c r="S39" s="3441"/>
      <c r="T39" s="3441"/>
      <c r="U39" s="3441"/>
      <c r="V39" s="3441"/>
      <c r="W39" s="3441"/>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2008-12</v>
      </c>
      <c r="D48" s="1104">
        <f>EDATE(C48,-1)</f>
        <v>39753</v>
      </c>
      <c r="E48" s="1104">
        <f t="shared" ref="E48:O48" si="16">EDATE(D48,-1)</f>
        <v>39722</v>
      </c>
      <c r="F48" s="1104">
        <f t="shared" si="16"/>
        <v>39692</v>
      </c>
      <c r="G48" s="1104">
        <f t="shared" si="16"/>
        <v>39661</v>
      </c>
      <c r="H48" s="1104">
        <f t="shared" si="16"/>
        <v>39630</v>
      </c>
      <c r="I48" s="1104">
        <f t="shared" si="16"/>
        <v>39600</v>
      </c>
      <c r="J48" s="1104">
        <f t="shared" si="16"/>
        <v>39569</v>
      </c>
      <c r="K48" s="1104">
        <f t="shared" si="16"/>
        <v>39539</v>
      </c>
      <c r="L48" s="1104">
        <f t="shared" si="16"/>
        <v>39508</v>
      </c>
      <c r="M48" s="1104">
        <f t="shared" si="16"/>
        <v>39479</v>
      </c>
      <c r="N48" s="1104">
        <f t="shared" si="16"/>
        <v>39448</v>
      </c>
      <c r="O48" s="1104">
        <f t="shared" si="16"/>
        <v>39417</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X45" sqref="X45"/>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ht="15">
      <c r="A5" s="348"/>
      <c r="B5" s="349"/>
      <c r="C5" s="3423" t="s">
        <v>1673</v>
      </c>
      <c r="D5" s="3394"/>
      <c r="E5" s="3424" t="s">
        <v>1674</v>
      </c>
      <c r="F5" s="3389"/>
      <c r="G5" s="3423" t="s">
        <v>1675</v>
      </c>
      <c r="H5" s="3394"/>
      <c r="I5" s="3423" t="s">
        <v>1676</v>
      </c>
      <c r="J5" s="3394"/>
      <c r="K5" s="537"/>
      <c r="L5" s="2486"/>
      <c r="M5" s="2487"/>
      <c r="N5" s="2487"/>
      <c r="O5" s="2487"/>
      <c r="P5" s="3376"/>
      <c r="Q5" s="3377"/>
      <c r="R5" s="3382"/>
      <c r="S5" s="3383"/>
      <c r="T5" s="3382"/>
      <c r="U5" s="3383"/>
      <c r="V5" s="3356"/>
      <c r="W5" s="3356"/>
      <c r="X5" s="1265"/>
      <c r="Y5" s="3382"/>
      <c r="Z5" s="3383"/>
      <c r="AA5" s="3368"/>
      <c r="AB5" s="3368"/>
      <c r="AC5" s="3368"/>
    </row>
    <row r="6" spans="1:29" ht="15.75" thickBot="1">
      <c r="A6" s="350"/>
      <c r="B6" s="351"/>
      <c r="C6" s="3386" t="s">
        <v>1677</v>
      </c>
      <c r="D6" s="3387"/>
      <c r="E6" s="3395" t="s">
        <v>1677</v>
      </c>
      <c r="F6" s="3396"/>
      <c r="G6" s="3386" t="s">
        <v>1677</v>
      </c>
      <c r="H6" s="3387"/>
      <c r="I6" s="3386" t="s">
        <v>1677</v>
      </c>
      <c r="J6" s="3387"/>
      <c r="K6" s="537" t="s">
        <v>1678</v>
      </c>
      <c r="L6" s="2486"/>
      <c r="M6" s="2487"/>
      <c r="N6" s="2487"/>
      <c r="O6" s="2487"/>
      <c r="P6" s="3378"/>
      <c r="Q6" s="3379"/>
      <c r="R6" s="3382"/>
      <c r="S6" s="3383"/>
      <c r="T6" s="3384"/>
      <c r="U6" s="3385"/>
      <c r="V6" s="3356"/>
      <c r="W6" s="3356"/>
      <c r="X6" s="1265"/>
      <c r="Y6" s="3384"/>
      <c r="Z6" s="3385"/>
      <c r="AA6" s="3369"/>
      <c r="AB6" s="3369"/>
      <c r="AC6" s="3369"/>
    </row>
    <row r="7" spans="1:29" s="102" customFormat="1" ht="15.75" thickBot="1">
      <c r="A7" s="352" t="s">
        <v>1679</v>
      </c>
      <c r="B7" s="353"/>
      <c r="C7" s="354">
        <f>'数据-取费表'!B2</f>
        <v>39801</v>
      </c>
      <c r="D7" s="355">
        <v>100</v>
      </c>
      <c r="E7" s="356"/>
      <c r="F7" s="357">
        <f>SUMIF(46:46,YEAR(E7)&amp;"-"&amp;MONTH(E7),47:47)</f>
        <v>0</v>
      </c>
      <c r="G7" s="1822"/>
      <c r="H7" s="355">
        <f>SUMIF(46:46,YEAR(G7)&amp;"-"&amp;MONTH(G7),47:47)</f>
        <v>0</v>
      </c>
      <c r="I7" s="356"/>
      <c r="J7" s="355">
        <f>SUMIF(46:46,YEAR(I7)&amp;"-"&amp;MONTH(I7),47:47)</f>
        <v>0</v>
      </c>
      <c r="K7" s="38"/>
      <c r="L7" s="2488"/>
      <c r="M7" s="2439"/>
      <c r="N7" s="2439"/>
      <c r="O7" s="2439"/>
      <c r="P7" s="3390" t="s">
        <v>1680</v>
      </c>
      <c r="Q7" s="3392"/>
      <c r="R7" s="664" t="s">
        <v>14</v>
      </c>
      <c r="S7" s="665">
        <f t="shared" ref="S7:S14" si="0">F7</f>
        <v>0</v>
      </c>
      <c r="T7" s="664" t="s">
        <v>14</v>
      </c>
      <c r="U7" s="665">
        <f t="shared" ref="U7:U14" si="1">H7</f>
        <v>0</v>
      </c>
      <c r="V7" s="664" t="s">
        <v>14</v>
      </c>
      <c r="W7" s="665">
        <f t="shared" ref="W7:W14" si="2">J7</f>
        <v>0</v>
      </c>
      <c r="X7" s="666"/>
      <c r="Y7" s="3390" t="s">
        <v>1680</v>
      </c>
      <c r="Z7" s="339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90" t="s">
        <v>1683</v>
      </c>
      <c r="Q8" s="3391"/>
      <c r="R8" s="664" t="s">
        <v>14</v>
      </c>
      <c r="S8" s="665">
        <f t="shared" si="0"/>
        <v>100</v>
      </c>
      <c r="T8" s="664" t="s">
        <v>14</v>
      </c>
      <c r="U8" s="665">
        <f t="shared" si="1"/>
        <v>100</v>
      </c>
      <c r="V8" s="664" t="s">
        <v>14</v>
      </c>
      <c r="W8" s="665">
        <f t="shared" si="2"/>
        <v>100</v>
      </c>
      <c r="X8" s="666"/>
      <c r="Y8" s="3390" t="s">
        <v>1683</v>
      </c>
      <c r="Z8" s="339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55" t="s">
        <v>1686</v>
      </c>
      <c r="Q9" s="530" t="str">
        <f t="shared" ref="Q9:Q14" si="6">B9</f>
        <v>用途</v>
      </c>
      <c r="R9" s="664" t="s">
        <v>14</v>
      </c>
      <c r="S9" s="665">
        <f t="shared" si="0"/>
        <v>100</v>
      </c>
      <c r="T9" s="664" t="s">
        <v>14</v>
      </c>
      <c r="U9" s="665">
        <f t="shared" si="1"/>
        <v>100</v>
      </c>
      <c r="V9" s="664" t="s">
        <v>14</v>
      </c>
      <c r="W9" s="665">
        <f t="shared" si="2"/>
        <v>100</v>
      </c>
      <c r="X9" s="666"/>
      <c r="Y9" s="3256"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55"/>
      <c r="Q10" s="530" t="str">
        <f t="shared" si="6"/>
        <v>土地使用年限（年）</v>
      </c>
      <c r="R10" s="664" t="s">
        <v>14</v>
      </c>
      <c r="S10" s="665">
        <f t="shared" si="0"/>
        <v>100</v>
      </c>
      <c r="T10" s="664" t="s">
        <v>14</v>
      </c>
      <c r="U10" s="665">
        <f t="shared" si="1"/>
        <v>100</v>
      </c>
      <c r="V10" s="664" t="s">
        <v>14</v>
      </c>
      <c r="W10" s="665">
        <f t="shared" si="2"/>
        <v>100</v>
      </c>
      <c r="X10" s="666"/>
      <c r="Y10" s="325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55"/>
      <c r="Q11" s="530">
        <f t="shared" si="6"/>
        <v>111</v>
      </c>
      <c r="R11" s="664" t="s">
        <v>14</v>
      </c>
      <c r="S11" s="665">
        <f t="shared" si="0"/>
        <v>100</v>
      </c>
      <c r="T11" s="664" t="s">
        <v>14</v>
      </c>
      <c r="U11" s="665">
        <f t="shared" si="1"/>
        <v>100</v>
      </c>
      <c r="V11" s="664" t="s">
        <v>14</v>
      </c>
      <c r="W11" s="665">
        <f t="shared" si="2"/>
        <v>100</v>
      </c>
      <c r="X11" s="666"/>
      <c r="Y11" s="325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55"/>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355"/>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57" t="s">
        <v>1691</v>
      </c>
      <c r="Q14" s="1263" t="str">
        <f t="shared" si="6"/>
        <v>交通便捷度</v>
      </c>
      <c r="R14" s="667" t="s">
        <v>14</v>
      </c>
      <c r="S14" s="668">
        <f t="shared" si="0"/>
        <v>100</v>
      </c>
      <c r="T14" s="667" t="s">
        <v>14</v>
      </c>
      <c r="U14" s="668">
        <f t="shared" si="1"/>
        <v>100</v>
      </c>
      <c r="V14" s="667" t="s">
        <v>14</v>
      </c>
      <c r="W14" s="668">
        <f t="shared" si="2"/>
        <v>100</v>
      </c>
      <c r="X14" s="1265"/>
      <c r="Y14" s="335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58"/>
      <c r="Q15" s="1263"/>
      <c r="R15" s="667"/>
      <c r="S15" s="668"/>
      <c r="T15" s="667"/>
      <c r="U15" s="668"/>
      <c r="V15" s="667"/>
      <c r="W15" s="668"/>
      <c r="X15" s="1265"/>
      <c r="Y15" s="335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58"/>
      <c r="Q16" s="1263" t="str">
        <f>B16</f>
        <v>公共配套设施</v>
      </c>
      <c r="R16" s="667" t="s">
        <v>14</v>
      </c>
      <c r="S16" s="668">
        <f>F16</f>
        <v>100</v>
      </c>
      <c r="T16" s="667" t="s">
        <v>14</v>
      </c>
      <c r="U16" s="668">
        <f>H16</f>
        <v>100</v>
      </c>
      <c r="V16" s="667" t="s">
        <v>14</v>
      </c>
      <c r="W16" s="668">
        <f>J16</f>
        <v>100</v>
      </c>
      <c r="X16" s="1265"/>
      <c r="Y16" s="335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2"/>
      <c r="M17" s="2487"/>
      <c r="N17" s="2487"/>
      <c r="O17" s="2542"/>
      <c r="P17" s="3358"/>
      <c r="Q17" s="1263"/>
      <c r="R17" s="667"/>
      <c r="S17" s="668"/>
      <c r="T17" s="667"/>
      <c r="U17" s="668"/>
      <c r="V17" s="667"/>
      <c r="W17" s="668"/>
      <c r="X17" s="1265"/>
      <c r="Y17" s="335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58"/>
      <c r="Q18" s="1263" t="str">
        <f>B18</f>
        <v>基础设施水平</v>
      </c>
      <c r="R18" s="667" t="s">
        <v>14</v>
      </c>
      <c r="S18" s="668">
        <f>F18</f>
        <v>100</v>
      </c>
      <c r="T18" s="667" t="s">
        <v>14</v>
      </c>
      <c r="U18" s="668">
        <f>H18</f>
        <v>100</v>
      </c>
      <c r="V18" s="667" t="s">
        <v>14</v>
      </c>
      <c r="W18" s="668">
        <f>J18</f>
        <v>100</v>
      </c>
      <c r="X18" s="1265"/>
      <c r="Y18" s="335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2"/>
      <c r="M19" s="2487"/>
      <c r="N19" s="2487"/>
      <c r="O19" s="2542"/>
      <c r="P19" s="3358"/>
      <c r="Q19" s="1263"/>
      <c r="R19" s="667"/>
      <c r="S19" s="668"/>
      <c r="T19" s="667"/>
      <c r="U19" s="668"/>
      <c r="V19" s="667"/>
      <c r="W19" s="668"/>
      <c r="X19" s="1265"/>
      <c r="Y19" s="335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58"/>
      <c r="Q20" s="1263" t="str">
        <f>B20</f>
        <v>自然及人文环境</v>
      </c>
      <c r="R20" s="667" t="s">
        <v>14</v>
      </c>
      <c r="S20" s="668">
        <f>F20</f>
        <v>100</v>
      </c>
      <c r="T20" s="667" t="s">
        <v>14</v>
      </c>
      <c r="U20" s="668">
        <f>H20</f>
        <v>100</v>
      </c>
      <c r="V20" s="667" t="s">
        <v>14</v>
      </c>
      <c r="W20" s="668">
        <f>J20</f>
        <v>100</v>
      </c>
      <c r="X20" s="1265"/>
      <c r="Y20" s="335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58"/>
      <c r="Q21" s="1263"/>
      <c r="R21" s="667"/>
      <c r="S21" s="668"/>
      <c r="T21" s="667"/>
      <c r="U21" s="668"/>
      <c r="V21" s="667"/>
      <c r="W21" s="668"/>
      <c r="X21" s="1265"/>
      <c r="Y21" s="335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58"/>
      <c r="Q22" s="1263" t="str">
        <f>B22</f>
        <v>楼层</v>
      </c>
      <c r="R22" s="667" t="s">
        <v>14</v>
      </c>
      <c r="S22" s="668">
        <f>F22</f>
        <v>100</v>
      </c>
      <c r="T22" s="667" t="s">
        <v>14</v>
      </c>
      <c r="U22" s="668">
        <f>H22</f>
        <v>100</v>
      </c>
      <c r="V22" s="667" t="s">
        <v>14</v>
      </c>
      <c r="W22" s="668">
        <f>J22</f>
        <v>100</v>
      </c>
      <c r="X22" s="1265"/>
      <c r="Y22" s="335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58"/>
      <c r="Q23" s="1263">
        <f>B23</f>
        <v>111</v>
      </c>
      <c r="R23" s="667" t="s">
        <v>14</v>
      </c>
      <c r="S23" s="668">
        <f>F23</f>
        <v>100</v>
      </c>
      <c r="T23" s="667" t="s">
        <v>14</v>
      </c>
      <c r="U23" s="668">
        <f>H23</f>
        <v>100</v>
      </c>
      <c r="V23" s="667" t="s">
        <v>14</v>
      </c>
      <c r="W23" s="668">
        <f>J23</f>
        <v>100</v>
      </c>
      <c r="X23" s="1265"/>
      <c r="Y23" s="335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58"/>
      <c r="Q24" s="1263">
        <f t="shared" ref="Q24:Q34" si="11">B24</f>
        <v>111</v>
      </c>
      <c r="R24" s="667" t="s">
        <v>14</v>
      </c>
      <c r="S24" s="668">
        <f>F24</f>
        <v>100</v>
      </c>
      <c r="T24" s="667" t="s">
        <v>14</v>
      </c>
      <c r="U24" s="668">
        <f>H24</f>
        <v>100</v>
      </c>
      <c r="V24" s="667" t="s">
        <v>14</v>
      </c>
      <c r="W24" s="668">
        <f>J24</f>
        <v>100</v>
      </c>
      <c r="X24" s="1265"/>
      <c r="Y24" s="335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39"/>
      <c r="N25" s="2439"/>
      <c r="O25" s="2540"/>
      <c r="P25" s="3358"/>
      <c r="Q25" s="530">
        <f t="shared" si="11"/>
        <v>111</v>
      </c>
      <c r="R25" s="664" t="s">
        <v>14</v>
      </c>
      <c r="S25" s="665">
        <f>F25</f>
        <v>100</v>
      </c>
      <c r="T25" s="664" t="s">
        <v>14</v>
      </c>
      <c r="U25" s="665">
        <f>H25</f>
        <v>100</v>
      </c>
      <c r="V25" s="664" t="s">
        <v>14</v>
      </c>
      <c r="W25" s="665">
        <f>J25</f>
        <v>100</v>
      </c>
      <c r="X25" s="666"/>
      <c r="Y25" s="335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40"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62"/>
      <c r="Q27" s="531" t="str">
        <f t="shared" si="11"/>
        <v>成新率</v>
      </c>
      <c r="R27" s="669" t="s">
        <v>14</v>
      </c>
      <c r="S27" s="670" t="e">
        <f t="shared" si="12"/>
        <v>#N/A</v>
      </c>
      <c r="T27" s="669" t="s">
        <v>14</v>
      </c>
      <c r="U27" s="670" t="e">
        <f t="shared" si="13"/>
        <v>#N/A</v>
      </c>
      <c r="V27" s="669" t="s">
        <v>14</v>
      </c>
      <c r="W27" s="670" t="e">
        <f t="shared" si="14"/>
        <v>#N/A</v>
      </c>
      <c r="X27" s="671"/>
      <c r="Y27" s="336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62"/>
      <c r="Q28" s="1263" t="str">
        <f t="shared" si="11"/>
        <v>物业等级</v>
      </c>
      <c r="R28" s="667" t="s">
        <v>14</v>
      </c>
      <c r="S28" s="668">
        <f t="shared" si="12"/>
        <v>100</v>
      </c>
      <c r="T28" s="667" t="s">
        <v>14</v>
      </c>
      <c r="U28" s="668">
        <f t="shared" si="13"/>
        <v>100</v>
      </c>
      <c r="V28" s="667" t="s">
        <v>14</v>
      </c>
      <c r="W28" s="668">
        <f t="shared" si="14"/>
        <v>100</v>
      </c>
      <c r="X28" s="1265"/>
      <c r="Y28" s="336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62"/>
      <c r="Q29" s="1263" t="str">
        <f t="shared" si="11"/>
        <v>有无电梯</v>
      </c>
      <c r="R29" s="667" t="s">
        <v>14</v>
      </c>
      <c r="S29" s="668">
        <f t="shared" si="12"/>
        <v>100</v>
      </c>
      <c r="T29" s="667" t="s">
        <v>14</v>
      </c>
      <c r="U29" s="668">
        <f t="shared" si="13"/>
        <v>100</v>
      </c>
      <c r="V29" s="667" t="s">
        <v>14</v>
      </c>
      <c r="W29" s="668">
        <f t="shared" si="14"/>
        <v>100</v>
      </c>
      <c r="X29" s="1265"/>
      <c r="Y29" s="336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62"/>
      <c r="Q30" s="1263" t="str">
        <f t="shared" si="11"/>
        <v>建筑面积</v>
      </c>
      <c r="R30" s="667" t="s">
        <v>14</v>
      </c>
      <c r="S30" s="668" t="e">
        <f t="shared" si="12"/>
        <v>#N/A</v>
      </c>
      <c r="T30" s="667" t="s">
        <v>14</v>
      </c>
      <c r="U30" s="668" t="e">
        <f t="shared" si="13"/>
        <v>#N/A</v>
      </c>
      <c r="V30" s="667" t="s">
        <v>14</v>
      </c>
      <c r="W30" s="668" t="e">
        <f t="shared" si="14"/>
        <v>#N/A</v>
      </c>
      <c r="X30" s="1265"/>
      <c r="Y30" s="336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62"/>
      <c r="Q31" s="530" t="str">
        <f t="shared" si="11"/>
        <v>是否封闭</v>
      </c>
      <c r="R31" s="664" t="s">
        <v>14</v>
      </c>
      <c r="S31" s="665">
        <f t="shared" si="12"/>
        <v>100</v>
      </c>
      <c r="T31" s="664" t="s">
        <v>14</v>
      </c>
      <c r="U31" s="665">
        <f t="shared" si="13"/>
        <v>100</v>
      </c>
      <c r="V31" s="664" t="s">
        <v>14</v>
      </c>
      <c r="W31" s="665">
        <f t="shared" si="14"/>
        <v>100</v>
      </c>
      <c r="X31" s="666"/>
      <c r="Y31" s="336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62" t="s">
        <v>1696</v>
      </c>
      <c r="Q32" s="1263">
        <f t="shared" si="11"/>
        <v>111</v>
      </c>
      <c r="R32" s="667" t="s">
        <v>14</v>
      </c>
      <c r="S32" s="668">
        <f t="shared" si="12"/>
        <v>100</v>
      </c>
      <c r="T32" s="667" t="s">
        <v>14</v>
      </c>
      <c r="U32" s="668">
        <f t="shared" si="13"/>
        <v>100</v>
      </c>
      <c r="V32" s="667" t="s">
        <v>14</v>
      </c>
      <c r="W32" s="668">
        <f t="shared" si="14"/>
        <v>100</v>
      </c>
      <c r="X32" s="1265"/>
      <c r="Y32" s="336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62"/>
      <c r="Q33" s="1263">
        <f t="shared" si="11"/>
        <v>111</v>
      </c>
      <c r="R33" s="667" t="s">
        <v>14</v>
      </c>
      <c r="S33" s="668">
        <f t="shared" si="12"/>
        <v>100</v>
      </c>
      <c r="T33" s="667" t="s">
        <v>14</v>
      </c>
      <c r="U33" s="668">
        <f t="shared" si="13"/>
        <v>100</v>
      </c>
      <c r="V33" s="667" t="s">
        <v>14</v>
      </c>
      <c r="W33" s="668">
        <f t="shared" si="14"/>
        <v>100</v>
      </c>
      <c r="X33" s="1265"/>
      <c r="Y33" s="336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362"/>
      <c r="Q34" s="1263">
        <f t="shared" si="11"/>
        <v>111</v>
      </c>
      <c r="R34" s="667" t="s">
        <v>14</v>
      </c>
      <c r="S34" s="668">
        <f t="shared" si="12"/>
        <v>100</v>
      </c>
      <c r="T34" s="667" t="s">
        <v>14</v>
      </c>
      <c r="U34" s="668">
        <f t="shared" si="13"/>
        <v>100</v>
      </c>
      <c r="V34" s="667" t="s">
        <v>14</v>
      </c>
      <c r="W34" s="668">
        <f t="shared" si="14"/>
        <v>100</v>
      </c>
      <c r="X34" s="1265"/>
      <c r="Y34" s="336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55" t="str">
        <f>A35</f>
        <v>成交单价（元/平方米）</v>
      </c>
      <c r="Q35" s="3355"/>
      <c r="R35" s="3356">
        <f>E35</f>
        <v>0</v>
      </c>
      <c r="S35" s="3356"/>
      <c r="T35" s="3356">
        <f>G35</f>
        <v>0</v>
      </c>
      <c r="U35" s="3356"/>
      <c r="V35" s="3356">
        <f>I35</f>
        <v>0</v>
      </c>
      <c r="W35" s="335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355" t="str">
        <f>A36</f>
        <v>比较价值（元/平方米）</v>
      </c>
      <c r="Q36" s="3355"/>
      <c r="R36" s="3356" t="e">
        <f>IF(F1="售价",ROUND(PRODUCT(R35,AA7:AA34),0),ROUND(PRODUCT(R35,AA7:AA34),1))</f>
        <v>#DIV/0!</v>
      </c>
      <c r="S36" s="3356"/>
      <c r="T36" s="3356" t="e">
        <f>IF(F1="售价",ROUND(PRODUCT(T35,AB7:AB34),0),ROUND(PRODUCT(T35,AB7:AB34),1))</f>
        <v>#DIV/0!</v>
      </c>
      <c r="U36" s="3356"/>
      <c r="V36" s="3356" t="e">
        <f>IF(F1="售价",ROUND(PRODUCT(V35,AC7:AC34),0),ROUND(PRODUCT(V35,AC7:AC34),1))</f>
        <v>#DIV/0!</v>
      </c>
      <c r="W36" s="335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52" t="str">
        <f>A37</f>
        <v>估价对象XX用房的比较价值（楼面单价，元/平方米）</v>
      </c>
      <c r="Q37" s="3353"/>
      <c r="R37" s="3441" t="e">
        <f>IF(F1="售价",ROUND(IF(D36="简单平均",AVERAGE(R36:W36),R36*F36+T36*H36+V36*J36),0),ROUND(IF(D36="简单平均",AVERAGE(R36:V36),R36*F36+T36*H36+V36*J36),1))</f>
        <v>#DIV/0!</v>
      </c>
      <c r="S37" s="3441"/>
      <c r="T37" s="3441"/>
      <c r="U37" s="3441"/>
      <c r="V37" s="3441"/>
      <c r="W37" s="3441"/>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2008-12</v>
      </c>
      <c r="D46" s="1104">
        <f>EDATE(C46,-1)</f>
        <v>39753</v>
      </c>
      <c r="E46" s="1104">
        <f t="shared" ref="E46:O46" si="16">EDATE(D46,-1)</f>
        <v>39722</v>
      </c>
      <c r="F46" s="1104">
        <f t="shared" si="16"/>
        <v>39692</v>
      </c>
      <c r="G46" s="1104">
        <f t="shared" si="16"/>
        <v>39661</v>
      </c>
      <c r="H46" s="1104">
        <f t="shared" si="16"/>
        <v>39630</v>
      </c>
      <c r="I46" s="1104">
        <f t="shared" si="16"/>
        <v>39600</v>
      </c>
      <c r="J46" s="1104">
        <f t="shared" si="16"/>
        <v>39569</v>
      </c>
      <c r="K46" s="1104">
        <f t="shared" si="16"/>
        <v>39539</v>
      </c>
      <c r="L46" s="1104">
        <f t="shared" si="16"/>
        <v>39508</v>
      </c>
      <c r="M46" s="1104">
        <f t="shared" si="16"/>
        <v>39479</v>
      </c>
      <c r="N46" s="1104">
        <f t="shared" si="16"/>
        <v>39448</v>
      </c>
      <c r="O46" s="1104">
        <f t="shared" si="16"/>
        <v>39417</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ht="15">
      <c r="A5" s="348"/>
      <c r="B5" s="349"/>
      <c r="C5" s="3423" t="s">
        <v>1673</v>
      </c>
      <c r="D5" s="3394"/>
      <c r="E5" s="3424" t="s">
        <v>1674</v>
      </c>
      <c r="F5" s="3389"/>
      <c r="G5" s="3423" t="s">
        <v>1675</v>
      </c>
      <c r="H5" s="3394"/>
      <c r="I5" s="3423" t="s">
        <v>1676</v>
      </c>
      <c r="J5" s="3394"/>
      <c r="K5" s="537"/>
      <c r="L5" s="2486"/>
      <c r="M5" s="2487"/>
      <c r="N5" s="2487"/>
      <c r="O5" s="2487"/>
      <c r="P5" s="3376"/>
      <c r="Q5" s="3377"/>
      <c r="R5" s="3382"/>
      <c r="S5" s="3383"/>
      <c r="T5" s="3382"/>
      <c r="U5" s="3383"/>
      <c r="V5" s="3356"/>
      <c r="W5" s="3356"/>
      <c r="X5" s="1265"/>
      <c r="Y5" s="3382"/>
      <c r="Z5" s="3383"/>
      <c r="AA5" s="3368"/>
      <c r="AB5" s="3368"/>
      <c r="AC5" s="3368"/>
    </row>
    <row r="6" spans="1:29" ht="15.75" thickBot="1">
      <c r="A6" s="350"/>
      <c r="B6" s="351"/>
      <c r="C6" s="3386" t="s">
        <v>1677</v>
      </c>
      <c r="D6" s="3387"/>
      <c r="E6" s="3395" t="s">
        <v>1677</v>
      </c>
      <c r="F6" s="3396"/>
      <c r="G6" s="3386" t="s">
        <v>1677</v>
      </c>
      <c r="H6" s="3387"/>
      <c r="I6" s="3386" t="s">
        <v>1677</v>
      </c>
      <c r="J6" s="3387"/>
      <c r="K6" s="537" t="s">
        <v>1678</v>
      </c>
      <c r="L6" s="2486"/>
      <c r="M6" s="2487"/>
      <c r="N6" s="2487"/>
      <c r="O6" s="2487"/>
      <c r="P6" s="3378"/>
      <c r="Q6" s="3379"/>
      <c r="R6" s="3382"/>
      <c r="S6" s="3383"/>
      <c r="T6" s="3384"/>
      <c r="U6" s="3385"/>
      <c r="V6" s="3356"/>
      <c r="W6" s="3356"/>
      <c r="X6" s="1265"/>
      <c r="Y6" s="3384"/>
      <c r="Z6" s="3385"/>
      <c r="AA6" s="3369"/>
      <c r="AB6" s="3369"/>
      <c r="AC6" s="3369"/>
    </row>
    <row r="7" spans="1:29" s="102" customFormat="1" ht="15.75" thickBot="1">
      <c r="A7" s="352" t="s">
        <v>1679</v>
      </c>
      <c r="B7" s="353"/>
      <c r="C7" s="354">
        <f>'数据-取费表'!B2</f>
        <v>39801</v>
      </c>
      <c r="D7" s="355">
        <v>100</v>
      </c>
      <c r="E7" s="356"/>
      <c r="F7" s="357">
        <f>SUMIF(69:69,YEAR(E7)&amp;"-"&amp;INT((MONTH(E7)+2)/3),70:70)</f>
        <v>0</v>
      </c>
      <c r="G7" s="1822"/>
      <c r="H7" s="355">
        <f>SUMIF(69:69,YEAR(G7)&amp;"-"&amp;INT((MONTH(G7)+2)/3),70:70)</f>
        <v>0</v>
      </c>
      <c r="I7" s="1822"/>
      <c r="J7" s="355">
        <f>SUMIF(69:69,YEAR(I7)&amp;"-"&amp;INT((MONTH(I7)+2)/3),70:70)</f>
        <v>0</v>
      </c>
      <c r="K7" s="38"/>
      <c r="L7" s="2488"/>
      <c r="M7" s="2439"/>
      <c r="N7" s="2439"/>
      <c r="O7" s="2439"/>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90" t="s">
        <v>1683</v>
      </c>
      <c r="Q8" s="3391"/>
      <c r="R8" s="664" t="s">
        <v>14</v>
      </c>
      <c r="S8" s="665">
        <f t="shared" si="0"/>
        <v>0</v>
      </c>
      <c r="T8" s="664" t="s">
        <v>14</v>
      </c>
      <c r="U8" s="665">
        <f t="shared" si="1"/>
        <v>0</v>
      </c>
      <c r="V8" s="664" t="s">
        <v>14</v>
      </c>
      <c r="W8" s="665">
        <f t="shared" si="2"/>
        <v>0</v>
      </c>
      <c r="X8" s="666"/>
      <c r="Y8" s="3390" t="s">
        <v>1683</v>
      </c>
      <c r="Z8" s="339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39"/>
      <c r="N9" s="2439"/>
      <c r="O9" s="2540"/>
      <c r="P9" s="3355"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9"/>
      <c r="M10" s="2490"/>
      <c r="N10" s="2490"/>
      <c r="O10" s="2541"/>
      <c r="P10" s="3355"/>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55"/>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55"/>
      <c r="Q12" s="530" t="str">
        <f t="shared" si="6"/>
        <v>配建</v>
      </c>
      <c r="R12" s="664" t="s">
        <v>14</v>
      </c>
      <c r="S12" s="665">
        <f t="shared" si="0"/>
        <v>100</v>
      </c>
      <c r="T12" s="664" t="s">
        <v>14</v>
      </c>
      <c r="U12" s="665">
        <f t="shared" si="1"/>
        <v>100</v>
      </c>
      <c r="V12" s="664" t="s">
        <v>14</v>
      </c>
      <c r="W12" s="665">
        <f t="shared" si="2"/>
        <v>100</v>
      </c>
      <c r="X12" s="666"/>
      <c r="Y12" s="325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55"/>
      <c r="Q13" s="530">
        <f t="shared" si="6"/>
        <v>111</v>
      </c>
      <c r="R13" s="664" t="s">
        <v>14</v>
      </c>
      <c r="S13" s="665">
        <f t="shared" si="0"/>
        <v>100</v>
      </c>
      <c r="T13" s="664" t="s">
        <v>14</v>
      </c>
      <c r="U13" s="665">
        <f t="shared" si="1"/>
        <v>100</v>
      </c>
      <c r="V13" s="664" t="s">
        <v>14</v>
      </c>
      <c r="W13" s="665">
        <f t="shared" si="2"/>
        <v>100</v>
      </c>
      <c r="X13" s="666"/>
      <c r="Y13" s="3256"/>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55"/>
      <c r="Q14" s="530">
        <f t="shared" si="6"/>
        <v>111</v>
      </c>
      <c r="R14" s="664" t="s">
        <v>14</v>
      </c>
      <c r="S14" s="665">
        <f t="shared" si="0"/>
        <v>100</v>
      </c>
      <c r="T14" s="664" t="s">
        <v>14</v>
      </c>
      <c r="U14" s="665">
        <f t="shared" si="1"/>
        <v>100</v>
      </c>
      <c r="V14" s="664" t="s">
        <v>14</v>
      </c>
      <c r="W14" s="665">
        <f t="shared" si="2"/>
        <v>100</v>
      </c>
      <c r="X14" s="666"/>
      <c r="Y14" s="3256"/>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57" t="s">
        <v>1691</v>
      </c>
      <c r="Q15" s="1263" t="str">
        <f t="shared" si="6"/>
        <v>居住社区成熟度</v>
      </c>
      <c r="R15" s="667" t="s">
        <v>14</v>
      </c>
      <c r="S15" s="668">
        <f t="shared" si="0"/>
        <v>100</v>
      </c>
      <c r="T15" s="667" t="s">
        <v>14</v>
      </c>
      <c r="U15" s="668">
        <f t="shared" si="1"/>
        <v>100</v>
      </c>
      <c r="V15" s="667" t="s">
        <v>14</v>
      </c>
      <c r="W15" s="668">
        <f t="shared" si="2"/>
        <v>100</v>
      </c>
      <c r="X15" s="1265"/>
      <c r="Y15" s="335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2"/>
      <c r="M16" s="2487"/>
      <c r="N16" s="2487"/>
      <c r="O16" s="2542"/>
      <c r="P16" s="3358"/>
      <c r="Q16" s="1263"/>
      <c r="R16" s="667"/>
      <c r="S16" s="668"/>
      <c r="T16" s="667"/>
      <c r="U16" s="668"/>
      <c r="V16" s="667"/>
      <c r="W16" s="668"/>
      <c r="X16" s="1265"/>
      <c r="Y16" s="335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58"/>
      <c r="Q17" s="1263" t="str">
        <f>B17</f>
        <v>商业繁华度</v>
      </c>
      <c r="R17" s="667" t="s">
        <v>14</v>
      </c>
      <c r="S17" s="668">
        <f>F17</f>
        <v>100</v>
      </c>
      <c r="T17" s="667" t="s">
        <v>14</v>
      </c>
      <c r="U17" s="668">
        <f>H17</f>
        <v>100</v>
      </c>
      <c r="V17" s="667" t="s">
        <v>14</v>
      </c>
      <c r="W17" s="668">
        <f>J17</f>
        <v>100</v>
      </c>
      <c r="X17" s="1265"/>
      <c r="Y17" s="335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2"/>
      <c r="M18" s="2487"/>
      <c r="N18" s="2487"/>
      <c r="O18" s="2542"/>
      <c r="P18" s="3358"/>
      <c r="Q18" s="1263"/>
      <c r="R18" s="667"/>
      <c r="S18" s="668"/>
      <c r="T18" s="667"/>
      <c r="U18" s="668"/>
      <c r="V18" s="667"/>
      <c r="W18" s="668"/>
      <c r="X18" s="1265"/>
      <c r="Y18" s="335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58"/>
      <c r="Q19" s="1263" t="str">
        <f>B19</f>
        <v>办公集聚程度</v>
      </c>
      <c r="R19" s="667" t="s">
        <v>14</v>
      </c>
      <c r="S19" s="668">
        <f>F19</f>
        <v>100</v>
      </c>
      <c r="T19" s="667" t="s">
        <v>14</v>
      </c>
      <c r="U19" s="668">
        <f>H19</f>
        <v>100</v>
      </c>
      <c r="V19" s="667" t="s">
        <v>14</v>
      </c>
      <c r="W19" s="668">
        <f>J19</f>
        <v>100</v>
      </c>
      <c r="X19" s="1265"/>
      <c r="Y19" s="335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2"/>
      <c r="M20" s="2487"/>
      <c r="N20" s="2487"/>
      <c r="O20" s="2542"/>
      <c r="P20" s="3358"/>
      <c r="Q20" s="1263"/>
      <c r="R20" s="667"/>
      <c r="S20" s="668"/>
      <c r="T20" s="667"/>
      <c r="U20" s="668"/>
      <c r="V20" s="667"/>
      <c r="W20" s="668"/>
      <c r="X20" s="1265"/>
      <c r="Y20" s="335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58"/>
      <c r="Q21" s="1263" t="str">
        <f>B21</f>
        <v>交通便捷度</v>
      </c>
      <c r="R21" s="667" t="s">
        <v>14</v>
      </c>
      <c r="S21" s="668">
        <f>F21</f>
        <v>100</v>
      </c>
      <c r="T21" s="667" t="s">
        <v>14</v>
      </c>
      <c r="U21" s="668">
        <f>H21</f>
        <v>100</v>
      </c>
      <c r="V21" s="667" t="s">
        <v>14</v>
      </c>
      <c r="W21" s="668">
        <f>J21</f>
        <v>100</v>
      </c>
      <c r="X21" s="1265"/>
      <c r="Y21" s="335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2"/>
      <c r="M22" s="2487"/>
      <c r="N22" s="2487"/>
      <c r="O22" s="2542"/>
      <c r="P22" s="3358"/>
      <c r="Q22" s="1263"/>
      <c r="R22" s="667"/>
      <c r="S22" s="668"/>
      <c r="T22" s="667"/>
      <c r="U22" s="668"/>
      <c r="V22" s="667"/>
      <c r="W22" s="668"/>
      <c r="X22" s="1265"/>
      <c r="Y22" s="335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58"/>
      <c r="Q23" s="1263" t="str">
        <f t="shared" ref="Q23:Q37" si="8">B23</f>
        <v>区域土地利用方向</v>
      </c>
      <c r="R23" s="667" t="s">
        <v>14</v>
      </c>
      <c r="S23" s="668">
        <f>F23</f>
        <v>100</v>
      </c>
      <c r="T23" s="667" t="s">
        <v>14</v>
      </c>
      <c r="U23" s="668">
        <f>H23</f>
        <v>100</v>
      </c>
      <c r="V23" s="667" t="s">
        <v>14</v>
      </c>
      <c r="W23" s="668">
        <f>J23</f>
        <v>100</v>
      </c>
      <c r="X23" s="1265"/>
      <c r="Y23" s="335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2"/>
      <c r="M24" s="2487"/>
      <c r="N24" s="2487"/>
      <c r="O24" s="2542"/>
      <c r="P24" s="3358"/>
      <c r="Q24" s="1263"/>
      <c r="R24" s="667"/>
      <c r="S24" s="668"/>
      <c r="T24" s="667"/>
      <c r="U24" s="668"/>
      <c r="V24" s="667"/>
      <c r="W24" s="668"/>
      <c r="X24" s="1265"/>
      <c r="Y24" s="335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58"/>
      <c r="Q25" s="1263" t="str">
        <f t="shared" si="8"/>
        <v>自然及人文环境状况</v>
      </c>
      <c r="R25" s="667" t="s">
        <v>14</v>
      </c>
      <c r="S25" s="668">
        <f>F25</f>
        <v>100</v>
      </c>
      <c r="T25" s="667" t="s">
        <v>14</v>
      </c>
      <c r="U25" s="668">
        <f>H25</f>
        <v>100</v>
      </c>
      <c r="V25" s="667" t="s">
        <v>14</v>
      </c>
      <c r="W25" s="668">
        <f>J25</f>
        <v>100</v>
      </c>
      <c r="X25" s="1265"/>
      <c r="Y25" s="335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2"/>
      <c r="M26" s="2487"/>
      <c r="N26" s="2487"/>
      <c r="O26" s="2542"/>
      <c r="P26" s="3358"/>
      <c r="Q26" s="1263"/>
      <c r="R26" s="667"/>
      <c r="S26" s="668"/>
      <c r="T26" s="667"/>
      <c r="U26" s="668"/>
      <c r="V26" s="667"/>
      <c r="W26" s="668"/>
      <c r="X26" s="1265"/>
      <c r="Y26" s="335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58"/>
      <c r="Q27" s="530" t="str">
        <f t="shared" si="8"/>
        <v>公共配套设施</v>
      </c>
      <c r="R27" s="664" t="s">
        <v>14</v>
      </c>
      <c r="S27" s="665">
        <f>F27</f>
        <v>100</v>
      </c>
      <c r="T27" s="664" t="s">
        <v>14</v>
      </c>
      <c r="U27" s="665">
        <f>H27</f>
        <v>100</v>
      </c>
      <c r="V27" s="664" t="s">
        <v>14</v>
      </c>
      <c r="W27" s="665">
        <f>J27</f>
        <v>100</v>
      </c>
      <c r="X27" s="666"/>
      <c r="Y27" s="335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8"/>
      <c r="M28" s="2439"/>
      <c r="N28" s="2439"/>
      <c r="O28" s="2540"/>
      <c r="P28" s="3358"/>
      <c r="Q28" s="530"/>
      <c r="R28" s="664"/>
      <c r="S28" s="665"/>
      <c r="T28" s="664"/>
      <c r="U28" s="665"/>
      <c r="V28" s="664"/>
      <c r="W28" s="665"/>
      <c r="X28" s="666"/>
      <c r="Y28" s="335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58"/>
      <c r="Q29" s="530" t="str">
        <f t="shared" ref="Q29" si="9">B29</f>
        <v>基础设施水平</v>
      </c>
      <c r="R29" s="664" t="s">
        <v>14</v>
      </c>
      <c r="S29" s="665">
        <f>F29</f>
        <v>100</v>
      </c>
      <c r="T29" s="664" t="s">
        <v>14</v>
      </c>
      <c r="U29" s="665">
        <f>H29</f>
        <v>100</v>
      </c>
      <c r="V29" s="664" t="s">
        <v>14</v>
      </c>
      <c r="W29" s="665">
        <f>J29</f>
        <v>100</v>
      </c>
      <c r="X29" s="666"/>
      <c r="Y29" s="335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8"/>
      <c r="M30" s="2439"/>
      <c r="N30" s="2439"/>
      <c r="O30" s="2540"/>
      <c r="P30" s="3358"/>
      <c r="Q30" s="530"/>
      <c r="R30" s="664"/>
      <c r="S30" s="665"/>
      <c r="T30" s="664"/>
      <c r="U30" s="665"/>
      <c r="V30" s="664"/>
      <c r="W30" s="665"/>
      <c r="X30" s="666"/>
      <c r="Y30" s="335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5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5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58"/>
      <c r="Q32" s="1263" t="str">
        <f t="shared" si="8"/>
        <v>毗邻道路的类型与等级</v>
      </c>
      <c r="R32" s="667" t="s">
        <v>14</v>
      </c>
      <c r="S32" s="668">
        <f t="shared" si="10"/>
        <v>100</v>
      </c>
      <c r="T32" s="667" t="s">
        <v>14</v>
      </c>
      <c r="U32" s="668">
        <f t="shared" si="11"/>
        <v>100</v>
      </c>
      <c r="V32" s="667" t="s">
        <v>14</v>
      </c>
      <c r="W32" s="668">
        <f t="shared" si="12"/>
        <v>100</v>
      </c>
      <c r="X32" s="1265"/>
      <c r="Y32" s="335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2"/>
      <c r="M33" s="2487"/>
      <c r="N33" s="2487"/>
      <c r="O33" s="2542"/>
      <c r="P33" s="3358"/>
      <c r="Q33" s="1263"/>
      <c r="R33" s="667"/>
      <c r="S33" s="668"/>
      <c r="T33" s="667"/>
      <c r="U33" s="668"/>
      <c r="V33" s="667"/>
      <c r="W33" s="668"/>
      <c r="X33" s="1265"/>
      <c r="Y33" s="335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58"/>
      <c r="Q34" s="1263" t="str">
        <f t="shared" si="8"/>
        <v>土地级别</v>
      </c>
      <c r="R34" s="667" t="s">
        <v>14</v>
      </c>
      <c r="S34" s="668">
        <f t="shared" si="10"/>
        <v>100</v>
      </c>
      <c r="T34" s="667" t="s">
        <v>14</v>
      </c>
      <c r="U34" s="668">
        <f t="shared" si="11"/>
        <v>100</v>
      </c>
      <c r="V34" s="667" t="s">
        <v>14</v>
      </c>
      <c r="W34" s="668">
        <f t="shared" si="12"/>
        <v>100</v>
      </c>
      <c r="X34" s="1265"/>
      <c r="Y34" s="335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58"/>
      <c r="Q35" s="1263">
        <f t="shared" si="8"/>
        <v>111</v>
      </c>
      <c r="R35" s="667" t="s">
        <v>14</v>
      </c>
      <c r="S35" s="668">
        <f t="shared" si="10"/>
        <v>100</v>
      </c>
      <c r="T35" s="667" t="s">
        <v>14</v>
      </c>
      <c r="U35" s="668">
        <f t="shared" si="11"/>
        <v>100</v>
      </c>
      <c r="V35" s="667" t="s">
        <v>14</v>
      </c>
      <c r="W35" s="668">
        <f t="shared" si="12"/>
        <v>100</v>
      </c>
      <c r="X35" s="1265"/>
      <c r="Y35" s="335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40" t="s">
        <v>1696</v>
      </c>
      <c r="Q36" s="1263">
        <f t="shared" si="8"/>
        <v>111</v>
      </c>
      <c r="R36" s="667" t="s">
        <v>14</v>
      </c>
      <c r="S36" s="668">
        <f t="shared" si="10"/>
        <v>100</v>
      </c>
      <c r="T36" s="667" t="s">
        <v>14</v>
      </c>
      <c r="U36" s="668">
        <f t="shared" si="11"/>
        <v>100</v>
      </c>
      <c r="V36" s="667" t="s">
        <v>14</v>
      </c>
      <c r="W36" s="668">
        <f t="shared" si="12"/>
        <v>100</v>
      </c>
      <c r="X36" s="1265"/>
      <c r="Y36" s="336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62"/>
      <c r="Q37" s="1263">
        <f t="shared" si="8"/>
        <v>111</v>
      </c>
      <c r="R37" s="669" t="s">
        <v>14</v>
      </c>
      <c r="S37" s="670">
        <f t="shared" si="10"/>
        <v>100</v>
      </c>
      <c r="T37" s="669" t="s">
        <v>14</v>
      </c>
      <c r="U37" s="670">
        <f t="shared" si="11"/>
        <v>100</v>
      </c>
      <c r="V37" s="669" t="s">
        <v>14</v>
      </c>
      <c r="W37" s="670">
        <f t="shared" si="12"/>
        <v>100</v>
      </c>
      <c r="X37" s="671"/>
      <c r="Y37" s="336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62"/>
      <c r="Q38" s="1263" t="str">
        <f>B38</f>
        <v>宗地面积</v>
      </c>
      <c r="R38" s="667" t="s">
        <v>14</v>
      </c>
      <c r="S38" s="668" t="e">
        <f t="shared" si="10"/>
        <v>#N/A</v>
      </c>
      <c r="T38" s="667" t="s">
        <v>14</v>
      </c>
      <c r="U38" s="668" t="e">
        <f t="shared" si="11"/>
        <v>#N/A</v>
      </c>
      <c r="V38" s="667" t="s">
        <v>14</v>
      </c>
      <c r="W38" s="668" t="e">
        <f t="shared" si="12"/>
        <v>#N/A</v>
      </c>
      <c r="X38" s="1265"/>
      <c r="Y38" s="336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362"/>
      <c r="Q39" s="1263" t="str">
        <f t="shared" ref="Q39:Q45" si="14">B39</f>
        <v>宗地形状</v>
      </c>
      <c r="R39" s="667" t="s">
        <v>14</v>
      </c>
      <c r="S39" s="668">
        <f t="shared" si="10"/>
        <v>100</v>
      </c>
      <c r="T39" s="667" t="s">
        <v>14</v>
      </c>
      <c r="U39" s="668">
        <f t="shared" si="11"/>
        <v>100</v>
      </c>
      <c r="V39" s="667" t="s">
        <v>14</v>
      </c>
      <c r="W39" s="668">
        <f t="shared" si="12"/>
        <v>100</v>
      </c>
      <c r="X39" s="1265"/>
      <c r="Y39" s="336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362"/>
      <c r="Q40" s="1263" t="str">
        <f t="shared" si="14"/>
        <v>临街宽度及深度</v>
      </c>
      <c r="R40" s="667" t="s">
        <v>14</v>
      </c>
      <c r="S40" s="668">
        <f t="shared" si="10"/>
        <v>100</v>
      </c>
      <c r="T40" s="667" t="s">
        <v>14</v>
      </c>
      <c r="U40" s="668">
        <f t="shared" si="11"/>
        <v>100</v>
      </c>
      <c r="V40" s="667" t="s">
        <v>14</v>
      </c>
      <c r="W40" s="668">
        <f t="shared" si="12"/>
        <v>100</v>
      </c>
      <c r="X40" s="1265"/>
      <c r="Y40" s="336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39"/>
      <c r="N41" s="2439"/>
      <c r="O41" s="2540"/>
      <c r="P41" s="3362"/>
      <c r="Q41" s="1263" t="str">
        <f t="shared" si="14"/>
        <v>宗地开发程度</v>
      </c>
      <c r="R41" s="664" t="s">
        <v>14</v>
      </c>
      <c r="S41" s="665">
        <f t="shared" si="10"/>
        <v>100</v>
      </c>
      <c r="T41" s="664" t="s">
        <v>14</v>
      </c>
      <c r="U41" s="665">
        <f t="shared" si="11"/>
        <v>100</v>
      </c>
      <c r="V41" s="664" t="s">
        <v>14</v>
      </c>
      <c r="W41" s="665">
        <f t="shared" si="12"/>
        <v>100</v>
      </c>
      <c r="X41" s="666"/>
      <c r="Y41" s="336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362" t="s">
        <v>1696</v>
      </c>
      <c r="Q42" s="1263" t="str">
        <f t="shared" si="14"/>
        <v>工程地质条件</v>
      </c>
      <c r="R42" s="667" t="s">
        <v>14</v>
      </c>
      <c r="S42" s="668">
        <f t="shared" si="10"/>
        <v>100</v>
      </c>
      <c r="T42" s="667" t="s">
        <v>14</v>
      </c>
      <c r="U42" s="668">
        <f t="shared" si="11"/>
        <v>100</v>
      </c>
      <c r="V42" s="667" t="s">
        <v>14</v>
      </c>
      <c r="W42" s="668">
        <f t="shared" si="12"/>
        <v>100</v>
      </c>
      <c r="X42" s="1265"/>
      <c r="Y42" s="336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62"/>
      <c r="Q43" s="1263">
        <f t="shared" si="14"/>
        <v>111</v>
      </c>
      <c r="R43" s="667" t="s">
        <v>14</v>
      </c>
      <c r="S43" s="668">
        <f t="shared" si="10"/>
        <v>100</v>
      </c>
      <c r="T43" s="667" t="s">
        <v>14</v>
      </c>
      <c r="U43" s="668">
        <f t="shared" si="11"/>
        <v>100</v>
      </c>
      <c r="V43" s="667" t="s">
        <v>14</v>
      </c>
      <c r="W43" s="668">
        <f t="shared" si="12"/>
        <v>100</v>
      </c>
      <c r="X43" s="1265"/>
      <c r="Y43" s="336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62"/>
      <c r="Q44" s="1263">
        <f t="shared" si="14"/>
        <v>111</v>
      </c>
      <c r="R44" s="667" t="s">
        <v>14</v>
      </c>
      <c r="S44" s="668">
        <f t="shared" si="10"/>
        <v>100</v>
      </c>
      <c r="T44" s="667" t="s">
        <v>14</v>
      </c>
      <c r="U44" s="668">
        <f t="shared" si="11"/>
        <v>100</v>
      </c>
      <c r="V44" s="667" t="s">
        <v>14</v>
      </c>
      <c r="W44" s="668">
        <f t="shared" si="12"/>
        <v>100</v>
      </c>
      <c r="X44" s="1265"/>
      <c r="Y44" s="336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62"/>
      <c r="Q45" s="1263">
        <f t="shared" si="14"/>
        <v>111</v>
      </c>
      <c r="R45" s="669" t="s">
        <v>14</v>
      </c>
      <c r="S45" s="670">
        <f t="shared" si="10"/>
        <v>100</v>
      </c>
      <c r="T45" s="669" t="s">
        <v>14</v>
      </c>
      <c r="U45" s="670">
        <f t="shared" si="11"/>
        <v>100</v>
      </c>
      <c r="V45" s="669" t="s">
        <v>14</v>
      </c>
      <c r="W45" s="670">
        <f t="shared" si="12"/>
        <v>100</v>
      </c>
      <c r="X45" s="671"/>
      <c r="Y45" s="336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4"/>
      <c r="M46" s="2487"/>
      <c r="N46" s="2487"/>
      <c r="O46" s="2487"/>
      <c r="P46" s="3355" t="str">
        <f>A46</f>
        <v>成交单价</v>
      </c>
      <c r="Q46" s="3355"/>
      <c r="R46" s="3356">
        <f>E46</f>
        <v>0</v>
      </c>
      <c r="S46" s="3356"/>
      <c r="T46" s="3356">
        <f>G46</f>
        <v>0</v>
      </c>
      <c r="U46" s="3356"/>
      <c r="V46" s="3356">
        <f>I46</f>
        <v>0</v>
      </c>
      <c r="W46" s="335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355" t="str">
        <f>A47</f>
        <v>比较价值（元/平方米）</v>
      </c>
      <c r="Q47" s="3355"/>
      <c r="R47" s="3442" t="e">
        <f>ROUND(PRODUCT(R46,AA7:AA45),0)</f>
        <v>#DIV/0!</v>
      </c>
      <c r="S47" s="3442"/>
      <c r="T47" s="3442" t="e">
        <f>ROUND(PRODUCT(T46,AB7:AB45),0)</f>
        <v>#DIV/0!</v>
      </c>
      <c r="U47" s="3442"/>
      <c r="V47" s="3442" t="e">
        <f>ROUND(PRODUCT(V46,AC7:AC45),0)</f>
        <v>#DIV/0!</v>
      </c>
      <c r="W47" s="3442"/>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52" t="str">
        <f>A48</f>
        <v>估价对象XX用房的比较价值（楼面单价，元/平方米）</v>
      </c>
      <c r="Q48" s="3353"/>
      <c r="R48" s="3443" t="e">
        <f>ROUND(IF(D47="简单平均",AVERAGE(R47:W47),R47*F47+T47*H47+V47*J47),0)</f>
        <v>#DIV/0!</v>
      </c>
      <c r="S48" s="3443"/>
      <c r="T48" s="3443"/>
      <c r="U48" s="3443"/>
      <c r="V48" s="3443"/>
      <c r="W48" s="3443"/>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370" t="s">
        <v>1887</v>
      </c>
      <c r="H55" s="3444"/>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91.09</v>
      </c>
      <c r="F56" s="833" t="e">
        <f t="shared" ref="F56:F64" si="15">ROUND(B56*E56/10000,0)</f>
        <v>#DIV/0!</v>
      </c>
      <c r="G56" s="3366"/>
      <c r="H56" s="3355"/>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91.09</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2008-12-1</v>
      </c>
      <c r="D67" s="656">
        <f>EDATE(C67,-3)</f>
        <v>39692</v>
      </c>
      <c r="E67" s="656">
        <f>EDATE(D67,-3)</f>
        <v>39600</v>
      </c>
      <c r="F67" s="656">
        <f t="shared" ref="F67:O67" si="18">EDATE(E67,-3)</f>
        <v>39508</v>
      </c>
      <c r="G67" s="656">
        <f t="shared" si="18"/>
        <v>39417</v>
      </c>
      <c r="H67" s="656">
        <f t="shared" si="18"/>
        <v>39326</v>
      </c>
      <c r="I67" s="656">
        <f t="shared" si="18"/>
        <v>39234</v>
      </c>
      <c r="J67" s="656">
        <f t="shared" si="18"/>
        <v>39142</v>
      </c>
      <c r="K67" s="656">
        <f t="shared" si="18"/>
        <v>39052</v>
      </c>
      <c r="L67" s="656">
        <f t="shared" si="18"/>
        <v>38961</v>
      </c>
      <c r="M67" s="656">
        <f t="shared" si="18"/>
        <v>38869</v>
      </c>
      <c r="N67" s="656">
        <f t="shared" si="18"/>
        <v>38777</v>
      </c>
      <c r="O67" s="656">
        <f t="shared" si="18"/>
        <v>38687</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2008-4</v>
      </c>
      <c r="D69" s="1101" t="str">
        <f>YEAR(D67)&amp;"-"&amp;ROUNDUP(MONTH(D67)/3,0)</f>
        <v>2008-3</v>
      </c>
      <c r="E69" s="1101" t="str">
        <f t="shared" ref="E69:O69" si="19">YEAR(E67)&amp;"-"&amp;ROUNDUP(MONTH(E67)/3,0)</f>
        <v>2008-2</v>
      </c>
      <c r="F69" s="1101" t="str">
        <f t="shared" si="19"/>
        <v>2008-1</v>
      </c>
      <c r="G69" s="1101" t="str">
        <f t="shared" si="19"/>
        <v>2007-4</v>
      </c>
      <c r="H69" s="1101" t="str">
        <f t="shared" si="19"/>
        <v>2007-3</v>
      </c>
      <c r="I69" s="1101" t="str">
        <f t="shared" si="19"/>
        <v>2007-2</v>
      </c>
      <c r="J69" s="1101" t="str">
        <f t="shared" si="19"/>
        <v>2007-1</v>
      </c>
      <c r="K69" s="1101" t="str">
        <f t="shared" si="19"/>
        <v>2006-4</v>
      </c>
      <c r="L69" s="1101" t="str">
        <f t="shared" si="19"/>
        <v>2006-3</v>
      </c>
      <c r="M69" s="1101" t="str">
        <f t="shared" si="19"/>
        <v>2006-2</v>
      </c>
      <c r="N69" s="1101" t="str">
        <f t="shared" si="19"/>
        <v>2006-1</v>
      </c>
      <c r="O69" s="1101" t="str">
        <f t="shared" si="19"/>
        <v>2005-4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1" xr:uid="{00000000-0002-0000-2100-000013000000}">
      <formula1>"商业,办公,住宅,工业"</formula1>
    </dataValidation>
    <dataValidation type="list" allowBlank="1" showInputMessage="1" showErrorMessage="1" sqref="G62" xr:uid="{00000000-0002-0000-2100-000014000000}">
      <formula1>"住宅,工业"</formula1>
    </dataValidation>
    <dataValidation type="list" allowBlank="1" showInputMessage="1" showErrorMessage="1" sqref="C30 E30 G30 I30" xr:uid="{00000000-0002-0000-2100-000015000000}">
      <formula1>基础设施水平</formula1>
    </dataValidation>
    <dataValidation type="list" allowBlank="1" showInputMessage="1" showErrorMessage="1" sqref="A70" xr:uid="{00000000-0002-0000-2100-000016000000}">
      <formula1>"综合,商业,办公,住宅"</formula1>
    </dataValidation>
    <dataValidation type="list" allowBlank="1" showInputMessage="1" showErrorMessage="1" sqref="D47" xr:uid="{00000000-0002-0000-2100-000017000000}">
      <formula1>"简单平均,加权平均"</formula1>
    </dataValidation>
    <dataValidation type="list" allowBlank="1" showInputMessage="1" showErrorMessage="1" sqref="D57:D64" xr:uid="{00000000-0002-0000-21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70" t="s">
        <v>1770</v>
      </c>
      <c r="D4" s="3371"/>
      <c r="E4" s="3372" t="s">
        <v>1771</v>
      </c>
      <c r="F4" s="3373"/>
      <c r="G4" s="3370" t="s">
        <v>1772</v>
      </c>
      <c r="H4" s="3371"/>
      <c r="I4" s="3370" t="s">
        <v>1773</v>
      </c>
      <c r="J4" s="3371"/>
      <c r="K4" s="537" t="s">
        <v>1774</v>
      </c>
      <c r="L4" s="2486"/>
      <c r="M4" s="2487"/>
      <c r="N4" s="2487"/>
      <c r="O4" s="2487"/>
      <c r="P4" s="3374" t="s">
        <v>1775</v>
      </c>
      <c r="Q4" s="3375"/>
      <c r="R4" s="3380" t="s">
        <v>1771</v>
      </c>
      <c r="S4" s="3381"/>
      <c r="T4" s="3380" t="s">
        <v>1772</v>
      </c>
      <c r="U4" s="3381"/>
      <c r="V4" s="3356" t="s">
        <v>1773</v>
      </c>
      <c r="W4" s="3356"/>
      <c r="X4" s="1265"/>
      <c r="Y4" s="3380" t="s">
        <v>1775</v>
      </c>
      <c r="Z4" s="3381"/>
      <c r="AA4" s="3367" t="s">
        <v>1771</v>
      </c>
      <c r="AB4" s="3368" t="s">
        <v>1772</v>
      </c>
      <c r="AC4" s="3367" t="s">
        <v>1773</v>
      </c>
    </row>
    <row r="5" spans="1:29" ht="15">
      <c r="A5" s="348"/>
      <c r="B5" s="349"/>
      <c r="C5" s="3423" t="s">
        <v>1673</v>
      </c>
      <c r="D5" s="3394"/>
      <c r="E5" s="3424" t="s">
        <v>1674</v>
      </c>
      <c r="F5" s="3389"/>
      <c r="G5" s="3423" t="s">
        <v>1675</v>
      </c>
      <c r="H5" s="3394"/>
      <c r="I5" s="3423" t="s">
        <v>1676</v>
      </c>
      <c r="J5" s="3394"/>
      <c r="K5" s="537"/>
      <c r="L5" s="2486"/>
      <c r="M5" s="2487"/>
      <c r="N5" s="2487"/>
      <c r="O5" s="2487"/>
      <c r="P5" s="3376"/>
      <c r="Q5" s="3377"/>
      <c r="R5" s="3382"/>
      <c r="S5" s="3383"/>
      <c r="T5" s="3382"/>
      <c r="U5" s="3383"/>
      <c r="V5" s="3356"/>
      <c r="W5" s="3356"/>
      <c r="X5" s="1265"/>
      <c r="Y5" s="3382"/>
      <c r="Z5" s="3383"/>
      <c r="AA5" s="3368"/>
      <c r="AB5" s="3368"/>
      <c r="AC5" s="3368"/>
    </row>
    <row r="6" spans="1:29" ht="15.75" thickBot="1">
      <c r="A6" s="350"/>
      <c r="B6" s="351"/>
      <c r="C6" s="3445" t="s">
        <v>1919</v>
      </c>
      <c r="D6" s="3446"/>
      <c r="E6" s="3447" t="s">
        <v>1919</v>
      </c>
      <c r="F6" s="3448"/>
      <c r="G6" s="3445" t="s">
        <v>1919</v>
      </c>
      <c r="H6" s="3446"/>
      <c r="I6" s="3445" t="s">
        <v>1919</v>
      </c>
      <c r="J6" s="3446"/>
      <c r="K6" s="537" t="s">
        <v>1678</v>
      </c>
      <c r="L6" s="2486"/>
      <c r="M6" s="2487"/>
      <c r="N6" s="2487"/>
      <c r="O6" s="2487"/>
      <c r="P6" s="3378"/>
      <c r="Q6" s="3379"/>
      <c r="R6" s="3382"/>
      <c r="S6" s="3383"/>
      <c r="T6" s="3384"/>
      <c r="U6" s="3385"/>
      <c r="V6" s="3356"/>
      <c r="W6" s="3356"/>
      <c r="X6" s="1265"/>
      <c r="Y6" s="3384"/>
      <c r="Z6" s="3385"/>
      <c r="AA6" s="3369"/>
      <c r="AB6" s="3369"/>
      <c r="AC6" s="3369"/>
    </row>
    <row r="7" spans="1:29" s="102" customFormat="1" ht="15.75" thickBot="1">
      <c r="A7" s="352" t="s">
        <v>1679</v>
      </c>
      <c r="B7" s="353"/>
      <c r="C7" s="354">
        <f>'数据-取费表'!B2</f>
        <v>39801</v>
      </c>
      <c r="D7" s="355">
        <v>100</v>
      </c>
      <c r="E7" s="356"/>
      <c r="F7" s="357">
        <f>SUMIF(65:65,YEAR(E7)&amp;"-"&amp;INT((MONTH(E7)+2)/3),66:66)</f>
        <v>0</v>
      </c>
      <c r="G7" s="1822"/>
      <c r="H7" s="355">
        <f>SUMIF(65:65,YEAR(G7)&amp;"-"&amp;INT((MONTH(G7)+2)/3),66:66)</f>
        <v>0</v>
      </c>
      <c r="I7" s="1822"/>
      <c r="J7" s="355">
        <f>SUMIF(65:65,YEAR(I7)&amp;"-"&amp;INT((MONTH(I7)+2)/3),66:66)</f>
        <v>0</v>
      </c>
      <c r="K7" s="38"/>
      <c r="L7" s="2488"/>
      <c r="M7" s="2439"/>
      <c r="N7" s="2439"/>
      <c r="O7" s="2439"/>
      <c r="P7" s="3390" t="s">
        <v>1680</v>
      </c>
      <c r="Q7" s="3392"/>
      <c r="R7" s="664" t="s">
        <v>14</v>
      </c>
      <c r="S7" s="665">
        <f t="shared" ref="S7:S15" si="0">F7</f>
        <v>0</v>
      </c>
      <c r="T7" s="664" t="s">
        <v>14</v>
      </c>
      <c r="U7" s="665">
        <f t="shared" ref="U7:U15" si="1">H7</f>
        <v>0</v>
      </c>
      <c r="V7" s="664" t="s">
        <v>14</v>
      </c>
      <c r="W7" s="665">
        <f t="shared" ref="W7:W15" si="2">J7</f>
        <v>0</v>
      </c>
      <c r="X7" s="666"/>
      <c r="Y7" s="3390" t="s">
        <v>1680</v>
      </c>
      <c r="Z7" s="339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90" t="s">
        <v>1683</v>
      </c>
      <c r="Q8" s="3391"/>
      <c r="R8" s="664" t="s">
        <v>14</v>
      </c>
      <c r="S8" s="665">
        <f t="shared" si="0"/>
        <v>0</v>
      </c>
      <c r="T8" s="664" t="s">
        <v>14</v>
      </c>
      <c r="U8" s="665">
        <f t="shared" si="1"/>
        <v>0</v>
      </c>
      <c r="V8" s="664" t="s">
        <v>14</v>
      </c>
      <c r="W8" s="665">
        <f t="shared" si="2"/>
        <v>0</v>
      </c>
      <c r="X8" s="666"/>
      <c r="Y8" s="3390" t="s">
        <v>1683</v>
      </c>
      <c r="Z8" s="339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39"/>
      <c r="N9" s="2439"/>
      <c r="O9" s="2540"/>
      <c r="P9" s="3355" t="s">
        <v>1686</v>
      </c>
      <c r="Q9" s="530" t="str">
        <f t="shared" ref="Q9:Q15" si="6">B9</f>
        <v>用途</v>
      </c>
      <c r="R9" s="664" t="s">
        <v>14</v>
      </c>
      <c r="S9" s="665">
        <f t="shared" si="0"/>
        <v>100</v>
      </c>
      <c r="T9" s="664" t="s">
        <v>14</v>
      </c>
      <c r="U9" s="665">
        <f t="shared" si="1"/>
        <v>100</v>
      </c>
      <c r="V9" s="664" t="s">
        <v>14</v>
      </c>
      <c r="W9" s="665">
        <f t="shared" si="2"/>
        <v>100</v>
      </c>
      <c r="X9" s="666"/>
      <c r="Y9" s="3256"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9"/>
      <c r="M10" s="2490"/>
      <c r="N10" s="2490"/>
      <c r="O10" s="2541"/>
      <c r="P10" s="3355"/>
      <c r="Q10" s="530" t="str">
        <f t="shared" si="6"/>
        <v>土地使用年限（年）</v>
      </c>
      <c r="R10" s="664" t="s">
        <v>14</v>
      </c>
      <c r="S10" s="665" t="e">
        <f t="shared" si="0"/>
        <v>#DIV/0!</v>
      </c>
      <c r="T10" s="664" t="s">
        <v>14</v>
      </c>
      <c r="U10" s="665" t="e">
        <f t="shared" si="1"/>
        <v>#DIV/0!</v>
      </c>
      <c r="V10" s="664" t="s">
        <v>14</v>
      </c>
      <c r="W10" s="665" t="e">
        <f t="shared" si="2"/>
        <v>#DIV/0!</v>
      </c>
      <c r="X10" s="666"/>
      <c r="Y10" s="325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55"/>
      <c r="Q11" s="530" t="str">
        <f t="shared" si="6"/>
        <v>容积率</v>
      </c>
      <c r="R11" s="664" t="s">
        <v>14</v>
      </c>
      <c r="S11" s="665" t="e">
        <f t="shared" si="0"/>
        <v>#N/A</v>
      </c>
      <c r="T11" s="664" t="s">
        <v>14</v>
      </c>
      <c r="U11" s="665" t="e">
        <f t="shared" si="1"/>
        <v>#N/A</v>
      </c>
      <c r="V11" s="664" t="s">
        <v>14</v>
      </c>
      <c r="W11" s="665" t="e">
        <f t="shared" si="2"/>
        <v>#N/A</v>
      </c>
      <c r="X11" s="666"/>
      <c r="Y11" s="325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55"/>
      <c r="Q12" s="530">
        <f t="shared" si="6"/>
        <v>111</v>
      </c>
      <c r="R12" s="664" t="s">
        <v>14</v>
      </c>
      <c r="S12" s="665">
        <f t="shared" si="0"/>
        <v>100</v>
      </c>
      <c r="T12" s="664" t="s">
        <v>14</v>
      </c>
      <c r="U12" s="665">
        <f t="shared" si="1"/>
        <v>100</v>
      </c>
      <c r="V12" s="664" t="s">
        <v>14</v>
      </c>
      <c r="W12" s="665">
        <f t="shared" si="2"/>
        <v>100</v>
      </c>
      <c r="X12" s="666"/>
      <c r="Y12" s="325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55"/>
      <c r="Q13" s="530">
        <f t="shared" si="6"/>
        <v>111</v>
      </c>
      <c r="R13" s="664" t="s">
        <v>14</v>
      </c>
      <c r="S13" s="665">
        <f t="shared" si="0"/>
        <v>100</v>
      </c>
      <c r="T13" s="664" t="s">
        <v>14</v>
      </c>
      <c r="U13" s="665">
        <f t="shared" si="1"/>
        <v>100</v>
      </c>
      <c r="V13" s="664" t="s">
        <v>14</v>
      </c>
      <c r="W13" s="665">
        <f t="shared" si="2"/>
        <v>100</v>
      </c>
      <c r="X13" s="666"/>
      <c r="Y13" s="3256"/>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55"/>
      <c r="Q14" s="530">
        <f t="shared" si="6"/>
        <v>111</v>
      </c>
      <c r="R14" s="664" t="s">
        <v>14</v>
      </c>
      <c r="S14" s="665">
        <f t="shared" si="0"/>
        <v>100</v>
      </c>
      <c r="T14" s="664" t="s">
        <v>14</v>
      </c>
      <c r="U14" s="665">
        <f t="shared" si="1"/>
        <v>100</v>
      </c>
      <c r="V14" s="664" t="s">
        <v>14</v>
      </c>
      <c r="W14" s="665">
        <f t="shared" si="2"/>
        <v>100</v>
      </c>
      <c r="X14" s="666"/>
      <c r="Y14" s="3256"/>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57" t="s">
        <v>1691</v>
      </c>
      <c r="Q15" s="1263" t="str">
        <f t="shared" si="6"/>
        <v>产业集聚程度</v>
      </c>
      <c r="R15" s="667" t="s">
        <v>14</v>
      </c>
      <c r="S15" s="668">
        <f t="shared" si="0"/>
        <v>100</v>
      </c>
      <c r="T15" s="667" t="s">
        <v>14</v>
      </c>
      <c r="U15" s="668">
        <f t="shared" si="1"/>
        <v>100</v>
      </c>
      <c r="V15" s="667" t="s">
        <v>14</v>
      </c>
      <c r="W15" s="668">
        <f t="shared" si="2"/>
        <v>100</v>
      </c>
      <c r="X15" s="1265"/>
      <c r="Y15" s="335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2"/>
      <c r="M16" s="2487"/>
      <c r="N16" s="2487"/>
      <c r="O16" s="2542"/>
      <c r="P16" s="3358"/>
      <c r="Q16" s="1263"/>
      <c r="R16" s="667"/>
      <c r="S16" s="668"/>
      <c r="T16" s="667"/>
      <c r="U16" s="668"/>
      <c r="V16" s="667"/>
      <c r="W16" s="668"/>
      <c r="X16" s="1265"/>
      <c r="Y16" s="335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58"/>
      <c r="Q17" s="1263" t="str">
        <f>B17</f>
        <v>交通便捷度</v>
      </c>
      <c r="R17" s="667" t="s">
        <v>14</v>
      </c>
      <c r="S17" s="668">
        <f>F17</f>
        <v>100</v>
      </c>
      <c r="T17" s="667" t="s">
        <v>14</v>
      </c>
      <c r="U17" s="668">
        <f>H17</f>
        <v>100</v>
      </c>
      <c r="V17" s="667" t="s">
        <v>14</v>
      </c>
      <c r="W17" s="668">
        <f>J17</f>
        <v>100</v>
      </c>
      <c r="X17" s="1265"/>
      <c r="Y17" s="335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2"/>
      <c r="M18" s="2487"/>
      <c r="N18" s="2487"/>
      <c r="O18" s="2542"/>
      <c r="P18" s="3358"/>
      <c r="Q18" s="1263"/>
      <c r="R18" s="667"/>
      <c r="S18" s="668"/>
      <c r="T18" s="667"/>
      <c r="U18" s="668"/>
      <c r="V18" s="667"/>
      <c r="W18" s="668"/>
      <c r="X18" s="1265"/>
      <c r="Y18" s="335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58"/>
      <c r="Q19" s="1263" t="str">
        <f t="shared" ref="Q19:Q33" si="8">B19</f>
        <v>区域土地利用方向</v>
      </c>
      <c r="R19" s="667" t="s">
        <v>14</v>
      </c>
      <c r="S19" s="668">
        <f>F19</f>
        <v>100</v>
      </c>
      <c r="T19" s="667" t="s">
        <v>14</v>
      </c>
      <c r="U19" s="668">
        <f>H19</f>
        <v>100</v>
      </c>
      <c r="V19" s="667" t="s">
        <v>14</v>
      </c>
      <c r="W19" s="668">
        <f>J19</f>
        <v>100</v>
      </c>
      <c r="X19" s="1265"/>
      <c r="Y19" s="335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2"/>
      <c r="M20" s="2487"/>
      <c r="N20" s="2487"/>
      <c r="O20" s="2542"/>
      <c r="P20" s="3358"/>
      <c r="Q20" s="1263"/>
      <c r="R20" s="667"/>
      <c r="S20" s="668"/>
      <c r="T20" s="667"/>
      <c r="U20" s="668"/>
      <c r="V20" s="667"/>
      <c r="W20" s="668"/>
      <c r="X20" s="1265"/>
      <c r="Y20" s="335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58"/>
      <c r="Q21" s="1263" t="str">
        <f t="shared" si="8"/>
        <v>环境状况</v>
      </c>
      <c r="R21" s="667" t="s">
        <v>14</v>
      </c>
      <c r="S21" s="668">
        <f>F21</f>
        <v>100</v>
      </c>
      <c r="T21" s="667" t="s">
        <v>14</v>
      </c>
      <c r="U21" s="668">
        <f>H21</f>
        <v>100</v>
      </c>
      <c r="V21" s="667" t="s">
        <v>14</v>
      </c>
      <c r="W21" s="668">
        <f>J21</f>
        <v>100</v>
      </c>
      <c r="X21" s="1265"/>
      <c r="Y21" s="335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2"/>
      <c r="M22" s="2487"/>
      <c r="N22" s="2487"/>
      <c r="O22" s="2542"/>
      <c r="P22" s="3358"/>
      <c r="Q22" s="1263"/>
      <c r="R22" s="667"/>
      <c r="S22" s="668"/>
      <c r="T22" s="667"/>
      <c r="U22" s="668"/>
      <c r="V22" s="667"/>
      <c r="W22" s="668"/>
      <c r="X22" s="1265"/>
      <c r="Y22" s="335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58"/>
      <c r="Q23" s="530" t="str">
        <f t="shared" si="8"/>
        <v>公共配套设施</v>
      </c>
      <c r="R23" s="664" t="s">
        <v>14</v>
      </c>
      <c r="S23" s="665">
        <f>F23</f>
        <v>100</v>
      </c>
      <c r="T23" s="664" t="s">
        <v>14</v>
      </c>
      <c r="U23" s="665">
        <f>H23</f>
        <v>100</v>
      </c>
      <c r="V23" s="664" t="s">
        <v>14</v>
      </c>
      <c r="W23" s="665">
        <f>J23</f>
        <v>100</v>
      </c>
      <c r="X23" s="666"/>
      <c r="Y23" s="335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8"/>
      <c r="M24" s="2439"/>
      <c r="N24" s="2439"/>
      <c r="O24" s="2540"/>
      <c r="P24" s="3358"/>
      <c r="Q24" s="530"/>
      <c r="R24" s="664"/>
      <c r="S24" s="665"/>
      <c r="T24" s="664"/>
      <c r="U24" s="665"/>
      <c r="V24" s="664"/>
      <c r="W24" s="665"/>
      <c r="X24" s="666"/>
      <c r="Y24" s="335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58"/>
      <c r="Q25" s="530" t="str">
        <f t="shared" ref="Q25" si="9">B25</f>
        <v>基础设施水平</v>
      </c>
      <c r="R25" s="664" t="s">
        <v>14</v>
      </c>
      <c r="S25" s="665">
        <f>F25</f>
        <v>100</v>
      </c>
      <c r="T25" s="664" t="s">
        <v>14</v>
      </c>
      <c r="U25" s="665">
        <f>H25</f>
        <v>100</v>
      </c>
      <c r="V25" s="664" t="s">
        <v>14</v>
      </c>
      <c r="W25" s="665">
        <f>J25</f>
        <v>100</v>
      </c>
      <c r="X25" s="666"/>
      <c r="Y25" s="335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8"/>
      <c r="M26" s="2439"/>
      <c r="N26" s="2439"/>
      <c r="O26" s="2540"/>
      <c r="P26" s="3358"/>
      <c r="Q26" s="530"/>
      <c r="R26" s="664"/>
      <c r="S26" s="665"/>
      <c r="T26" s="664"/>
      <c r="U26" s="665"/>
      <c r="V26" s="664"/>
      <c r="W26" s="665"/>
      <c r="X26" s="666"/>
      <c r="Y26" s="335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5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5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58"/>
      <c r="Q28" s="1263" t="str">
        <f t="shared" si="8"/>
        <v>毗邻道路的类型与等级</v>
      </c>
      <c r="R28" s="667" t="s">
        <v>14</v>
      </c>
      <c r="S28" s="668">
        <f t="shared" si="10"/>
        <v>100</v>
      </c>
      <c r="T28" s="667" t="s">
        <v>14</v>
      </c>
      <c r="U28" s="668">
        <f t="shared" si="11"/>
        <v>100</v>
      </c>
      <c r="V28" s="667" t="s">
        <v>14</v>
      </c>
      <c r="W28" s="668">
        <f t="shared" si="12"/>
        <v>100</v>
      </c>
      <c r="X28" s="1265"/>
      <c r="Y28" s="335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2"/>
      <c r="M29" s="2487"/>
      <c r="N29" s="2487"/>
      <c r="O29" s="2542"/>
      <c r="P29" s="3358"/>
      <c r="Q29" s="1263"/>
      <c r="R29" s="667"/>
      <c r="S29" s="668"/>
      <c r="T29" s="667"/>
      <c r="U29" s="668"/>
      <c r="V29" s="667"/>
      <c r="W29" s="668"/>
      <c r="X29" s="1265"/>
      <c r="Y29" s="335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58"/>
      <c r="Q30" s="1263" t="str">
        <f t="shared" si="8"/>
        <v>土地级别</v>
      </c>
      <c r="R30" s="667" t="s">
        <v>14</v>
      </c>
      <c r="S30" s="668">
        <f t="shared" si="10"/>
        <v>100</v>
      </c>
      <c r="T30" s="667" t="s">
        <v>14</v>
      </c>
      <c r="U30" s="668">
        <f t="shared" si="11"/>
        <v>100</v>
      </c>
      <c r="V30" s="667" t="s">
        <v>14</v>
      </c>
      <c r="W30" s="668">
        <f t="shared" si="12"/>
        <v>100</v>
      </c>
      <c r="X30" s="1265"/>
      <c r="Y30" s="335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58"/>
      <c r="Q31" s="1263">
        <f t="shared" si="8"/>
        <v>111</v>
      </c>
      <c r="R31" s="667" t="s">
        <v>14</v>
      </c>
      <c r="S31" s="668">
        <f t="shared" si="10"/>
        <v>100</v>
      </c>
      <c r="T31" s="667" t="s">
        <v>14</v>
      </c>
      <c r="U31" s="668">
        <f t="shared" si="11"/>
        <v>100</v>
      </c>
      <c r="V31" s="667" t="s">
        <v>14</v>
      </c>
      <c r="W31" s="668">
        <f t="shared" si="12"/>
        <v>100</v>
      </c>
      <c r="X31" s="1265"/>
      <c r="Y31" s="335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40" t="s">
        <v>1696</v>
      </c>
      <c r="Q32" s="1263">
        <f t="shared" si="8"/>
        <v>111</v>
      </c>
      <c r="R32" s="667" t="s">
        <v>14</v>
      </c>
      <c r="S32" s="668">
        <f t="shared" si="10"/>
        <v>100</v>
      </c>
      <c r="T32" s="667" t="s">
        <v>14</v>
      </c>
      <c r="U32" s="668">
        <f t="shared" si="11"/>
        <v>100</v>
      </c>
      <c r="V32" s="667" t="s">
        <v>14</v>
      </c>
      <c r="W32" s="668">
        <f t="shared" si="12"/>
        <v>100</v>
      </c>
      <c r="X32" s="1265"/>
      <c r="Y32" s="336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62"/>
      <c r="Q33" s="1263">
        <f t="shared" si="8"/>
        <v>111</v>
      </c>
      <c r="R33" s="669" t="s">
        <v>14</v>
      </c>
      <c r="S33" s="670">
        <f t="shared" si="10"/>
        <v>100</v>
      </c>
      <c r="T33" s="669" t="s">
        <v>14</v>
      </c>
      <c r="U33" s="670">
        <f t="shared" si="11"/>
        <v>100</v>
      </c>
      <c r="V33" s="669" t="s">
        <v>14</v>
      </c>
      <c r="W33" s="670">
        <f t="shared" si="12"/>
        <v>100</v>
      </c>
      <c r="X33" s="671"/>
      <c r="Y33" s="336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62"/>
      <c r="Q34" s="1263" t="str">
        <f>B34</f>
        <v>宗地面积</v>
      </c>
      <c r="R34" s="667" t="s">
        <v>14</v>
      </c>
      <c r="S34" s="668" t="e">
        <f t="shared" si="10"/>
        <v>#N/A</v>
      </c>
      <c r="T34" s="667" t="s">
        <v>14</v>
      </c>
      <c r="U34" s="668" t="e">
        <f t="shared" si="11"/>
        <v>#N/A</v>
      </c>
      <c r="V34" s="667" t="s">
        <v>14</v>
      </c>
      <c r="W34" s="668" t="e">
        <f t="shared" si="12"/>
        <v>#N/A</v>
      </c>
      <c r="X34" s="1265"/>
      <c r="Y34" s="336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362"/>
      <c r="Q35" s="1263" t="str">
        <f t="shared" ref="Q35:Q40" si="14">B35</f>
        <v>宗地形状</v>
      </c>
      <c r="R35" s="667" t="s">
        <v>14</v>
      </c>
      <c r="S35" s="668">
        <f t="shared" si="10"/>
        <v>100</v>
      </c>
      <c r="T35" s="667" t="s">
        <v>14</v>
      </c>
      <c r="U35" s="668">
        <f t="shared" si="11"/>
        <v>100</v>
      </c>
      <c r="V35" s="667" t="s">
        <v>14</v>
      </c>
      <c r="W35" s="668">
        <f t="shared" si="12"/>
        <v>100</v>
      </c>
      <c r="X35" s="1265"/>
      <c r="Y35" s="336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39"/>
      <c r="N36" s="2439"/>
      <c r="O36" s="2540"/>
      <c r="P36" s="3362"/>
      <c r="Q36" s="1263" t="str">
        <f t="shared" si="14"/>
        <v>宗地开发程度</v>
      </c>
      <c r="R36" s="664" t="s">
        <v>14</v>
      </c>
      <c r="S36" s="665">
        <f t="shared" si="10"/>
        <v>100</v>
      </c>
      <c r="T36" s="664" t="s">
        <v>14</v>
      </c>
      <c r="U36" s="665">
        <f t="shared" si="11"/>
        <v>100</v>
      </c>
      <c r="V36" s="664" t="s">
        <v>14</v>
      </c>
      <c r="W36" s="665">
        <f t="shared" si="12"/>
        <v>100</v>
      </c>
      <c r="X36" s="666"/>
      <c r="Y36" s="336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362" t="s">
        <v>1696</v>
      </c>
      <c r="Q37" s="1263" t="str">
        <f t="shared" si="14"/>
        <v>工程地质条件</v>
      </c>
      <c r="R37" s="667" t="s">
        <v>14</v>
      </c>
      <c r="S37" s="668">
        <f t="shared" si="10"/>
        <v>100</v>
      </c>
      <c r="T37" s="667" t="s">
        <v>14</v>
      </c>
      <c r="U37" s="668">
        <f t="shared" si="11"/>
        <v>100</v>
      </c>
      <c r="V37" s="667" t="s">
        <v>14</v>
      </c>
      <c r="W37" s="668">
        <f t="shared" si="12"/>
        <v>100</v>
      </c>
      <c r="X37" s="1265"/>
      <c r="Y37" s="336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62"/>
      <c r="Q38" s="1263">
        <f t="shared" si="14"/>
        <v>111</v>
      </c>
      <c r="R38" s="667" t="s">
        <v>14</v>
      </c>
      <c r="S38" s="668">
        <f t="shared" si="10"/>
        <v>100</v>
      </c>
      <c r="T38" s="667" t="s">
        <v>14</v>
      </c>
      <c r="U38" s="668">
        <f t="shared" si="11"/>
        <v>100</v>
      </c>
      <c r="V38" s="667" t="s">
        <v>14</v>
      </c>
      <c r="W38" s="668">
        <f t="shared" si="12"/>
        <v>100</v>
      </c>
      <c r="X38" s="1265"/>
      <c r="Y38" s="336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62"/>
      <c r="Q39" s="1263">
        <f t="shared" si="14"/>
        <v>111</v>
      </c>
      <c r="R39" s="667" t="s">
        <v>14</v>
      </c>
      <c r="S39" s="668">
        <f t="shared" si="10"/>
        <v>100</v>
      </c>
      <c r="T39" s="667" t="s">
        <v>14</v>
      </c>
      <c r="U39" s="668">
        <f t="shared" si="11"/>
        <v>100</v>
      </c>
      <c r="V39" s="667" t="s">
        <v>14</v>
      </c>
      <c r="W39" s="668">
        <f t="shared" si="12"/>
        <v>100</v>
      </c>
      <c r="X39" s="1265"/>
      <c r="Y39" s="336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62"/>
      <c r="Q40" s="1263">
        <f t="shared" si="14"/>
        <v>111</v>
      </c>
      <c r="R40" s="669" t="s">
        <v>14</v>
      </c>
      <c r="S40" s="670">
        <f t="shared" si="10"/>
        <v>100</v>
      </c>
      <c r="T40" s="669" t="s">
        <v>14</v>
      </c>
      <c r="U40" s="670">
        <f t="shared" si="11"/>
        <v>100</v>
      </c>
      <c r="V40" s="669" t="s">
        <v>14</v>
      </c>
      <c r="W40" s="670">
        <f t="shared" si="12"/>
        <v>100</v>
      </c>
      <c r="X40" s="671"/>
      <c r="Y40" s="336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4"/>
      <c r="M41" s="2487"/>
      <c r="N41" s="2487"/>
      <c r="O41" s="2487"/>
      <c r="P41" s="3355" t="str">
        <f>A41</f>
        <v>成交单价</v>
      </c>
      <c r="Q41" s="3355"/>
      <c r="R41" s="3356">
        <f>E41</f>
        <v>0</v>
      </c>
      <c r="S41" s="3356"/>
      <c r="T41" s="3356">
        <f>G41</f>
        <v>0</v>
      </c>
      <c r="U41" s="3356"/>
      <c r="V41" s="3356">
        <f>I41</f>
        <v>0</v>
      </c>
      <c r="W41" s="335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355" t="str">
        <f>A42</f>
        <v>比较价值（元/平方米）</v>
      </c>
      <c r="Q42" s="3355"/>
      <c r="R42" s="3442" t="e">
        <f>ROUND(PRODUCT(R41,AA7:AA40),0)</f>
        <v>#DIV/0!</v>
      </c>
      <c r="S42" s="3442"/>
      <c r="T42" s="3442" t="e">
        <f>ROUND(PRODUCT(T41,AB7:AB40),0)</f>
        <v>#DIV/0!</v>
      </c>
      <c r="U42" s="3442"/>
      <c r="V42" s="3442" t="e">
        <f>ROUND(PRODUCT(V41,AC7:AC40),0)</f>
        <v>#DIV/0!</v>
      </c>
      <c r="W42" s="344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52" t="str">
        <f>A43</f>
        <v>估价对象XX用房的比较价值（楼面单价，元/平方米）</v>
      </c>
      <c r="Q43" s="3353"/>
      <c r="R43" s="3443" t="e">
        <f>ROUND(IF(D42="简单平均",AVERAGE(R42:W42),R42*F42+T42*H42+V42*J42),0)</f>
        <v>#DIV/0!</v>
      </c>
      <c r="S43" s="3443"/>
      <c r="T43" s="3443"/>
      <c r="U43" s="3443"/>
      <c r="V43" s="3443"/>
      <c r="W43" s="3443"/>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1" t="s">
        <v>1883</v>
      </c>
      <c r="D50" s="1832" t="s">
        <v>1884</v>
      </c>
      <c r="E50" s="606" t="s">
        <v>1885</v>
      </c>
      <c r="F50" s="607" t="s">
        <v>1886</v>
      </c>
      <c r="G50" s="3370" t="s">
        <v>1887</v>
      </c>
      <c r="H50" s="3444"/>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91.09</v>
      </c>
      <c r="F51" s="611" t="e">
        <f t="shared" ref="F51:F60" si="15">ROUND(B51*E51/10000,0)</f>
        <v>#DIV/0!</v>
      </c>
      <c r="G51" s="3366"/>
      <c r="H51" s="3355"/>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2008-12-1</v>
      </c>
      <c r="D63" s="656">
        <f>EDATE(C63,-3)</f>
        <v>39692</v>
      </c>
      <c r="E63" s="656">
        <f>EDATE(D63,-3)</f>
        <v>39600</v>
      </c>
      <c r="F63" s="656">
        <f t="shared" ref="F63:O63" si="18">EDATE(E63,-3)</f>
        <v>39508</v>
      </c>
      <c r="G63" s="656">
        <f t="shared" si="18"/>
        <v>39417</v>
      </c>
      <c r="H63" s="656">
        <f t="shared" si="18"/>
        <v>39326</v>
      </c>
      <c r="I63" s="656">
        <f t="shared" si="18"/>
        <v>39234</v>
      </c>
      <c r="J63" s="656">
        <f t="shared" si="18"/>
        <v>39142</v>
      </c>
      <c r="K63" s="656">
        <f t="shared" si="18"/>
        <v>39052</v>
      </c>
      <c r="L63" s="656">
        <f t="shared" si="18"/>
        <v>38961</v>
      </c>
      <c r="M63" s="656">
        <f t="shared" si="18"/>
        <v>38869</v>
      </c>
      <c r="N63" s="656">
        <f t="shared" si="18"/>
        <v>38777</v>
      </c>
      <c r="O63" s="656">
        <f t="shared" si="18"/>
        <v>38687</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2008-4</v>
      </c>
      <c r="D65" s="1101" t="str">
        <f t="shared" ref="D65:O65" si="19">YEAR(D63)&amp;"-"&amp;ROUNDUP(MONTH(D63)/3,0)</f>
        <v>2008-3</v>
      </c>
      <c r="E65" s="1101" t="str">
        <f t="shared" si="19"/>
        <v>2008-2</v>
      </c>
      <c r="F65" s="1101" t="str">
        <f t="shared" si="19"/>
        <v>2008-1</v>
      </c>
      <c r="G65" s="1101" t="str">
        <f t="shared" si="19"/>
        <v>2007-4</v>
      </c>
      <c r="H65" s="1101" t="str">
        <f t="shared" si="19"/>
        <v>2007-3</v>
      </c>
      <c r="I65" s="1101" t="str">
        <f t="shared" si="19"/>
        <v>2007-2</v>
      </c>
      <c r="J65" s="1101" t="str">
        <f t="shared" si="19"/>
        <v>2007-1</v>
      </c>
      <c r="K65" s="1101" t="str">
        <f t="shared" si="19"/>
        <v>2006-4</v>
      </c>
      <c r="L65" s="1101" t="str">
        <f t="shared" si="19"/>
        <v>2006-3</v>
      </c>
      <c r="M65" s="1101" t="str">
        <f t="shared" si="19"/>
        <v>2006-2</v>
      </c>
      <c r="N65" s="1101" t="str">
        <f t="shared" si="19"/>
        <v>2006-1</v>
      </c>
      <c r="O65" s="1101" t="str">
        <f t="shared" si="19"/>
        <v>2005-4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2" t="s">
        <v>2084</v>
      </c>
      <c r="D1" s="3453"/>
      <c r="E1" s="3453"/>
      <c r="F1" s="3453"/>
      <c r="G1" s="3453"/>
      <c r="H1" s="3453"/>
      <c r="I1" s="3453"/>
      <c r="J1" s="3453"/>
      <c r="K1" s="3453"/>
      <c r="L1" s="3453"/>
      <c r="M1" s="3453"/>
      <c r="N1" s="3453"/>
      <c r="O1" s="3453"/>
      <c r="P1" s="3453"/>
      <c r="Q1" s="3453"/>
      <c r="R1" s="3453"/>
      <c r="S1" s="3454"/>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9" t="s">
        <v>27</v>
      </c>
      <c r="D22" s="3450"/>
      <c r="E22" s="3450"/>
      <c r="F22" s="3450"/>
      <c r="G22" s="3450"/>
      <c r="H22" s="3450"/>
      <c r="I22" s="3450"/>
      <c r="J22" s="3450"/>
      <c r="K22" s="3450"/>
      <c r="L22" s="3450"/>
      <c r="M22" s="3450"/>
      <c r="N22" s="3450"/>
      <c r="O22" s="3450"/>
      <c r="P22" s="3450"/>
      <c r="Q22" s="3451"/>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7" t="e">
        <f ca="1">SUMIF(B6:B13,"&lt;&gt;#ref!",B6:B13)</f>
        <v>#DIV/0!</v>
      </c>
      <c r="C2" s="1984" t="s">
        <v>2074</v>
      </c>
      <c r="D2" s="1984" t="s">
        <v>2075</v>
      </c>
      <c r="E2" s="2397">
        <f ca="1">SUMIF(E6:E13,"&lt;&gt;#ref!",E6:E13)</f>
        <v>0</v>
      </c>
      <c r="F2" s="2544"/>
      <c r="G2" s="2544"/>
      <c r="H2" s="2544"/>
      <c r="I2" s="2544"/>
      <c r="J2" s="2544"/>
      <c r="K2" s="2544"/>
      <c r="L2" s="2544"/>
      <c r="M2" s="2544"/>
      <c r="N2" s="2544"/>
      <c r="O2" s="2544"/>
      <c r="P2" s="2544"/>
    </row>
    <row r="3" spans="1:16" ht="15.75">
      <c r="A3" s="1984" t="s">
        <v>2076</v>
      </c>
      <c r="B3" s="2387" t="e">
        <f ca="1">ROUND(B2*10000/E2,0)</f>
        <v>#DIV/0!</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5"/>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4"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4"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4"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4"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4"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4"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4"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4"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62"/>
      <c r="B4" s="3463"/>
      <c r="C4" s="3463"/>
      <c r="D4" s="3464"/>
      <c r="E4" s="3464"/>
      <c r="F4" s="3464"/>
      <c r="G4" s="3464"/>
      <c r="H4" s="3464"/>
      <c r="I4" s="3464"/>
      <c r="J4" s="3465"/>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4.75" thickBot="1">
      <c r="A7" s="3012" t="s">
        <v>3239</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59" t="s">
        <v>1960</v>
      </c>
      <c r="X8" s="3460"/>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61"/>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61"/>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3244</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3245</v>
      </c>
      <c r="G14" s="3020" t="s">
        <v>3245</v>
      </c>
      <c r="H14" s="3020" t="s">
        <v>3245</v>
      </c>
      <c r="I14" s="3020" t="s">
        <v>3245</v>
      </c>
      <c r="J14" s="3020" t="s">
        <v>3245</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3246</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09"/>
      <c r="C18" s="3034"/>
      <c r="D18" s="3029" t="s">
        <v>3250</v>
      </c>
      <c r="E18" s="2356"/>
      <c r="F18" s="3030" t="s">
        <v>3253</v>
      </c>
      <c r="G18" s="3034">
        <f>ROUND(1-(1/(POWER(1+G24,E18))),4)</f>
        <v>0</v>
      </c>
      <c r="H18" s="3030" t="s">
        <v>3255</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3251</v>
      </c>
      <c r="E19" s="3043"/>
      <c r="F19" s="3044" t="s">
        <v>3254</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66" t="s">
        <v>3256</v>
      </c>
      <c r="B20" s="159" t="s">
        <v>1994</v>
      </c>
      <c r="C20" s="3031" t="e">
        <f>ROUND(IF(F21="与级别开发程度一致",0,(G21-E21)/C21),0)</f>
        <v>#DIV/0!</v>
      </c>
      <c r="D20" s="3046" t="s">
        <v>1998</v>
      </c>
      <c r="E20" s="3047"/>
      <c r="F20" s="3472" t="s">
        <v>1995</v>
      </c>
      <c r="G20" s="3473"/>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5" thickBot="1">
      <c r="A21" s="3467"/>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6" t="s">
        <v>2002</v>
      </c>
      <c r="E23" s="717">
        <v>44197</v>
      </c>
      <c r="F23" s="1896" t="s">
        <v>2003</v>
      </c>
      <c r="G23" s="718">
        <f>'数据-取费表'!B2</f>
        <v>39801</v>
      </c>
      <c r="H23" s="3048" t="s">
        <v>3258</v>
      </c>
      <c r="I23" s="3049" t="str">
        <f>IF(H23="季度增幅（自定义）",SUMIF(N25:N28,E2,O25:O28),"")</f>
        <v/>
      </c>
      <c r="J23" s="3141" t="s">
        <v>3257</v>
      </c>
      <c r="K23" s="1061"/>
      <c r="L23" s="1897" t="s">
        <v>2004</v>
      </c>
      <c r="M23" s="1241">
        <f>ROUND(SUMIF(地价!B2:G2,E2,地价!B16:G16),0)</f>
        <v>0</v>
      </c>
      <c r="N23" s="1898" t="s">
        <v>2005</v>
      </c>
      <c r="O23" s="719" t="e">
        <f>ROUNDDOWN(DATEDIF(E23,G23,"M")/3,0)</f>
        <v>#NUM!</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存贷款利率!E26/100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3337</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3259</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3260</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3264</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0" t="s">
        <v>3262</v>
      </c>
      <c r="G33" s="1941"/>
      <c r="H33" s="1941"/>
      <c r="I33" s="1941"/>
      <c r="J33" s="1942"/>
      <c r="K33" s="1056"/>
      <c r="L33" s="3053" t="s">
        <v>3265</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3266</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3263</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3267</v>
      </c>
      <c r="L36" s="3142">
        <f ca="1">'数据-取费表'!B40</f>
        <v>5.67E-2</v>
      </c>
      <c r="M36" s="2365">
        <f ca="1">ROUND($L$36*(1+M31),3)</f>
        <v>7.0999999999999994E-2</v>
      </c>
      <c r="N36" s="2365">
        <f ca="1">ROUND($L$36*(1+N31),3)</f>
        <v>6.8000000000000005E-2</v>
      </c>
      <c r="O36" s="2365">
        <f ca="1">ROUND($L$36*(1+O31),3)</f>
        <v>6.5000000000000002E-2</v>
      </c>
      <c r="P36" s="2365">
        <f ca="1">ROUND($L$36*(1+P31),3)</f>
        <v>6.2E-2</v>
      </c>
      <c r="Q36" s="2365">
        <f ca="1">ROUND($L$36*(1+Q31),3)</f>
        <v>6.5000000000000002E-2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70"/>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4"/>
      <c r="K37" s="3061" t="s">
        <v>3268</v>
      </c>
      <c r="L37" s="1964">
        <f ca="1">L36+K38</f>
        <v>6.1699999999999998E-2</v>
      </c>
      <c r="M37" s="2365">
        <f ca="1">ROUND($L$37*(1+M31),3)</f>
        <v>7.6999999999999999E-2</v>
      </c>
      <c r="N37" s="2365">
        <f t="shared" ref="N37:Q37" ca="1" si="3">ROUND($L$37*(1+N31),3)</f>
        <v>7.3999999999999996E-2</v>
      </c>
      <c r="O37" s="2365">
        <f t="shared" ca="1" si="3"/>
        <v>7.0999999999999994E-2</v>
      </c>
      <c r="P37" s="2365">
        <f t="shared" ca="1" si="3"/>
        <v>6.8000000000000005E-2</v>
      </c>
      <c r="Q37" s="2365">
        <f t="shared" ca="1" si="3"/>
        <v>7.0999999999999994E-2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1"/>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71"/>
      <c r="B39" s="1884" t="s">
        <v>3261</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2" t="s">
        <v>3269</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3271</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3271</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0" t="s">
        <v>3271</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6">
      <c r="A85" s="3070" t="s">
        <v>3272</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5">
      <c r="A91" s="3078" t="s">
        <v>2614</v>
      </c>
      <c r="B91" s="3079">
        <f>1+E93</f>
        <v>1</v>
      </c>
      <c r="C91" s="3072"/>
      <c r="D91" s="3073"/>
      <c r="E91" s="1675"/>
      <c r="F91" s="1675"/>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50" t="s">
        <v>3291</v>
      </c>
      <c r="K92" s="2150" t="s">
        <v>3292</v>
      </c>
      <c r="L92" s="2150" t="s">
        <v>3293</v>
      </c>
      <c r="M92" s="2150" t="s">
        <v>3294</v>
      </c>
      <c r="N92" s="2150" t="s">
        <v>3295</v>
      </c>
    </row>
    <row r="93" spans="1:37" ht="24">
      <c r="A93" s="3070" t="s">
        <v>3274</v>
      </c>
      <c r="B93" s="1221"/>
      <c r="C93" s="1887"/>
      <c r="D93" s="2309">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38.25">
      <c r="A94" s="3080" t="s">
        <v>3275</v>
      </c>
      <c r="B94" s="3071" t="str">
        <f>估价对象房地状况!C18</f>
        <v>估价对象周边道路状况、公共交通通达情况、停车便捷程度，综合评价交通便捷度较好</v>
      </c>
      <c r="C94" s="1887"/>
      <c r="D94" s="2309">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6">
      <c r="A95" s="3070" t="s">
        <v>3271</v>
      </c>
      <c r="B95" s="3071">
        <f>估价对象房地状况!C19</f>
        <v>0</v>
      </c>
      <c r="C95" s="1887"/>
      <c r="D95" s="2309">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6.75">
      <c r="A96" s="3080" t="s">
        <v>3276</v>
      </c>
      <c r="B96" s="3086" t="s">
        <v>3287</v>
      </c>
      <c r="C96" s="1887"/>
      <c r="D96" s="2309">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4">
      <c r="A97" s="3080" t="s">
        <v>3277</v>
      </c>
      <c r="B97" s="3071">
        <f>估价对象房地状况!C24</f>
        <v>0</v>
      </c>
      <c r="C97" s="1887"/>
      <c r="D97" s="2309">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4">
      <c r="A98" s="3080" t="s">
        <v>3278</v>
      </c>
      <c r="B98" s="3087" t="s">
        <v>3288</v>
      </c>
      <c r="C98" s="1887"/>
      <c r="D98" s="2309">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5.5">
      <c r="A99" s="3080" t="s">
        <v>3279</v>
      </c>
      <c r="B99" s="3071" t="str">
        <f>估价对象房地状况!C21</f>
        <v>估价对象所在区域公共配套设施齐备情况</v>
      </c>
      <c r="C99" s="1887"/>
      <c r="D99" s="2309">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5.5">
      <c r="A100" s="3080" t="s">
        <v>3280</v>
      </c>
      <c r="B100" s="3071" t="str">
        <f>估价对象房地状况!C22</f>
        <v>估价对象所在区域基础设施水平</v>
      </c>
      <c r="C100" s="1887"/>
      <c r="D100" s="2309">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25" thickBot="1">
      <c r="A101" s="3081" t="s">
        <v>3281</v>
      </c>
      <c r="B101" s="3088" t="str">
        <f>估价对象房地状况!C20</f>
        <v>区域自然环境：；人文环境；综合评价环境状况一般</v>
      </c>
      <c r="C101" s="1887"/>
      <c r="D101" s="2309">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c r="A103" s="3468" t="s">
        <v>3296</v>
      </c>
      <c r="B103" s="3468"/>
      <c r="C103" s="3468"/>
      <c r="D103" s="3468"/>
      <c r="E103" s="3468"/>
      <c r="F103" s="3468"/>
      <c r="G103" s="3468"/>
      <c r="H103" s="3468"/>
      <c r="I103" s="3468"/>
      <c r="J103" s="3468"/>
      <c r="K103" s="1667"/>
      <c r="L103" s="1667"/>
      <c r="M103" s="1667"/>
      <c r="N103" s="1667"/>
    </row>
    <row r="104" spans="1:14">
      <c r="A104" s="3469" t="s">
        <v>3297</v>
      </c>
      <c r="B104" s="3469" t="s">
        <v>3298</v>
      </c>
      <c r="C104" s="3090" t="s">
        <v>3299</v>
      </c>
      <c r="D104" s="3091"/>
      <c r="E104" s="3091"/>
      <c r="F104" s="3091"/>
      <c r="G104" s="3091"/>
      <c r="H104" s="3091"/>
      <c r="I104" s="3091"/>
      <c r="J104" s="3092"/>
      <c r="K104" s="3093"/>
      <c r="L104" s="3093"/>
      <c r="M104" s="3093"/>
      <c r="N104" s="3093"/>
    </row>
    <row r="105" spans="1:14">
      <c r="A105" s="3469"/>
      <c r="B105" s="3469"/>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55"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6"/>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6"/>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6"/>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6"/>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6"/>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7"/>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8" t="s">
        <v>3313</v>
      </c>
      <c r="B113" s="3458"/>
      <c r="C113" s="3458"/>
      <c r="D113" s="3458"/>
      <c r="E113" s="3458"/>
      <c r="F113" s="3458"/>
      <c r="G113" s="3458"/>
      <c r="H113" s="3458"/>
      <c r="I113" s="3458"/>
      <c r="J113" s="3458"/>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E2" xr:uid="{00000000-0002-0000-2500-000004000000}">
      <formula1>"商业,办公,住宅,工业,公共服务"</formula1>
    </dataValidation>
    <dataValidation type="list" allowBlank="1" showInputMessage="1" showErrorMessage="1" sqref="F3" xr:uid="{00000000-0002-0000-2500-000005000000}">
      <formula1>"宗地容积率,估价对象容积率,自定义容积率"</formula1>
    </dataValidation>
    <dataValidation type="list" allowBlank="1" showInputMessage="1" showErrorMessage="1" sqref="C8" xr:uid="{00000000-0002-0000-2500-000006000000}">
      <formula1>商业街名称</formula1>
    </dataValidation>
    <dataValidation type="list" allowBlank="1" showInputMessage="1" showErrorMessage="1" sqref="E3" xr:uid="{00000000-0002-0000-2500-000007000000}">
      <formula1>二级分类</formula1>
    </dataValidation>
    <dataValidation type="list" allowBlank="1" showInputMessage="1" showErrorMessage="1" sqref="C61:C69 C72:C80 C50:C58 C83:C91 C93:C101" xr:uid="{00000000-0002-0000-2500-000008000000}">
      <formula1>五等判定</formula1>
    </dataValidation>
    <dataValidation type="list" allowBlank="1" showInputMessage="1" showErrorMessage="1" sqref="H23" xr:uid="{00000000-0002-0000-2500-000009000000}">
      <formula1>"地价指数,季度增幅（自定义）,按公示增长率计算"</formula1>
    </dataValidation>
    <dataValidation type="list" allowBlank="1" showInputMessage="1" showErrorMessage="1" sqref="H20:O20" xr:uid="{00000000-0002-0000-2500-00000A000000}">
      <formula1>七通一平</formula1>
    </dataValidation>
    <dataValidation type="list" allowBlank="1" showInputMessage="1" showErrorMessage="1" sqref="J23" xr:uid="{00000000-0002-0000-2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83" t="s">
        <v>2609</v>
      </c>
      <c r="B20" s="3478" t="s">
        <v>2630</v>
      </c>
      <c r="C20" s="2842" t="s">
        <v>2441</v>
      </c>
      <c r="D20" s="2843"/>
      <c r="E20" s="2844">
        <v>1</v>
      </c>
      <c r="F20" s="2845" t="s">
        <v>2442</v>
      </c>
      <c r="G20" s="2845"/>
    </row>
    <row r="21" spans="1:13" ht="19.5" customHeight="1">
      <c r="A21" s="3484"/>
      <c r="B21" s="3477"/>
      <c r="C21" s="2846" t="s">
        <v>2443</v>
      </c>
      <c r="D21" s="2847"/>
      <c r="E21" s="2848">
        <v>1</v>
      </c>
      <c r="F21" s="2845" t="s">
        <v>2444</v>
      </c>
      <c r="G21" s="2845"/>
    </row>
    <row r="22" spans="1:13" ht="19.5" customHeight="1">
      <c r="A22" s="3484"/>
      <c r="B22" s="3477"/>
      <c r="C22" s="2846" t="s">
        <v>2445</v>
      </c>
      <c r="D22" s="2847"/>
      <c r="E22" s="2848">
        <v>0.9</v>
      </c>
      <c r="F22" s="2845" t="s">
        <v>2446</v>
      </c>
      <c r="G22" s="2845"/>
    </row>
    <row r="23" spans="1:13" ht="19.5" customHeight="1">
      <c r="A23" s="3484"/>
      <c r="B23" s="3477"/>
      <c r="C23" s="2846" t="s">
        <v>2447</v>
      </c>
      <c r="D23" s="2847"/>
      <c r="E23" s="2848">
        <v>0.9</v>
      </c>
      <c r="F23" s="2845" t="s">
        <v>2448</v>
      </c>
      <c r="G23" s="2845"/>
    </row>
    <row r="24" spans="1:13" ht="19.5" customHeight="1">
      <c r="A24" s="3484"/>
      <c r="B24" s="3477"/>
      <c r="C24" s="2846" t="s">
        <v>2449</v>
      </c>
      <c r="D24" s="2847"/>
      <c r="E24" s="2848">
        <v>0.8</v>
      </c>
      <c r="F24" s="2845" t="s">
        <v>2450</v>
      </c>
      <c r="G24" s="2845"/>
    </row>
    <row r="25" spans="1:13" ht="19.5" customHeight="1" thickBot="1">
      <c r="A25" s="3485"/>
      <c r="B25" s="3479"/>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80" t="s">
        <v>2633</v>
      </c>
      <c r="B27" s="3478" t="s">
        <v>2614</v>
      </c>
      <c r="C27" s="2842" t="s">
        <v>2454</v>
      </c>
      <c r="D27" s="2843"/>
      <c r="E27" s="2844">
        <v>1</v>
      </c>
      <c r="F27" s="2845" t="s">
        <v>2455</v>
      </c>
      <c r="G27" s="2845"/>
    </row>
    <row r="28" spans="1:13" ht="19.5" customHeight="1">
      <c r="A28" s="3481"/>
      <c r="B28" s="3477"/>
      <c r="C28" s="2846" t="s">
        <v>2456</v>
      </c>
      <c r="D28" s="2847"/>
      <c r="E28" s="2848">
        <v>1</v>
      </c>
      <c r="F28" s="2845" t="s">
        <v>2457</v>
      </c>
      <c r="G28" s="2845"/>
    </row>
    <row r="29" spans="1:13" ht="19.5" customHeight="1">
      <c r="A29" s="3481"/>
      <c r="B29" s="3477"/>
      <c r="C29" s="2846" t="s">
        <v>2458</v>
      </c>
      <c r="D29" s="2847"/>
      <c r="E29" s="2848">
        <v>0.8</v>
      </c>
      <c r="F29" s="2845" t="s">
        <v>2459</v>
      </c>
      <c r="G29" s="2845"/>
    </row>
    <row r="30" spans="1:13" ht="19.5" customHeight="1">
      <c r="A30" s="3481"/>
      <c r="B30" s="3477"/>
      <c r="C30" s="2846" t="s">
        <v>2460</v>
      </c>
      <c r="D30" s="2847"/>
      <c r="E30" s="2848">
        <v>0.8</v>
      </c>
      <c r="F30" s="2845" t="s">
        <v>2461</v>
      </c>
      <c r="G30" s="2845"/>
    </row>
    <row r="31" spans="1:13" ht="19.5" customHeight="1">
      <c r="A31" s="3481"/>
      <c r="B31" s="3477"/>
      <c r="C31" s="2846" t="s">
        <v>2462</v>
      </c>
      <c r="D31" s="2847"/>
      <c r="E31" s="2848">
        <v>0.8</v>
      </c>
      <c r="F31" s="2845" t="s">
        <v>2463</v>
      </c>
      <c r="G31" s="2845"/>
    </row>
    <row r="32" spans="1:13" ht="19.5" customHeight="1">
      <c r="A32" s="3481"/>
      <c r="B32" s="3477"/>
      <c r="C32" s="2846" t="s">
        <v>2464</v>
      </c>
      <c r="D32" s="2847"/>
      <c r="E32" s="2848">
        <v>0.7</v>
      </c>
      <c r="F32" s="2845" t="s">
        <v>2465</v>
      </c>
      <c r="G32" s="2845"/>
    </row>
    <row r="33" spans="1:7" ht="19.5" customHeight="1">
      <c r="A33" s="3481"/>
      <c r="B33" s="3477"/>
      <c r="C33" s="2846" t="s">
        <v>2466</v>
      </c>
      <c r="D33" s="2847"/>
      <c r="E33" s="2848">
        <v>0.8</v>
      </c>
      <c r="F33" s="2845" t="s">
        <v>2467</v>
      </c>
      <c r="G33" s="2845"/>
    </row>
    <row r="34" spans="1:7" ht="19.5" customHeight="1">
      <c r="A34" s="3481"/>
      <c r="B34" s="3477"/>
      <c r="C34" s="2846" t="s">
        <v>2468</v>
      </c>
      <c r="D34" s="2847"/>
      <c r="E34" s="2848">
        <v>0.6</v>
      </c>
      <c r="F34" s="2845" t="s">
        <v>2469</v>
      </c>
      <c r="G34" s="2845"/>
    </row>
    <row r="35" spans="1:7" ht="19.5" customHeight="1">
      <c r="A35" s="3481"/>
      <c r="B35" s="3477"/>
      <c r="C35" s="2846" t="s">
        <v>2470</v>
      </c>
      <c r="D35" s="2847"/>
      <c r="E35" s="2848">
        <v>0.2</v>
      </c>
      <c r="F35" s="2845" t="s">
        <v>2471</v>
      </c>
      <c r="G35" s="2845"/>
    </row>
    <row r="36" spans="1:7" ht="19.5" customHeight="1">
      <c r="A36" s="3481"/>
      <c r="B36" s="3477"/>
      <c r="C36" s="2846" t="s">
        <v>2472</v>
      </c>
      <c r="D36" s="2847"/>
      <c r="E36" s="2848">
        <v>0.2</v>
      </c>
      <c r="F36" s="2845" t="s">
        <v>2473</v>
      </c>
      <c r="G36" s="2845"/>
    </row>
    <row r="37" spans="1:7" ht="19.5" customHeight="1">
      <c r="A37" s="3481"/>
      <c r="B37" s="3475" t="s">
        <v>2634</v>
      </c>
      <c r="C37" s="2846" t="s">
        <v>2474</v>
      </c>
      <c r="D37" s="2847"/>
      <c r="E37" s="2848">
        <v>0.6</v>
      </c>
      <c r="F37" s="2845" t="s">
        <v>2475</v>
      </c>
      <c r="G37" s="2845"/>
    </row>
    <row r="38" spans="1:7" ht="19.5" customHeight="1">
      <c r="A38" s="3481"/>
      <c r="B38" s="3477"/>
      <c r="C38" s="2846" t="s">
        <v>2476</v>
      </c>
      <c r="D38" s="2847"/>
      <c r="E38" s="2848">
        <v>0.6</v>
      </c>
      <c r="F38" s="2845" t="s">
        <v>2477</v>
      </c>
      <c r="G38" s="2845"/>
    </row>
    <row r="39" spans="1:7" ht="19.5" customHeight="1" thickBot="1">
      <c r="A39" s="3482"/>
      <c r="B39" s="3479"/>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83" t="s">
        <v>2612</v>
      </c>
      <c r="B41" s="3478" t="s">
        <v>2636</v>
      </c>
      <c r="C41" s="2842" t="s">
        <v>2481</v>
      </c>
      <c r="D41" s="2843"/>
      <c r="E41" s="2844">
        <v>1</v>
      </c>
      <c r="F41" s="2845" t="s">
        <v>2482</v>
      </c>
      <c r="G41" s="2845"/>
    </row>
    <row r="42" spans="1:7" ht="19.5" customHeight="1">
      <c r="A42" s="3484"/>
      <c r="B42" s="3477"/>
      <c r="C42" s="2846" t="s">
        <v>2483</v>
      </c>
      <c r="D42" s="2847"/>
      <c r="E42" s="2848">
        <v>1</v>
      </c>
      <c r="F42" s="2845" t="s">
        <v>2484</v>
      </c>
      <c r="G42" s="2845"/>
    </row>
    <row r="43" spans="1:7" ht="19.5" customHeight="1">
      <c r="A43" s="3484"/>
      <c r="B43" s="3476"/>
      <c r="C43" s="2846" t="s">
        <v>2485</v>
      </c>
      <c r="D43" s="2847"/>
      <c r="E43" s="2848">
        <v>1.5</v>
      </c>
      <c r="F43" s="2845" t="s">
        <v>2486</v>
      </c>
      <c r="G43" s="2845"/>
    </row>
    <row r="44" spans="1:7" ht="19.5" customHeight="1">
      <c r="A44" s="3484"/>
      <c r="B44" s="2857" t="s">
        <v>2637</v>
      </c>
      <c r="C44" s="2846" t="s">
        <v>2638</v>
      </c>
      <c r="D44" s="2847"/>
      <c r="E44" s="2848">
        <v>2</v>
      </c>
      <c r="F44" s="2845" t="s">
        <v>2487</v>
      </c>
      <c r="G44" s="2845"/>
    </row>
    <row r="45" spans="1:7" ht="19.5" customHeight="1">
      <c r="A45" s="3484"/>
      <c r="B45" s="3475" t="s">
        <v>2639</v>
      </c>
      <c r="C45" s="2846" t="s">
        <v>2488</v>
      </c>
      <c r="D45" s="2847"/>
      <c r="E45" s="2848">
        <v>1</v>
      </c>
      <c r="F45" s="2845" t="s">
        <v>2489</v>
      </c>
      <c r="G45" s="2845"/>
    </row>
    <row r="46" spans="1:7" ht="19.5" customHeight="1">
      <c r="A46" s="3484"/>
      <c r="B46" s="3477"/>
      <c r="C46" s="2846" t="s">
        <v>2490</v>
      </c>
      <c r="D46" s="2847"/>
      <c r="E46" s="2848">
        <v>1</v>
      </c>
      <c r="F46" s="2845" t="s">
        <v>2491</v>
      </c>
      <c r="G46" s="2845"/>
    </row>
    <row r="47" spans="1:7" ht="19.5" customHeight="1">
      <c r="A47" s="3484"/>
      <c r="B47" s="3477"/>
      <c r="C47" s="2846" t="s">
        <v>2492</v>
      </c>
      <c r="D47" s="2847"/>
      <c r="E47" s="2848">
        <v>1</v>
      </c>
      <c r="F47" s="2845" t="s">
        <v>2493</v>
      </c>
      <c r="G47" s="2845"/>
    </row>
    <row r="48" spans="1:7" ht="19.5" customHeight="1">
      <c r="A48" s="3484"/>
      <c r="B48" s="3477"/>
      <c r="C48" s="2846" t="s">
        <v>2494</v>
      </c>
      <c r="D48" s="2847"/>
      <c r="E48" s="2848">
        <v>1</v>
      </c>
      <c r="F48" s="2845" t="s">
        <v>2495</v>
      </c>
      <c r="G48" s="2845"/>
    </row>
    <row r="49" spans="1:7" ht="19.5" customHeight="1">
      <c r="A49" s="3484"/>
      <c r="B49" s="3477"/>
      <c r="C49" s="2846" t="s">
        <v>2496</v>
      </c>
      <c r="D49" s="2847"/>
      <c r="E49" s="2848">
        <v>1</v>
      </c>
      <c r="F49" s="2845" t="s">
        <v>2497</v>
      </c>
      <c r="G49" s="2845"/>
    </row>
    <row r="50" spans="1:7" ht="19.5" customHeight="1">
      <c r="A50" s="3484"/>
      <c r="B50" s="3477"/>
      <c r="C50" s="2846" t="s">
        <v>2498</v>
      </c>
      <c r="D50" s="2847"/>
      <c r="E50" s="2848">
        <v>1</v>
      </c>
      <c r="F50" s="2845" t="s">
        <v>2499</v>
      </c>
      <c r="G50" s="2845"/>
    </row>
    <row r="51" spans="1:7" ht="19.5" customHeight="1" thickBot="1">
      <c r="A51" s="3485"/>
      <c r="B51" s="3479"/>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475" t="s">
        <v>2653</v>
      </c>
      <c r="C73" s="2831" t="s">
        <v>2654</v>
      </c>
      <c r="D73" s="2831" t="s">
        <v>2655</v>
      </c>
      <c r="E73" s="2857">
        <v>0.2</v>
      </c>
      <c r="F73" s="2857">
        <v>25</v>
      </c>
    </row>
    <row r="74" spans="1:7" ht="24">
      <c r="A74" s="2857">
        <v>2</v>
      </c>
      <c r="B74" s="3477"/>
      <c r="C74" s="2831" t="s">
        <v>2656</v>
      </c>
      <c r="D74" s="2831" t="s">
        <v>2657</v>
      </c>
      <c r="E74" s="2857">
        <v>0.2</v>
      </c>
      <c r="F74" s="2857">
        <v>25</v>
      </c>
    </row>
    <row r="75" spans="1:7" ht="24">
      <c r="A75" s="2857">
        <v>3</v>
      </c>
      <c r="B75" s="3477"/>
      <c r="C75" s="2831" t="s">
        <v>2658</v>
      </c>
      <c r="D75" s="2831" t="s">
        <v>2659</v>
      </c>
      <c r="E75" s="2857">
        <v>0.2</v>
      </c>
      <c r="F75" s="2857">
        <v>25</v>
      </c>
    </row>
    <row r="76" spans="1:7" ht="13.5">
      <c r="A76" s="2857">
        <v>4</v>
      </c>
      <c r="B76" s="3477"/>
      <c r="C76" s="2831" t="s">
        <v>2660</v>
      </c>
      <c r="D76" s="2831" t="s">
        <v>2661</v>
      </c>
      <c r="E76" s="2857">
        <v>0.15</v>
      </c>
      <c r="F76" s="2857">
        <v>20</v>
      </c>
    </row>
    <row r="77" spans="1:7" ht="24">
      <c r="A77" s="2857">
        <v>5</v>
      </c>
      <c r="B77" s="3477"/>
      <c r="C77" s="2831" t="s">
        <v>2662</v>
      </c>
      <c r="D77" s="2831" t="s">
        <v>2663</v>
      </c>
      <c r="E77" s="2857">
        <v>0.15</v>
      </c>
      <c r="F77" s="2857">
        <v>20</v>
      </c>
    </row>
    <row r="78" spans="1:7" ht="24">
      <c r="A78" s="2857">
        <v>6</v>
      </c>
      <c r="B78" s="3477"/>
      <c r="C78" s="2831" t="s">
        <v>2664</v>
      </c>
      <c r="D78" s="2831" t="s">
        <v>2665</v>
      </c>
      <c r="E78" s="2857">
        <v>0.15</v>
      </c>
      <c r="F78" s="2857">
        <v>20</v>
      </c>
    </row>
    <row r="79" spans="1:7" ht="24">
      <c r="A79" s="2857">
        <v>7</v>
      </c>
      <c r="B79" s="3477"/>
      <c r="C79" s="2831" t="s">
        <v>2666</v>
      </c>
      <c r="D79" s="2831" t="s">
        <v>2667</v>
      </c>
      <c r="E79" s="2857">
        <v>0.15</v>
      </c>
      <c r="F79" s="2857">
        <v>20</v>
      </c>
    </row>
    <row r="80" spans="1:7" ht="24">
      <c r="A80" s="2857">
        <v>8</v>
      </c>
      <c r="B80" s="3477"/>
      <c r="C80" s="2831" t="s">
        <v>2668</v>
      </c>
      <c r="D80" s="2831" t="s">
        <v>2669</v>
      </c>
      <c r="E80" s="2857">
        <v>0.1</v>
      </c>
      <c r="F80" s="2857">
        <v>15</v>
      </c>
    </row>
    <row r="81" spans="1:6" ht="24">
      <c r="A81" s="2857">
        <v>9</v>
      </c>
      <c r="B81" s="3477"/>
      <c r="C81" s="2831" t="s">
        <v>2670</v>
      </c>
      <c r="D81" s="2831" t="s">
        <v>2671</v>
      </c>
      <c r="E81" s="2857">
        <v>0.1</v>
      </c>
      <c r="F81" s="2857">
        <v>15</v>
      </c>
    </row>
    <row r="82" spans="1:6" ht="24">
      <c r="A82" s="2857">
        <v>10</v>
      </c>
      <c r="B82" s="3477"/>
      <c r="C82" s="2831" t="s">
        <v>2672</v>
      </c>
      <c r="D82" s="2831" t="s">
        <v>2673</v>
      </c>
      <c r="E82" s="2857">
        <v>0.1</v>
      </c>
      <c r="F82" s="2857">
        <v>15</v>
      </c>
    </row>
    <row r="83" spans="1:6" ht="24">
      <c r="A83" s="2857">
        <v>11</v>
      </c>
      <c r="B83" s="3477"/>
      <c r="C83" s="2831" t="s">
        <v>2674</v>
      </c>
      <c r="D83" s="2831" t="s">
        <v>2675</v>
      </c>
      <c r="E83" s="2857">
        <v>0.1</v>
      </c>
      <c r="F83" s="2857">
        <v>15</v>
      </c>
    </row>
    <row r="84" spans="1:6" ht="24">
      <c r="A84" s="2857">
        <v>12</v>
      </c>
      <c r="B84" s="3477"/>
      <c r="C84" s="2831" t="s">
        <v>2676</v>
      </c>
      <c r="D84" s="2831" t="s">
        <v>2677</v>
      </c>
      <c r="E84" s="2857">
        <v>0.1</v>
      </c>
      <c r="F84" s="2857">
        <v>15</v>
      </c>
    </row>
    <row r="85" spans="1:6" ht="13.5">
      <c r="A85" s="2857">
        <v>13</v>
      </c>
      <c r="B85" s="3477"/>
      <c r="C85" s="2831" t="s">
        <v>2678</v>
      </c>
      <c r="D85" s="2831" t="s">
        <v>2679</v>
      </c>
      <c r="E85" s="2857">
        <v>0.1</v>
      </c>
      <c r="F85" s="2857">
        <v>15</v>
      </c>
    </row>
    <row r="86" spans="1:6" ht="13.5">
      <c r="A86" s="2857">
        <v>14</v>
      </c>
      <c r="B86" s="3477"/>
      <c r="C86" s="2831" t="s">
        <v>2680</v>
      </c>
      <c r="D86" s="2831" t="s">
        <v>2681</v>
      </c>
      <c r="E86" s="2857">
        <v>0.1</v>
      </c>
      <c r="F86" s="2857">
        <v>15</v>
      </c>
    </row>
    <row r="87" spans="1:6" ht="13.5">
      <c r="A87" s="2857">
        <v>15</v>
      </c>
      <c r="B87" s="3477"/>
      <c r="C87" s="2831" t="s">
        <v>2682</v>
      </c>
      <c r="D87" s="2831" t="s">
        <v>2683</v>
      </c>
      <c r="E87" s="2857">
        <v>0.1</v>
      </c>
      <c r="F87" s="2857">
        <v>15</v>
      </c>
    </row>
    <row r="88" spans="1:6" ht="24">
      <c r="A88" s="2857">
        <v>16</v>
      </c>
      <c r="B88" s="3477"/>
      <c r="C88" s="2831" t="s">
        <v>2684</v>
      </c>
      <c r="D88" s="2831" t="s">
        <v>2685</v>
      </c>
      <c r="E88" s="2857">
        <v>0.1</v>
      </c>
      <c r="F88" s="2857">
        <v>15</v>
      </c>
    </row>
    <row r="89" spans="1:6" ht="24">
      <c r="A89" s="2857">
        <v>17</v>
      </c>
      <c r="B89" s="3476"/>
      <c r="C89" s="2831" t="s">
        <v>2686</v>
      </c>
      <c r="D89" s="2831" t="s">
        <v>2687</v>
      </c>
      <c r="E89" s="2857">
        <v>0.1</v>
      </c>
      <c r="F89" s="2857">
        <v>15</v>
      </c>
    </row>
    <row r="90" spans="1:6" ht="13.5">
      <c r="A90" s="2857">
        <v>18</v>
      </c>
      <c r="B90" s="3475" t="s">
        <v>2688</v>
      </c>
      <c r="C90" s="2831" t="s">
        <v>2689</v>
      </c>
      <c r="D90" s="2831" t="s">
        <v>2690</v>
      </c>
      <c r="E90" s="2857">
        <v>0.2</v>
      </c>
      <c r="F90" s="2857">
        <v>25</v>
      </c>
    </row>
    <row r="91" spans="1:6" ht="24">
      <c r="A91" s="2857">
        <v>19</v>
      </c>
      <c r="B91" s="3477"/>
      <c r="C91" s="2831" t="s">
        <v>2691</v>
      </c>
      <c r="D91" s="2831" t="s">
        <v>2692</v>
      </c>
      <c r="E91" s="2857">
        <v>0.2</v>
      </c>
      <c r="F91" s="2857">
        <v>25</v>
      </c>
    </row>
    <row r="92" spans="1:6" ht="13.5">
      <c r="A92" s="2857">
        <v>20</v>
      </c>
      <c r="B92" s="3477"/>
      <c r="C92" s="2831" t="s">
        <v>2693</v>
      </c>
      <c r="D92" s="2831" t="s">
        <v>2694</v>
      </c>
      <c r="E92" s="2857">
        <v>0.15</v>
      </c>
      <c r="F92" s="2857">
        <v>20</v>
      </c>
    </row>
    <row r="93" spans="1:6" ht="13.5">
      <c r="A93" s="2857">
        <v>21</v>
      </c>
      <c r="B93" s="3477"/>
      <c r="C93" s="2831" t="s">
        <v>2695</v>
      </c>
      <c r="D93" s="2831" t="s">
        <v>2696</v>
      </c>
      <c r="E93" s="2857">
        <v>0.15</v>
      </c>
      <c r="F93" s="2857">
        <v>20</v>
      </c>
    </row>
    <row r="94" spans="1:6" ht="13.5">
      <c r="A94" s="2857">
        <v>22</v>
      </c>
      <c r="B94" s="3477"/>
      <c r="C94" s="2831" t="s">
        <v>2697</v>
      </c>
      <c r="D94" s="2831" t="s">
        <v>2698</v>
      </c>
      <c r="E94" s="2857">
        <v>0.15</v>
      </c>
      <c r="F94" s="2857">
        <v>20</v>
      </c>
    </row>
    <row r="95" spans="1:6" ht="36">
      <c r="A95" s="2857">
        <v>23</v>
      </c>
      <c r="B95" s="3477"/>
      <c r="C95" s="2831" t="s">
        <v>2699</v>
      </c>
      <c r="D95" s="2831" t="s">
        <v>2700</v>
      </c>
      <c r="E95" s="2857">
        <v>0.15</v>
      </c>
      <c r="F95" s="2857">
        <v>20</v>
      </c>
    </row>
    <row r="96" spans="1:6" ht="13.5">
      <c r="A96" s="2857">
        <v>24</v>
      </c>
      <c r="B96" s="3477"/>
      <c r="C96" s="2831" t="s">
        <v>2701</v>
      </c>
      <c r="D96" s="2831" t="s">
        <v>2702</v>
      </c>
      <c r="E96" s="2857">
        <v>0.1</v>
      </c>
      <c r="F96" s="2857">
        <v>15</v>
      </c>
    </row>
    <row r="97" spans="1:6" ht="13.5">
      <c r="A97" s="2857">
        <v>25</v>
      </c>
      <c r="B97" s="3477"/>
      <c r="C97" s="2831" t="s">
        <v>2703</v>
      </c>
      <c r="D97" s="2831" t="s">
        <v>2704</v>
      </c>
      <c r="E97" s="2857">
        <v>0.1</v>
      </c>
      <c r="F97" s="2857">
        <v>15</v>
      </c>
    </row>
    <row r="98" spans="1:6" ht="24">
      <c r="A98" s="2857">
        <v>26</v>
      </c>
      <c r="B98" s="3477"/>
      <c r="C98" s="2831" t="s">
        <v>2705</v>
      </c>
      <c r="D98" s="2831" t="s">
        <v>2706</v>
      </c>
      <c r="E98" s="2857">
        <v>0.1</v>
      </c>
      <c r="F98" s="2857">
        <v>15</v>
      </c>
    </row>
    <row r="99" spans="1:6" ht="24">
      <c r="A99" s="2857">
        <v>27</v>
      </c>
      <c r="B99" s="3477"/>
      <c r="C99" s="2831" t="s">
        <v>2707</v>
      </c>
      <c r="D99" s="2831" t="s">
        <v>2708</v>
      </c>
      <c r="E99" s="2857">
        <v>0.1</v>
      </c>
      <c r="F99" s="2857">
        <v>15</v>
      </c>
    </row>
    <row r="100" spans="1:6" ht="13.5">
      <c r="A100" s="2857">
        <v>28</v>
      </c>
      <c r="B100" s="3477"/>
      <c r="C100" s="2831" t="s">
        <v>2709</v>
      </c>
      <c r="D100" s="2831" t="s">
        <v>2710</v>
      </c>
      <c r="E100" s="2857">
        <v>0.1</v>
      </c>
      <c r="F100" s="2857">
        <v>15</v>
      </c>
    </row>
    <row r="101" spans="1:6" ht="13.5">
      <c r="A101" s="2857">
        <v>29</v>
      </c>
      <c r="B101" s="3477"/>
      <c r="C101" s="2831" t="s">
        <v>2711</v>
      </c>
      <c r="D101" s="2831" t="s">
        <v>2712</v>
      </c>
      <c r="E101" s="2857">
        <v>0.1</v>
      </c>
      <c r="F101" s="2857">
        <v>15</v>
      </c>
    </row>
    <row r="102" spans="1:6" ht="13.5">
      <c r="A102" s="2857">
        <v>30</v>
      </c>
      <c r="B102" s="3477"/>
      <c r="C102" s="2831" t="s">
        <v>2713</v>
      </c>
      <c r="D102" s="2831" t="s">
        <v>2714</v>
      </c>
      <c r="E102" s="2857">
        <v>0.1</v>
      </c>
      <c r="F102" s="2857">
        <v>15</v>
      </c>
    </row>
    <row r="103" spans="1:6" ht="24">
      <c r="A103" s="2857">
        <v>31</v>
      </c>
      <c r="B103" s="3477"/>
      <c r="C103" s="2831" t="s">
        <v>2715</v>
      </c>
      <c r="D103" s="2831" t="s">
        <v>2716</v>
      </c>
      <c r="E103" s="2857">
        <v>0.1</v>
      </c>
      <c r="F103" s="2857">
        <v>15</v>
      </c>
    </row>
    <row r="104" spans="1:6" ht="24">
      <c r="A104" s="2857">
        <v>32</v>
      </c>
      <c r="B104" s="3477"/>
      <c r="C104" s="2831" t="s">
        <v>2717</v>
      </c>
      <c r="D104" s="2831" t="s">
        <v>2718</v>
      </c>
      <c r="E104" s="2857">
        <v>0.1</v>
      </c>
      <c r="F104" s="2857">
        <v>15</v>
      </c>
    </row>
    <row r="105" spans="1:6" ht="24">
      <c r="A105" s="2857">
        <v>33</v>
      </c>
      <c r="B105" s="3477"/>
      <c r="C105" s="2831" t="s">
        <v>2719</v>
      </c>
      <c r="D105" s="2831" t="s">
        <v>2720</v>
      </c>
      <c r="E105" s="2857">
        <v>0.1</v>
      </c>
      <c r="F105" s="2857">
        <v>15</v>
      </c>
    </row>
    <row r="106" spans="1:6" ht="24">
      <c r="A106" s="2857">
        <v>34</v>
      </c>
      <c r="B106" s="3476"/>
      <c r="C106" s="2831" t="s">
        <v>2721</v>
      </c>
      <c r="D106" s="2831" t="s">
        <v>2722</v>
      </c>
      <c r="E106" s="2857">
        <v>0.1</v>
      </c>
      <c r="F106" s="2857">
        <v>15</v>
      </c>
    </row>
    <row r="107" spans="1:6" ht="24">
      <c r="A107" s="2857">
        <v>35</v>
      </c>
      <c r="B107" s="3475" t="s">
        <v>2723</v>
      </c>
      <c r="C107" s="2857" t="s">
        <v>2724</v>
      </c>
      <c r="D107" s="2831" t="s">
        <v>2725</v>
      </c>
      <c r="E107" s="2857">
        <v>0.15</v>
      </c>
      <c r="F107" s="2857">
        <v>20</v>
      </c>
    </row>
    <row r="108" spans="1:6" ht="13.5">
      <c r="A108" s="2857">
        <v>36</v>
      </c>
      <c r="B108" s="3477"/>
      <c r="C108" s="2857" t="s">
        <v>2726</v>
      </c>
      <c r="D108" s="2831" t="s">
        <v>2727</v>
      </c>
      <c r="E108" s="2857">
        <v>0.15</v>
      </c>
      <c r="F108" s="2857">
        <v>20</v>
      </c>
    </row>
    <row r="109" spans="1:6" ht="13.5">
      <c r="A109" s="2857">
        <v>37</v>
      </c>
      <c r="B109" s="3477"/>
      <c r="C109" s="2857" t="s">
        <v>2728</v>
      </c>
      <c r="D109" s="2831" t="s">
        <v>2729</v>
      </c>
      <c r="E109" s="2857">
        <v>0.15</v>
      </c>
      <c r="F109" s="2857">
        <v>20</v>
      </c>
    </row>
    <row r="110" spans="1:6" ht="13.5">
      <c r="A110" s="2857">
        <v>38</v>
      </c>
      <c r="B110" s="3477"/>
      <c r="C110" s="2857" t="s">
        <v>2730</v>
      </c>
      <c r="D110" s="2831" t="s">
        <v>2731</v>
      </c>
      <c r="E110" s="2857">
        <v>0.1</v>
      </c>
      <c r="F110" s="2857">
        <v>15</v>
      </c>
    </row>
    <row r="111" spans="1:6" ht="24">
      <c r="A111" s="2857">
        <v>39</v>
      </c>
      <c r="B111" s="3477"/>
      <c r="C111" s="2857" t="s">
        <v>2732</v>
      </c>
      <c r="D111" s="2831" t="s">
        <v>2733</v>
      </c>
      <c r="E111" s="2857">
        <v>0.1</v>
      </c>
      <c r="F111" s="2857">
        <v>15</v>
      </c>
    </row>
    <row r="112" spans="1:6" ht="24">
      <c r="A112" s="2857">
        <v>40</v>
      </c>
      <c r="B112" s="3476"/>
      <c r="C112" s="2857" t="s">
        <v>2734</v>
      </c>
      <c r="D112" s="2831" t="s">
        <v>2735</v>
      </c>
      <c r="E112" s="2857">
        <v>0.1</v>
      </c>
      <c r="F112" s="2857">
        <v>15</v>
      </c>
    </row>
    <row r="113" spans="1:6" ht="13.5">
      <c r="A113" s="2857">
        <v>41</v>
      </c>
      <c r="B113" s="3474" t="s">
        <v>2736</v>
      </c>
      <c r="C113" s="2857" t="s">
        <v>2737</v>
      </c>
      <c r="D113" s="2831" t="s">
        <v>2738</v>
      </c>
      <c r="E113" s="2857">
        <v>0.1</v>
      </c>
      <c r="F113" s="2857">
        <v>15</v>
      </c>
    </row>
    <row r="114" spans="1:6" ht="13.5">
      <c r="A114" s="2857">
        <v>42</v>
      </c>
      <c r="B114" s="3474"/>
      <c r="C114" s="2857" t="s">
        <v>2739</v>
      </c>
      <c r="D114" s="2831" t="s">
        <v>2740</v>
      </c>
      <c r="E114" s="2857">
        <v>0.1</v>
      </c>
      <c r="F114" s="2857">
        <v>15</v>
      </c>
    </row>
    <row r="115" spans="1:6" ht="24">
      <c r="A115" s="2857">
        <v>43</v>
      </c>
      <c r="B115" s="3474"/>
      <c r="C115" s="2857" t="s">
        <v>2741</v>
      </c>
      <c r="D115" s="2831" t="s">
        <v>2742</v>
      </c>
      <c r="E115" s="2857">
        <v>0.1</v>
      </c>
      <c r="F115" s="2857">
        <v>15</v>
      </c>
    </row>
    <row r="116" spans="1:6" ht="13.5">
      <c r="A116" s="2857">
        <v>44</v>
      </c>
      <c r="B116" s="3475" t="s">
        <v>2743</v>
      </c>
      <c r="C116" s="2857" t="s">
        <v>2744</v>
      </c>
      <c r="D116" s="2831" t="s">
        <v>2745</v>
      </c>
      <c r="E116" s="2857">
        <v>0.1</v>
      </c>
      <c r="F116" s="2857">
        <v>15</v>
      </c>
    </row>
    <row r="117" spans="1:6" ht="24">
      <c r="A117" s="2857">
        <v>45</v>
      </c>
      <c r="B117" s="3476"/>
      <c r="C117" s="2831" t="s">
        <v>2746</v>
      </c>
      <c r="D117" s="2831" t="s">
        <v>2747</v>
      </c>
      <c r="E117" s="2857">
        <v>0.1</v>
      </c>
      <c r="F117" s="2857">
        <v>15</v>
      </c>
    </row>
    <row r="118" spans="1:6" ht="24">
      <c r="A118" s="2857">
        <v>46</v>
      </c>
      <c r="B118" s="3475" t="s">
        <v>2748</v>
      </c>
      <c r="C118" s="2857" t="s">
        <v>2749</v>
      </c>
      <c r="D118" s="2831" t="s">
        <v>2750</v>
      </c>
      <c r="E118" s="2857">
        <v>0.1</v>
      </c>
      <c r="F118" s="2857">
        <v>15</v>
      </c>
    </row>
    <row r="119" spans="1:6" ht="24">
      <c r="A119" s="2857">
        <v>47</v>
      </c>
      <c r="B119" s="3476"/>
      <c r="C119" s="2857" t="s">
        <v>2751</v>
      </c>
      <c r="D119" s="2831" t="s">
        <v>2752</v>
      </c>
      <c r="E119" s="2857">
        <v>0.1</v>
      </c>
      <c r="F119" s="2857">
        <v>15</v>
      </c>
    </row>
    <row r="120" spans="1:6" ht="13.5">
      <c r="A120" s="2857">
        <v>48</v>
      </c>
      <c r="B120" s="3475" t="s">
        <v>2753</v>
      </c>
      <c r="C120" s="2857" t="s">
        <v>2754</v>
      </c>
      <c r="D120" s="2831" t="s">
        <v>2755</v>
      </c>
      <c r="E120" s="2857">
        <v>0.1</v>
      </c>
      <c r="F120" s="2857">
        <v>15</v>
      </c>
    </row>
    <row r="121" spans="1:6" ht="13.5">
      <c r="A121" s="2857">
        <v>49</v>
      </c>
      <c r="B121" s="3476"/>
      <c r="C121" s="2857" t="s">
        <v>2756</v>
      </c>
      <c r="D121" s="2831" t="s">
        <v>2757</v>
      </c>
      <c r="E121" s="2857">
        <v>0.1</v>
      </c>
      <c r="F121" s="2857">
        <v>15</v>
      </c>
    </row>
    <row r="122" spans="1:6" ht="24">
      <c r="A122" s="2857">
        <v>50</v>
      </c>
      <c r="B122" s="3474" t="s">
        <v>2758</v>
      </c>
      <c r="C122" s="2857" t="s">
        <v>2759</v>
      </c>
      <c r="D122" s="2831" t="s">
        <v>2760</v>
      </c>
      <c r="E122" s="2857">
        <v>0.1</v>
      </c>
      <c r="F122" s="2857">
        <v>15</v>
      </c>
    </row>
    <row r="123" spans="1:6" ht="24">
      <c r="A123" s="2857">
        <v>51</v>
      </c>
      <c r="B123" s="3474"/>
      <c r="C123" s="2857" t="s">
        <v>2761</v>
      </c>
      <c r="D123" s="2831" t="s">
        <v>2762</v>
      </c>
      <c r="E123" s="2857">
        <v>0.1</v>
      </c>
      <c r="F123" s="2857">
        <v>15</v>
      </c>
    </row>
    <row r="124" spans="1:6" ht="24">
      <c r="A124" s="2857">
        <v>52</v>
      </c>
      <c r="B124" s="3474" t="s">
        <v>2763</v>
      </c>
      <c r="C124" s="2857" t="s">
        <v>2764</v>
      </c>
      <c r="D124" s="2831" t="s">
        <v>2765</v>
      </c>
      <c r="E124" s="2857">
        <v>0.1</v>
      </c>
      <c r="F124" s="2857">
        <v>15</v>
      </c>
    </row>
    <row r="125" spans="1:6" ht="24">
      <c r="A125" s="2857">
        <v>53</v>
      </c>
      <c r="B125" s="3474"/>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474" t="s">
        <v>2771</v>
      </c>
      <c r="C127" s="2857" t="s">
        <v>2772</v>
      </c>
      <c r="D127" s="2831" t="s">
        <v>2773</v>
      </c>
      <c r="E127" s="2857">
        <v>0.1</v>
      </c>
      <c r="F127" s="2857">
        <v>15</v>
      </c>
    </row>
    <row r="128" spans="1:6" ht="13.5">
      <c r="A128" s="2857">
        <v>56</v>
      </c>
      <c r="B128" s="3474"/>
      <c r="C128" s="2857" t="s">
        <v>2774</v>
      </c>
      <c r="D128" s="2831" t="s">
        <v>2775</v>
      </c>
      <c r="E128" s="2857">
        <v>0.1</v>
      </c>
      <c r="F128" s="2857">
        <v>15</v>
      </c>
    </row>
    <row r="129" spans="1:6" ht="24">
      <c r="A129" s="2857">
        <v>57</v>
      </c>
      <c r="B129" s="3474"/>
      <c r="C129" s="2857" t="s">
        <v>2776</v>
      </c>
      <c r="D129" s="2831" t="s">
        <v>2777</v>
      </c>
      <c r="E129" s="2857">
        <v>0.1</v>
      </c>
      <c r="F129" s="2857">
        <v>15</v>
      </c>
    </row>
    <row r="130" spans="1:6" ht="24">
      <c r="A130" s="2857">
        <v>58</v>
      </c>
      <c r="B130" s="3474" t="s">
        <v>2778</v>
      </c>
      <c r="C130" s="2857" t="s">
        <v>2779</v>
      </c>
      <c r="D130" s="2831" t="s">
        <v>2780</v>
      </c>
      <c r="E130" s="2857">
        <v>0.1</v>
      </c>
      <c r="F130" s="2857">
        <v>15</v>
      </c>
    </row>
    <row r="131" spans="1:6" ht="13.5">
      <c r="A131" s="2857">
        <v>59</v>
      </c>
      <c r="B131" s="3474"/>
      <c r="C131" s="2857" t="s">
        <v>2781</v>
      </c>
      <c r="D131" s="2831" t="s">
        <v>2782</v>
      </c>
      <c r="E131" s="2857">
        <v>0.1</v>
      </c>
      <c r="F131" s="2857">
        <v>15</v>
      </c>
    </row>
    <row r="132" spans="1:6" ht="13.5">
      <c r="A132" s="2857">
        <v>60</v>
      </c>
      <c r="B132" s="3475" t="s">
        <v>2783</v>
      </c>
      <c r="C132" s="2857" t="s">
        <v>2784</v>
      </c>
      <c r="D132" s="2831" t="s">
        <v>2785</v>
      </c>
      <c r="E132" s="2857">
        <v>0.1</v>
      </c>
      <c r="F132" s="2857">
        <v>15</v>
      </c>
    </row>
    <row r="133" spans="1:6" ht="13.5">
      <c r="A133" s="2857">
        <v>61</v>
      </c>
      <c r="B133" s="3476"/>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474" t="s">
        <v>2791</v>
      </c>
      <c r="C135" s="2857" t="s">
        <v>2792</v>
      </c>
      <c r="D135" s="2831" t="s">
        <v>2793</v>
      </c>
      <c r="E135" s="2857">
        <v>0.1</v>
      </c>
      <c r="F135" s="2857">
        <v>15</v>
      </c>
    </row>
    <row r="136" spans="1:6" ht="13.5">
      <c r="A136" s="2857">
        <v>64</v>
      </c>
      <c r="B136" s="3474"/>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7"/>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72"/>
      <c r="C2" s="3172"/>
      <c r="D2" s="3172"/>
      <c r="E2" s="3172"/>
    </row>
    <row r="3" spans="1:5" ht="18">
      <c r="A3" s="3173" t="str">
        <f>IF(项目基本情况!B9="房地产市场价值","估价结果一览表（市场价值不需“结果表-1”）","估价结果一览表")</f>
        <v>估价结果一览表（市场价值不需“结果表-1”）</v>
      </c>
      <c r="B3" s="3173"/>
      <c r="C3" s="3173"/>
      <c r="D3" s="3173"/>
      <c r="E3" s="3173"/>
    </row>
    <row r="4" spans="1:5" ht="19.5" thickBot="1">
      <c r="A4" s="1391"/>
      <c r="B4" s="3171" t="s">
        <v>917</v>
      </c>
      <c r="C4" s="3171"/>
      <c r="D4" s="3171"/>
      <c r="E4" s="1391"/>
    </row>
    <row r="5" spans="1:5" ht="16.5" thickTop="1">
      <c r="B5" s="3169" t="s">
        <v>909</v>
      </c>
      <c r="C5" s="1392" t="s">
        <v>910</v>
      </c>
      <c r="D5" s="797" t="e">
        <f ca="1">结果表!H101</f>
        <v>#REF!</v>
      </c>
    </row>
    <row r="6" spans="1:5" ht="15.75">
      <c r="B6" s="3169"/>
      <c r="C6" s="1392" t="s">
        <v>911</v>
      </c>
      <c r="D6" s="797" t="e">
        <f ca="1">NUMBERSTRING(INT(D5*10000),2)&amp;"元整"</f>
        <v>#REF!</v>
      </c>
    </row>
    <row r="7" spans="1:5" ht="15.75">
      <c r="B7" s="3174"/>
      <c r="C7" s="1393" t="s">
        <v>912</v>
      </c>
      <c r="D7" s="798" t="e">
        <f ca="1">结果表!H102</f>
        <v>#REF!</v>
      </c>
    </row>
    <row r="8" spans="1:5" ht="15.75">
      <c r="B8" s="3175" t="str">
        <f>结果表!E103</f>
        <v>2.估价师知悉的法定优先受偿款</v>
      </c>
      <c r="C8" s="1394" t="s">
        <v>913</v>
      </c>
      <c r="D8" s="798">
        <f>结果表!H103</f>
        <v>0</v>
      </c>
    </row>
    <row r="9" spans="1:5" ht="15.75">
      <c r="B9" s="317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8" t="str">
        <f>结果表!E107</f>
        <v>3.房地产抵押价值</v>
      </c>
      <c r="C13" s="1397" t="s">
        <v>910</v>
      </c>
      <c r="D13" s="800" t="e">
        <f ca="1">结果表!H107</f>
        <v>#REF!</v>
      </c>
    </row>
    <row r="14" spans="1:5" ht="15.75">
      <c r="B14" s="3169"/>
      <c r="C14" s="1392" t="s">
        <v>911</v>
      </c>
      <c r="D14" s="797" t="e">
        <f ca="1">NUMBERSTRING(INT(D13*10000),2)&amp;"元整"</f>
        <v>#REF!</v>
      </c>
    </row>
    <row r="15" spans="1:5" ht="15">
      <c r="B15" s="3174"/>
      <c r="C15" s="1393" t="s">
        <v>921</v>
      </c>
      <c r="D15" s="806" t="e">
        <f ca="1">结果表!H108</f>
        <v>#REF!</v>
      </c>
    </row>
    <row r="16" spans="1:5" ht="15">
      <c r="B16" s="3175" t="str">
        <f>结果表!E109</f>
        <v>——</v>
      </c>
      <c r="C16" s="1397" t="s">
        <v>922</v>
      </c>
      <c r="D16" s="1398" t="str">
        <f>结果表!H109</f>
        <v>——</v>
      </c>
    </row>
    <row r="17" spans="1:5" ht="15.75">
      <c r="B17" s="3176"/>
      <c r="C17" s="1392" t="s">
        <v>923</v>
      </c>
      <c r="D17" s="797" t="e">
        <f>NUMBERSTRING(INT(D16*10000),2)&amp;"元整"</f>
        <v>#VALUE!</v>
      </c>
    </row>
    <row r="18" spans="1:5" ht="15">
      <c r="B18" s="3177"/>
      <c r="C18" s="1393" t="s">
        <v>912</v>
      </c>
      <c r="D18" s="806" t="str">
        <f>结果表!H110</f>
        <v>——</v>
      </c>
    </row>
    <row r="19" spans="1:5" ht="15.75">
      <c r="B19" s="3168" t="str">
        <f>结果表!E111</f>
        <v>——</v>
      </c>
      <c r="C19" s="1397" t="s">
        <v>910</v>
      </c>
      <c r="D19" s="798" t="str">
        <f>结果表!H111</f>
        <v>——</v>
      </c>
    </row>
    <row r="20" spans="1:5" ht="15.75">
      <c r="B20" s="3169"/>
      <c r="C20" s="1392" t="s">
        <v>923</v>
      </c>
      <c r="D20" s="797" t="e">
        <f>NUMBERSTRING(INT(D19*10000),2)&amp;"元整"</f>
        <v>#VALUE!</v>
      </c>
    </row>
    <row r="21" spans="1:5" ht="15.75" thickBot="1">
      <c r="B21" s="317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27105</v>
      </c>
      <c r="C2" s="2" t="s">
        <v>106</v>
      </c>
      <c r="D2" s="191"/>
      <c r="E2" s="191"/>
      <c r="F2" s="191"/>
      <c r="G2" s="191"/>
    </row>
    <row r="3" spans="1:7" s="192" customFormat="1" ht="18" customHeight="1" thickBot="1">
      <c r="A3" s="195" t="s">
        <v>58</v>
      </c>
      <c r="B3" s="196">
        <f ca="1">ROUND(B2*10000/'数据-汇总表'!E3,0)</f>
        <v>2975628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91.09</v>
      </c>
      <c r="E9" s="217">
        <f>'数据-取费表'!B27</f>
        <v>0</v>
      </c>
      <c r="F9" s="213"/>
      <c r="G9" s="218"/>
    </row>
    <row r="10" spans="1:7" s="206" customFormat="1" ht="13.5" customHeight="1">
      <c r="A10" s="733" t="s">
        <v>356</v>
      </c>
      <c r="B10" s="216" t="s">
        <v>67</v>
      </c>
      <c r="C10" s="217">
        <f>ROUND(D10*E10/10000,0)</f>
        <v>0</v>
      </c>
      <c r="D10" s="795">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91.09</v>
      </c>
      <c r="E19" s="203">
        <f>'数据-取费表'!B31</f>
        <v>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2415</v>
      </c>
      <c r="D22" s="227">
        <f ca="1">C26</f>
        <v>5.9999999999999995E-4</v>
      </c>
      <c r="E22" s="228" t="s">
        <v>99</v>
      </c>
      <c r="F22" s="229">
        <f ca="1">'数据-取费表'!B40</f>
        <v>5.67E-2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2403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2082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2082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27071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26</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v>
      </c>
      <c r="D36" s="212"/>
      <c r="E36" s="212"/>
      <c r="F36" s="251">
        <f>'数据-取费表'!B34</f>
        <v>0.03</v>
      </c>
      <c r="G36" s="252" t="s">
        <v>35</v>
      </c>
    </row>
    <row r="37" spans="1:7" s="250" customFormat="1" ht="13.5" customHeight="1">
      <c r="A37" s="734" t="s">
        <v>353</v>
      </c>
      <c r="B37" s="207" t="s">
        <v>91</v>
      </c>
      <c r="C37" s="241">
        <f>ROUND(E37*D37*F34/10000,0)</f>
        <v>1</v>
      </c>
      <c r="D37" s="209">
        <f>'数据-汇总表'!E3</f>
        <v>91.09</v>
      </c>
      <c r="E37" s="241">
        <f>'数据-取费表'!B35</f>
        <v>150</v>
      </c>
      <c r="F37" s="251"/>
      <c r="G37" s="253" t="s">
        <v>92</v>
      </c>
    </row>
    <row r="38" spans="1:7" ht="13.5" customHeight="1">
      <c r="A38" s="734" t="s">
        <v>354</v>
      </c>
      <c r="B38" s="207" t="s">
        <v>36</v>
      </c>
      <c r="C38" s="212">
        <f>ROUND(C34*F38,0)</f>
        <v>0</v>
      </c>
      <c r="D38" s="212"/>
      <c r="E38" s="212"/>
      <c r="F38" s="251">
        <f>'数据-取费表'!B36</f>
        <v>1.4999999999999999E-2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49" t="s">
        <v>94</v>
      </c>
    </row>
    <row r="43" spans="1:7" ht="13.5" customHeight="1">
      <c r="A43" s="734" t="s">
        <v>347</v>
      </c>
      <c r="B43" s="207" t="s">
        <v>426</v>
      </c>
      <c r="C43" s="230">
        <f ca="1">ROUND(IF('数据-取费表'!B22&lt;=1,C39*F22*'数据-取费表'!B21/2,C39*(POWER((1+F22),'数据-取费表'!B21/2)-1)),0)</f>
        <v>0</v>
      </c>
      <c r="D43" s="230"/>
      <c r="E43" s="230"/>
      <c r="F43" s="231"/>
      <c r="G43" s="3350"/>
    </row>
    <row r="44" spans="1:7" ht="13.5" customHeight="1">
      <c r="A44" s="734" t="s">
        <v>348</v>
      </c>
      <c r="B44" s="207" t="s">
        <v>428</v>
      </c>
      <c r="C44" s="230">
        <f ca="1">ROUND(IF('数据-取费表'!B22&lt;=1,C40*F22*'数据-取费表'!B21/2,C40*(POWER((1+F22),'数据-取费表'!B21/2)-1)),4)</f>
        <v>5.9999999999999995E-4</v>
      </c>
      <c r="D44" s="230"/>
      <c r="E44" s="230"/>
      <c r="F44" s="231"/>
      <c r="G44" s="3351"/>
    </row>
    <row r="45" spans="1:7" s="206" customFormat="1" ht="13.5" customHeight="1">
      <c r="A45" s="731" t="s">
        <v>341</v>
      </c>
      <c r="B45" s="236" t="s">
        <v>85</v>
      </c>
      <c r="C45" s="237">
        <f>C46</f>
        <v>3</v>
      </c>
      <c r="D45" s="227">
        <f>C47</f>
        <v>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36</v>
      </c>
      <c r="D49" s="224"/>
      <c r="E49" s="224"/>
      <c r="F49" s="256"/>
      <c r="G49" s="226" t="s">
        <v>435</v>
      </c>
    </row>
    <row r="50" spans="1:7" s="250" customFormat="1" ht="24">
      <c r="A50" s="731" t="s">
        <v>344</v>
      </c>
      <c r="B50" s="202" t="s">
        <v>97</v>
      </c>
      <c r="C50" s="224"/>
      <c r="D50" s="224"/>
      <c r="E50" s="224"/>
      <c r="F50" s="256">
        <f>IF('数据-取费表'!B24=0,'数据-取费表'!N16,1)</f>
        <v>0.95</v>
      </c>
      <c r="G50" s="239" t="s">
        <v>98</v>
      </c>
    </row>
    <row r="51" spans="1:7" ht="16.5" customHeight="1">
      <c r="A51" s="731" t="s">
        <v>345</v>
      </c>
      <c r="B51" s="202" t="s">
        <v>105</v>
      </c>
      <c r="C51" s="224">
        <f ca="1">ROUND(C49*F50,0)</f>
        <v>34</v>
      </c>
      <c r="D51" s="224"/>
      <c r="E51" s="224"/>
      <c r="F51" s="256"/>
      <c r="G51" s="226" t="s">
        <v>37</v>
      </c>
    </row>
    <row r="52" spans="1:7" s="200" customFormat="1" ht="16.5" thickBot="1">
      <c r="A52" s="257" t="s">
        <v>38</v>
      </c>
      <c r="B52" s="258"/>
      <c r="C52" s="259">
        <f ca="1">C31+C51</f>
        <v>27105</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8" t="s">
        <v>2841</v>
      </c>
      <c r="B1" s="3488"/>
      <c r="C1" s="3488"/>
      <c r="D1" s="3488"/>
      <c r="E1" s="3488"/>
      <c r="F1" s="3488"/>
      <c r="G1" s="3489"/>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86"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487"/>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90" t="s">
        <v>3183</v>
      </c>
      <c r="B1" s="3490"/>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3"/>
  </cols>
  <sheetData>
    <row r="1" spans="1:6" ht="14.25">
      <c r="A1" s="3491" t="s">
        <v>3234</v>
      </c>
      <c r="B1" s="3491"/>
      <c r="C1" s="3491"/>
      <c r="D1" s="3491"/>
      <c r="E1" s="3491"/>
      <c r="F1" s="3492"/>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7">
        <f>基准地价修正!G23</f>
        <v>39801</v>
      </c>
      <c r="B1" s="2929" t="s">
        <v>3373</v>
      </c>
      <c r="C1" s="2930"/>
      <c r="D1" s="2930"/>
      <c r="E1" s="2930"/>
      <c r="F1" s="2930"/>
      <c r="G1" s="2930"/>
      <c r="H1" s="2930"/>
      <c r="I1" s="2930"/>
      <c r="J1" s="2896"/>
      <c r="K1" s="2930" t="s">
        <v>454</v>
      </c>
      <c r="L1" s="2930"/>
      <c r="M1" s="2930"/>
      <c r="N1" s="2930"/>
      <c r="O1" s="2930"/>
      <c r="P1" s="2930"/>
      <c r="Q1" s="2896"/>
      <c r="R1" s="3493" t="s">
        <v>456</v>
      </c>
      <c r="S1" s="3494"/>
      <c r="T1" s="3494"/>
      <c r="U1" s="3494"/>
      <c r="V1" s="3494"/>
      <c r="W1" s="3494"/>
      <c r="X1" s="2896"/>
      <c r="Y1" s="3493" t="s">
        <v>457</v>
      </c>
      <c r="Z1" s="3494"/>
      <c r="AA1" s="3494"/>
      <c r="AB1" s="3494"/>
      <c r="AC1" s="3494"/>
      <c r="AD1" s="3494"/>
    </row>
    <row r="2" spans="1:30" s="2010" customFormat="1" ht="14.25" thickBot="1">
      <c r="B2" s="2881"/>
      <c r="C2" s="2882"/>
      <c r="D2" s="2011" t="s">
        <v>2812</v>
      </c>
      <c r="E2" s="2012" t="s">
        <v>2813</v>
      </c>
      <c r="F2" s="2012" t="s">
        <v>2814</v>
      </c>
      <c r="G2" s="2012" t="s">
        <v>2815</v>
      </c>
      <c r="H2" s="2012" t="s">
        <v>2816</v>
      </c>
      <c r="I2" s="2012" t="s">
        <v>2633</v>
      </c>
      <c r="J2" s="2883"/>
      <c r="K2" s="2011" t="s">
        <v>2812</v>
      </c>
      <c r="L2" s="2012" t="s">
        <v>2813</v>
      </c>
      <c r="M2" s="2012" t="s">
        <v>2814</v>
      </c>
      <c r="N2" s="2012" t="s">
        <v>2815</v>
      </c>
      <c r="O2" s="2012" t="s">
        <v>2817</v>
      </c>
      <c r="P2" s="2012" t="s">
        <v>2633</v>
      </c>
      <c r="Q2" s="2883"/>
      <c r="R2" s="2011" t="s">
        <v>2812</v>
      </c>
      <c r="S2" s="2012" t="s">
        <v>2813</v>
      </c>
      <c r="T2" s="2012" t="s">
        <v>2814</v>
      </c>
      <c r="U2" s="2012" t="s">
        <v>2818</v>
      </c>
      <c r="V2" s="2012" t="s">
        <v>2819</v>
      </c>
      <c r="W2" s="2012" t="s">
        <v>2633</v>
      </c>
      <c r="X2" s="2883"/>
      <c r="Y2" s="2011" t="s">
        <v>2812</v>
      </c>
      <c r="Z2" s="2012" t="s">
        <v>2813</v>
      </c>
      <c r="AA2" s="2012" t="s">
        <v>2814</v>
      </c>
      <c r="AB2" s="2012" t="s">
        <v>2820</v>
      </c>
      <c r="AC2" s="2012" t="s">
        <v>2819</v>
      </c>
      <c r="AD2" s="2012" t="s">
        <v>2633</v>
      </c>
    </row>
    <row r="3" spans="1:30" s="2886" customFormat="1" ht="12.75">
      <c r="A3" s="2884" t="s">
        <v>2821</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30" s="2045" customFormat="1" ht="12.75">
      <c r="A5" s="2040" t="s">
        <v>3379</v>
      </c>
      <c r="B5" s="2031">
        <v>2024</v>
      </c>
      <c r="C5" s="2042">
        <v>3</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M5</f>
        <v>0</v>
      </c>
      <c r="Q5" s="2906"/>
      <c r="R5" s="2027">
        <f>ROUND(IF(项目基本情况!$B$8="出让",SUMPRODUCT(PRODUCT(1+K5:$K$19)),SUMPRODUCT(PRODUCT(1+K5:$K$18))),4)</f>
        <v>1.0748</v>
      </c>
      <c r="S5" s="2027">
        <f>ROUND(IF(项目基本情况!$B$8="出让",SUMPRODUCT(PRODUCT(1+L5:$L$19)),SUMPRODUCT(PRODUCT(1+L5:$L$18))),4)</f>
        <v>1.0498000000000001</v>
      </c>
      <c r="T5" s="2027">
        <f>ROUND(IF(项目基本情况!$B$8="出让",SUMPRODUCT(PRODUCT(1+M5:$M$19)),SUMPRODUCT(PRODUCT(1+M5:$M$18))),4)</f>
        <v>1.0107999999999999</v>
      </c>
      <c r="U5" s="2027">
        <f>ROUND(IF(项目基本情况!$B$8="出让",SUMPRODUCT(PRODUCT(1+N5:$N$19)),SUMPRODUCT(PRODUCT(1+N5:$N$18))),4)</f>
        <v>1.0752999999999999</v>
      </c>
      <c r="V5" s="2027">
        <f>ROUND(IF(项目基本情况!$B$8="出让",SUMPRODUCT(PRODUCT(1+O5:$O$19)),SUMPRODUCT(PRODUCT(1+O5:$O$18))),4)</f>
        <v>1.0841000000000001</v>
      </c>
      <c r="W5" s="2027">
        <f>T5</f>
        <v>1.0107999999999999</v>
      </c>
      <c r="X5" s="2906"/>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6" customFormat="1" ht="12.75">
      <c r="A6" s="2907" t="s">
        <v>3380</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5" customFormat="1" ht="12.75">
      <c r="A7" s="2905" t="s">
        <v>3382</v>
      </c>
      <c r="B7" s="2031">
        <v>2024</v>
      </c>
      <c r="C7" s="2042">
        <v>1</v>
      </c>
      <c r="D7" s="2007">
        <v>0.08</v>
      </c>
      <c r="E7" s="2007">
        <v>0.46</v>
      </c>
      <c r="F7" s="2007">
        <v>-0.16</v>
      </c>
      <c r="G7" s="2007">
        <v>0.26</v>
      </c>
      <c r="H7" s="2917">
        <v>0.59</v>
      </c>
      <c r="I7" s="2008">
        <v>0</v>
      </c>
      <c r="J7" s="2906"/>
      <c r="K7" s="2043">
        <f t="shared" ref="K7" si="19">D7/100</f>
        <v>8.0000000000000004E-4</v>
      </c>
      <c r="L7" s="2028">
        <f t="shared" ref="L7" si="20">E7/100</f>
        <v>4.5999999999999999E-3</v>
      </c>
      <c r="M7" s="2028">
        <f t="shared" ref="M7" si="21">F7/100</f>
        <v>-1.6000000000000001E-3</v>
      </c>
      <c r="N7" s="2028">
        <f t="shared" ref="N7" si="22">G7/100</f>
        <v>2.5999999999999999E-3</v>
      </c>
      <c r="O7" s="2028">
        <f t="shared" ref="O7" si="23">H7/100</f>
        <v>5.8999999999999999E-3</v>
      </c>
      <c r="P7" s="2028">
        <f t="shared" ref="P7" si="24">M7</f>
        <v>-1.6000000000000001E-3</v>
      </c>
      <c r="Q7" s="2906"/>
      <c r="R7" s="2027">
        <f>ROUND(IF(项目基本情况!$B$8="出让",SUMPRODUCT(PRODUCT(1+K7:$K$19)),SUMPRODUCT(PRODUCT(1+K7:$K$18))),4)</f>
        <v>1.0811999999999999</v>
      </c>
      <c r="S7" s="2027">
        <f>ROUND(IF(项目基本情况!$B$8="出让",SUMPRODUCT(PRODUCT(1+L7:$L$19)),SUMPRODUCT(PRODUCT(1+L7:$L$18))),4)</f>
        <v>1.052</v>
      </c>
      <c r="T7" s="2027">
        <f>ROUND(IF(项目基本情况!$B$8="出让",SUMPRODUCT(PRODUCT(1+M7:$M$19)),SUMPRODUCT(PRODUCT(1+M7:$M$18))),4)</f>
        <v>1.0249999999999999</v>
      </c>
      <c r="U7" s="2027">
        <f>ROUND(IF(项目基本情况!$B$8="出让",SUMPRODUCT(PRODUCT(1+N7:$N$19)),SUMPRODUCT(PRODUCT(1+N7:$N$18))),4)</f>
        <v>1.0888</v>
      </c>
      <c r="V7" s="2027">
        <f>ROUND(IF(项目基本情况!$B$8="出让",SUMPRODUCT(PRODUCT(1+O7:$O$19)),SUMPRODUCT(PRODUCT(1+O7:$O$18))),4)</f>
        <v>1.0804</v>
      </c>
      <c r="W7" s="2027">
        <f t="shared" ref="W7" si="25">T7</f>
        <v>1.0249999999999999</v>
      </c>
      <c r="X7" s="2906"/>
      <c r="Y7" s="2028"/>
      <c r="Z7" s="2028"/>
      <c r="AA7" s="2028"/>
      <c r="AB7" s="2028"/>
      <c r="AC7" s="2028"/>
      <c r="AD7" s="2028"/>
    </row>
    <row r="8" spans="1:30" s="2045" customFormat="1" ht="12.75">
      <c r="A8" s="2905" t="s">
        <v>3377</v>
      </c>
      <c r="B8" s="2031">
        <v>2023</v>
      </c>
      <c r="C8" s="2042">
        <v>4</v>
      </c>
      <c r="D8" s="2007">
        <v>0.19</v>
      </c>
      <c r="E8" s="2007">
        <v>0.24</v>
      </c>
      <c r="F8" s="2007">
        <v>-0.16</v>
      </c>
      <c r="G8" s="2007">
        <v>0.17</v>
      </c>
      <c r="H8" s="2917">
        <v>0.61</v>
      </c>
      <c r="I8" s="2008">
        <f>F8</f>
        <v>-0.16</v>
      </c>
      <c r="J8" s="2906"/>
      <c r="K8" s="2043">
        <f t="shared" si="16"/>
        <v>1.9E-3</v>
      </c>
      <c r="L8" s="2028">
        <f t="shared" si="16"/>
        <v>2.3999999999999998E-3</v>
      </c>
      <c r="M8" s="2028">
        <f t="shared" si="16"/>
        <v>-1.6000000000000001E-3</v>
      </c>
      <c r="N8" s="2028">
        <f t="shared" si="16"/>
        <v>1.7000000000000001E-3</v>
      </c>
      <c r="O8" s="2028">
        <f t="shared" si="16"/>
        <v>6.0999999999999995E-3</v>
      </c>
      <c r="P8" s="2028">
        <f t="shared" ref="P8" si="26">M8</f>
        <v>-1.6000000000000001E-3</v>
      </c>
      <c r="Q8" s="2906"/>
      <c r="R8" s="2027">
        <f>ROUND(IF(项目基本情况!$B$8="出让",SUMPRODUCT(PRODUCT(1+K8:$K$19)),SUMPRODUCT(PRODUCT(1+K8:$K$18))),4)</f>
        <v>1.0804</v>
      </c>
      <c r="S8" s="2027">
        <f>ROUND(IF(项目基本情况!$B$8="出让",SUMPRODUCT(PRODUCT(1+L8:$L$19)),SUMPRODUCT(PRODUCT(1+L8:$L$18))),4)</f>
        <v>1.0471999999999999</v>
      </c>
      <c r="T8" s="2027">
        <f>ROUND(IF(项目基本情况!$B$8="出让",SUMPRODUCT(PRODUCT(1+M8:$M$19)),SUMPRODUCT(PRODUCT(1+M8:$M$18))),4)</f>
        <v>1.0266</v>
      </c>
      <c r="U8" s="2027">
        <f>ROUND(IF(项目基本情况!$B$8="出让",SUMPRODUCT(PRODUCT(1+N8:$N$19)),SUMPRODUCT(PRODUCT(1+N8:$N$18))),4)</f>
        <v>1.0859000000000001</v>
      </c>
      <c r="V8" s="2027">
        <f>ROUND(IF(项目基本情况!$B$8="出让",SUMPRODUCT(PRODUCT(1+O8:$O$19)),SUMPRODUCT(PRODUCT(1+O8:$O$18))),4)</f>
        <v>1.0741000000000001</v>
      </c>
      <c r="W8" s="2027">
        <f t="shared" ref="W8" si="27">T8</f>
        <v>1.0266</v>
      </c>
      <c r="X8" s="2906"/>
      <c r="Y8" s="2028"/>
      <c r="Z8" s="2028"/>
      <c r="AA8" s="2028"/>
      <c r="AB8" s="2028"/>
      <c r="AC8" s="2028"/>
      <c r="AD8" s="2028"/>
    </row>
    <row r="9" spans="1:30" s="2045" customFormat="1" ht="12.75">
      <c r="A9" s="2905" t="s">
        <v>3376</v>
      </c>
      <c r="B9" s="2031">
        <v>2023</v>
      </c>
      <c r="C9" s="2042">
        <v>3</v>
      </c>
      <c r="D9" s="2007">
        <v>0.25</v>
      </c>
      <c r="E9" s="2007">
        <v>0.5</v>
      </c>
      <c r="F9" s="2007">
        <v>0.31</v>
      </c>
      <c r="G9" s="2007">
        <v>0.21</v>
      </c>
      <c r="H9" s="2917">
        <v>0.43</v>
      </c>
      <c r="I9" s="2008">
        <f t="shared" si="15"/>
        <v>0.31</v>
      </c>
      <c r="J9" s="2906"/>
      <c r="K9" s="2043">
        <f t="shared" ref="K9:K11" si="28">D9/100</f>
        <v>2.5000000000000001E-3</v>
      </c>
      <c r="L9" s="2028">
        <f t="shared" ref="L9:L11" si="29">E9/100</f>
        <v>5.0000000000000001E-3</v>
      </c>
      <c r="M9" s="2028">
        <f t="shared" ref="M9:M11" si="30">F9/100</f>
        <v>3.0999999999999999E-3</v>
      </c>
      <c r="N9" s="2028">
        <f t="shared" ref="N9:N11" si="31">G9/100</f>
        <v>2.0999999999999999E-3</v>
      </c>
      <c r="O9" s="2028">
        <f t="shared" ref="O9:O11" si="32">H9/100</f>
        <v>4.3E-3</v>
      </c>
      <c r="P9" s="2028">
        <f t="shared" ref="P9:P11" si="33">M9</f>
        <v>3.0999999999999999E-3</v>
      </c>
      <c r="Q9" s="2906"/>
      <c r="R9" s="2027">
        <f>ROUND(IF(项目基本情况!$B$8="出让",SUMPRODUCT(PRODUCT(1+K9:$K$19)),SUMPRODUCT(PRODUCT(1+K9:$K$18))),4)</f>
        <v>1.0783</v>
      </c>
      <c r="S9" s="2027">
        <f>ROUND(IF(项目基本情况!$B$8="出让",SUMPRODUCT(PRODUCT(1+L9:$L$19)),SUMPRODUCT(PRODUCT(1+L9:$L$18))),4)</f>
        <v>1.0447</v>
      </c>
      <c r="T9" s="2027">
        <f>ROUND(IF(项目基本情况!$B$8="出让",SUMPRODUCT(PRODUCT(1+M9:$M$19)),SUMPRODUCT(PRODUCT(1+M9:$M$18))),4)</f>
        <v>1.0282</v>
      </c>
      <c r="U9" s="2027">
        <f>ROUND(IF(项目基本情况!$B$8="出让",SUMPRODUCT(PRODUCT(1+N9:$N$19)),SUMPRODUCT(PRODUCT(1+N9:$N$18))),4)</f>
        <v>1.0841000000000001</v>
      </c>
      <c r="V9" s="2027">
        <f>ROUND(IF(项目基本情况!$B$8="出让",SUMPRODUCT(PRODUCT(1+O9:$O$19)),SUMPRODUCT(PRODUCT(1+O9:$O$18))),4)</f>
        <v>1.0674999999999999</v>
      </c>
      <c r="W9" s="2027">
        <f t="shared" ref="W9:W10" si="34">T9</f>
        <v>1.0282</v>
      </c>
      <c r="X9" s="2906"/>
      <c r="Y9" s="2028"/>
      <c r="Z9" s="2028"/>
      <c r="AA9" s="2028"/>
      <c r="AB9" s="2028"/>
      <c r="AC9" s="2028"/>
      <c r="AD9" s="2028"/>
    </row>
    <row r="10" spans="1:30" s="2045" customFormat="1" ht="12.75">
      <c r="A10" s="2905" t="s">
        <v>3372</v>
      </c>
      <c r="B10" s="2031">
        <v>2023</v>
      </c>
      <c r="C10" s="2042">
        <v>2</v>
      </c>
      <c r="D10" s="2007">
        <v>0.91</v>
      </c>
      <c r="E10" s="2007">
        <v>0.66</v>
      </c>
      <c r="F10" s="2007">
        <v>0.47</v>
      </c>
      <c r="G10" s="2007">
        <v>0.96</v>
      </c>
      <c r="H10" s="2917">
        <v>0.71</v>
      </c>
      <c r="I10" s="2008">
        <f t="shared" si="15"/>
        <v>0.47</v>
      </c>
      <c r="J10" s="2906"/>
      <c r="K10" s="2043">
        <f t="shared" si="28"/>
        <v>9.1000000000000004E-3</v>
      </c>
      <c r="L10" s="2028">
        <f t="shared" si="29"/>
        <v>6.6E-3</v>
      </c>
      <c r="M10" s="2028">
        <f t="shared" si="30"/>
        <v>4.6999999999999993E-3</v>
      </c>
      <c r="N10" s="2028">
        <f t="shared" si="31"/>
        <v>9.5999999999999992E-3</v>
      </c>
      <c r="O10" s="2028">
        <f t="shared" si="32"/>
        <v>7.0999999999999995E-3</v>
      </c>
      <c r="P10" s="2028">
        <f t="shared" si="33"/>
        <v>4.6999999999999993E-3</v>
      </c>
      <c r="Q10" s="2906"/>
      <c r="R10" s="2027">
        <f>ROUND(IF(项目基本情况!$B$8="出让",SUMPRODUCT(PRODUCT(1+K10:$K$19)),SUMPRODUCT(PRODUCT(1+K10:$K$18))),4)</f>
        <v>1.0755999999999999</v>
      </c>
      <c r="S10" s="2027">
        <f>ROUND(IF(项目基本情况!$B$8="出让",SUMPRODUCT(PRODUCT(1+L10:$L$19)),SUMPRODUCT(PRODUCT(1+L10:$L$18))),4)</f>
        <v>1.0395000000000001</v>
      </c>
      <c r="T10" s="2027">
        <f>ROUND(IF(项目基本情况!$B$8="出让",SUMPRODUCT(PRODUCT(1+M10:$M$19)),SUMPRODUCT(PRODUCT(1+M10:$M$18))),4)</f>
        <v>1.0250999999999999</v>
      </c>
      <c r="U10" s="2027">
        <f>ROUND(IF(项目基本情况!$B$8="出让",SUMPRODUCT(PRODUCT(1+N10:$N$19)),SUMPRODUCT(PRODUCT(1+N10:$N$18))),4)</f>
        <v>1.0818000000000001</v>
      </c>
      <c r="V10" s="2027">
        <f>ROUND(IF(项目基本情况!$B$8="出让",SUMPRODUCT(PRODUCT(1+O10:$O$19)),SUMPRODUCT(PRODUCT(1+O10:$O$18))),4)</f>
        <v>1.0629999999999999</v>
      </c>
      <c r="W10" s="2027">
        <f t="shared" si="34"/>
        <v>1.0250999999999999</v>
      </c>
      <c r="X10" s="2906"/>
      <c r="Y10" s="2028"/>
      <c r="Z10" s="2028"/>
      <c r="AA10" s="2028"/>
      <c r="AB10" s="2028"/>
      <c r="AC10" s="2028"/>
      <c r="AD10" s="2028"/>
    </row>
    <row r="11" spans="1:30" s="2045" customFormat="1" ht="12.75">
      <c r="A11" s="2905" t="s">
        <v>3371</v>
      </c>
      <c r="B11" s="2031">
        <v>2023</v>
      </c>
      <c r="C11" s="2042">
        <v>1</v>
      </c>
      <c r="D11" s="2007">
        <v>0.89</v>
      </c>
      <c r="E11" s="2007">
        <v>0.74</v>
      </c>
      <c r="F11" s="2007">
        <v>0.56999999999999995</v>
      </c>
      <c r="G11" s="2007">
        <v>0.92</v>
      </c>
      <c r="H11" s="2917">
        <v>0.5</v>
      </c>
      <c r="I11" s="2008">
        <f t="shared" si="15"/>
        <v>0.56999999999999995</v>
      </c>
      <c r="J11" s="2906"/>
      <c r="K11" s="2043">
        <f t="shared" si="28"/>
        <v>8.8999999999999999E-3</v>
      </c>
      <c r="L11" s="2028">
        <f t="shared" si="29"/>
        <v>7.4000000000000003E-3</v>
      </c>
      <c r="M11" s="2028">
        <f t="shared" si="30"/>
        <v>5.6999999999999993E-3</v>
      </c>
      <c r="N11" s="2028">
        <f t="shared" si="31"/>
        <v>9.1999999999999998E-3</v>
      </c>
      <c r="O11" s="2028">
        <f t="shared" si="32"/>
        <v>5.0000000000000001E-3</v>
      </c>
      <c r="P11" s="2028">
        <f t="shared" si="33"/>
        <v>5.6999999999999993E-3</v>
      </c>
      <c r="Q11" s="2906"/>
      <c r="R11" s="2027">
        <f>ROUND(IF(项目基本情况!$B$8="出让",SUMPRODUCT(PRODUCT(1+K11:$K$19)),SUMPRODUCT(PRODUCT(1+K11:$K$18))),4)</f>
        <v>1.0659000000000001</v>
      </c>
      <c r="S11" s="2027">
        <f>ROUND(IF(项目基本情况!$B$8="出让",SUMPRODUCT(PRODUCT(1+L11:$L$19)),SUMPRODUCT(PRODUCT(1+L11:$L$18))),4)</f>
        <v>1.0326</v>
      </c>
      <c r="T11" s="2027">
        <f>ROUND(IF(项目基本情况!$B$8="出让",SUMPRODUCT(PRODUCT(1+M11:$M$19)),SUMPRODUCT(PRODUCT(1+M11:$M$18))),4)</f>
        <v>1.0203</v>
      </c>
      <c r="U11" s="2027">
        <f>ROUND(IF(项目基本情况!$B$8="出让",SUMPRODUCT(PRODUCT(1+N11:$N$19)),SUMPRODUCT(PRODUCT(1+N11:$N$18))),4)</f>
        <v>1.0714999999999999</v>
      </c>
      <c r="V11" s="2027">
        <f>ROUND(IF(项目基本情况!$B$8="出让",SUMPRODUCT(PRODUCT(1+O11:$O$19)),SUMPRODUCT(PRODUCT(1+O11:$O$18))),4)</f>
        <v>1.0555000000000001</v>
      </c>
      <c r="W11" s="2027">
        <f t="shared" ref="W11:W18" si="35">T11</f>
        <v>1.0203</v>
      </c>
      <c r="X11" s="2906"/>
      <c r="Y11" s="2028"/>
      <c r="Z11" s="2028"/>
      <c r="AA11" s="2028"/>
      <c r="AB11" s="2028"/>
      <c r="AC11" s="2028"/>
      <c r="AD11" s="2028"/>
    </row>
    <row r="12" spans="1:30" s="2045" customFormat="1" ht="12.75">
      <c r="A12" s="2905" t="s">
        <v>3370</v>
      </c>
      <c r="B12" s="2031">
        <v>2022</v>
      </c>
      <c r="C12" s="2042">
        <v>4</v>
      </c>
      <c r="D12" s="2007">
        <v>0.62</v>
      </c>
      <c r="E12" s="2007">
        <v>0.2</v>
      </c>
      <c r="F12" s="2007">
        <v>0.11</v>
      </c>
      <c r="G12" s="2007">
        <v>0.69</v>
      </c>
      <c r="H12" s="2917">
        <v>0.53</v>
      </c>
      <c r="I12" s="2008">
        <f t="shared" si="15"/>
        <v>0.11</v>
      </c>
      <c r="J12" s="2906"/>
      <c r="K12" s="2043">
        <f t="shared" si="16"/>
        <v>6.1999999999999998E-3</v>
      </c>
      <c r="L12" s="2028">
        <f t="shared" si="16"/>
        <v>2E-3</v>
      </c>
      <c r="M12" s="2028">
        <f t="shared" si="16"/>
        <v>1.1000000000000001E-3</v>
      </c>
      <c r="N12" s="2028">
        <f t="shared" si="16"/>
        <v>6.8999999999999999E-3</v>
      </c>
      <c r="O12" s="2028">
        <f t="shared" si="16"/>
        <v>5.3E-3</v>
      </c>
      <c r="P12" s="2028">
        <f t="shared" ref="P12:P19" si="36">M12</f>
        <v>1.1000000000000001E-3</v>
      </c>
      <c r="Q12" s="2906"/>
      <c r="R12" s="2027">
        <f>ROUND(IF(项目基本情况!$B$8="出让",SUMPRODUCT(PRODUCT(1+K12:$K$19)),SUMPRODUCT(PRODUCT(1+K12:$K$18))),4)</f>
        <v>1.0565</v>
      </c>
      <c r="S12" s="2027">
        <f>ROUND(IF(项目基本情况!$B$8="出让",SUMPRODUCT(PRODUCT(1+L12:$L$19)),SUMPRODUCT(PRODUCT(1+L12:$L$18))),4)</f>
        <v>1.0250999999999999</v>
      </c>
      <c r="T12" s="2027">
        <f>ROUND(IF(项目基本情况!$B$8="出让",SUMPRODUCT(PRODUCT(1+M12:$M$19)),SUMPRODUCT(PRODUCT(1+M12:$M$18))),4)</f>
        <v>1.0145</v>
      </c>
      <c r="U12" s="2027">
        <f>ROUND(IF(项目基本情况!$B$8="出让",SUMPRODUCT(PRODUCT(1+N12:$N$19)),SUMPRODUCT(PRODUCT(1+N12:$N$18))),4)</f>
        <v>1.0618000000000001</v>
      </c>
      <c r="V12" s="2027">
        <f>ROUND(IF(项目基本情况!$B$8="出让",SUMPRODUCT(PRODUCT(1+O12:$O$19)),SUMPRODUCT(PRODUCT(1+O12:$O$18))),4)</f>
        <v>1.0502</v>
      </c>
      <c r="W12" s="2027">
        <f t="shared" si="35"/>
        <v>1.0145</v>
      </c>
      <c r="X12" s="2906"/>
      <c r="Y12" s="2028">
        <f>IF(D12=0,0,ROUND(AVERAGE(D12:D20)/100,4))</f>
        <v>8.0999999999999996E-3</v>
      </c>
      <c r="Z12" s="2028">
        <f t="shared" ref="Z12:AC12" si="37">IF(E12=0,0,ROUND(AVERAGE(E12:E19)/100,4))</f>
        <v>3.3E-3</v>
      </c>
      <c r="AA12" s="2028">
        <f t="shared" si="37"/>
        <v>1.5E-3</v>
      </c>
      <c r="AB12" s="2028">
        <f t="shared" si="37"/>
        <v>8.8999999999999999E-3</v>
      </c>
      <c r="AC12" s="2028">
        <f t="shared" si="37"/>
        <v>6.6E-3</v>
      </c>
      <c r="AD12" s="2028">
        <f t="shared" si="18"/>
        <v>1.5E-3</v>
      </c>
    </row>
    <row r="13" spans="1:30" s="2045" customFormat="1" ht="12.75">
      <c r="A13" s="2905" t="s">
        <v>3366</v>
      </c>
      <c r="B13" s="2031">
        <v>2022</v>
      </c>
      <c r="C13" s="2042">
        <v>3</v>
      </c>
      <c r="D13" s="2007">
        <v>0.66</v>
      </c>
      <c r="E13" s="2007">
        <v>0.32</v>
      </c>
      <c r="F13" s="2007">
        <v>0.23</v>
      </c>
      <c r="G13" s="2007">
        <v>0.72</v>
      </c>
      <c r="H13" s="2917">
        <v>0.63</v>
      </c>
      <c r="I13" s="2008">
        <f t="shared" si="15"/>
        <v>0.23</v>
      </c>
      <c r="J13" s="2906"/>
      <c r="K13" s="2043">
        <f t="shared" si="16"/>
        <v>6.6E-3</v>
      </c>
      <c r="L13" s="2028">
        <f t="shared" si="16"/>
        <v>3.2000000000000002E-3</v>
      </c>
      <c r="M13" s="2028">
        <f t="shared" si="16"/>
        <v>2.3E-3</v>
      </c>
      <c r="N13" s="2028">
        <f t="shared" si="16"/>
        <v>7.1999999999999998E-3</v>
      </c>
      <c r="O13" s="2028">
        <f t="shared" si="16"/>
        <v>6.3E-3</v>
      </c>
      <c r="P13" s="2028">
        <f t="shared" si="36"/>
        <v>2.3E-3</v>
      </c>
      <c r="Q13" s="2906"/>
      <c r="R13" s="2027">
        <f>ROUND(IF(项目基本情况!$B$8="出让",SUMPRODUCT(PRODUCT(1+K13:$K$19)),SUMPRODUCT(PRODUCT(1+K13:$K$18))),4)</f>
        <v>1.05</v>
      </c>
      <c r="S13" s="2027">
        <f>ROUND(IF(项目基本情况!$B$8="出让",SUMPRODUCT(PRODUCT(1+L13:$L$19)),SUMPRODUCT(PRODUCT(1+L13:$L$18))),4)</f>
        <v>1.0229999999999999</v>
      </c>
      <c r="T13" s="2027">
        <f>ROUND(IF(项目基本情况!$B$8="出让",SUMPRODUCT(PRODUCT(1+M13:$M$19)),SUMPRODUCT(PRODUCT(1+M13:$M$18))),4)</f>
        <v>1.0134000000000001</v>
      </c>
      <c r="U13" s="2027">
        <f>ROUND(IF(项目基本情况!$B$8="出让",SUMPRODUCT(PRODUCT(1+N13:$N$19)),SUMPRODUCT(PRODUCT(1+N13:$N$18))),4)</f>
        <v>1.0545</v>
      </c>
      <c r="V13" s="2027">
        <f>ROUND(IF(项目基本情况!$B$8="出让",SUMPRODUCT(PRODUCT(1+O13:$O$19)),SUMPRODUCT(PRODUCT(1+O13:$O$18))),4)</f>
        <v>1.0447</v>
      </c>
      <c r="W13" s="2027">
        <f t="shared" si="35"/>
        <v>1.0134000000000001</v>
      </c>
      <c r="X13" s="2906"/>
      <c r="Y13" s="2028">
        <f>IF(D13=0,0,ROUND(AVERAGE(D13:D19)/100,4))</f>
        <v>8.3999999999999995E-3</v>
      </c>
      <c r="Z13" s="2028">
        <f t="shared" ref="Z13:AC13" si="38">IF(E13=0,0,ROUND(AVERAGE(E13:E19)/100,4))</f>
        <v>3.5000000000000001E-3</v>
      </c>
      <c r="AA13" s="2028">
        <f t="shared" si="38"/>
        <v>1.5E-3</v>
      </c>
      <c r="AB13" s="2028">
        <f t="shared" si="38"/>
        <v>9.1999999999999998E-3</v>
      </c>
      <c r="AC13" s="2028">
        <f t="shared" si="38"/>
        <v>6.7999999999999996E-3</v>
      </c>
      <c r="AD13" s="2028">
        <f t="shared" si="18"/>
        <v>1.5E-3</v>
      </c>
    </row>
    <row r="14" spans="1:30" s="2045" customFormat="1" ht="12.75">
      <c r="A14" s="2905" t="s">
        <v>3357</v>
      </c>
      <c r="B14" s="2031">
        <v>2022</v>
      </c>
      <c r="C14" s="2042">
        <v>2</v>
      </c>
      <c r="D14" s="2007">
        <v>0.93</v>
      </c>
      <c r="E14" s="2007">
        <v>0.15</v>
      </c>
      <c r="F14" s="2007">
        <v>0.01</v>
      </c>
      <c r="G14" s="2007">
        <v>1.05</v>
      </c>
      <c r="H14" s="2917">
        <v>1.08</v>
      </c>
      <c r="I14" s="2008">
        <f t="shared" si="15"/>
        <v>0.01</v>
      </c>
      <c r="J14" s="2906"/>
      <c r="K14" s="2043">
        <f t="shared" si="16"/>
        <v>9.300000000000001E-3</v>
      </c>
      <c r="L14" s="2028">
        <f t="shared" si="16"/>
        <v>1.5E-3</v>
      </c>
      <c r="M14" s="2028">
        <f t="shared" si="16"/>
        <v>1E-4</v>
      </c>
      <c r="N14" s="2028">
        <f t="shared" si="16"/>
        <v>1.0500000000000001E-2</v>
      </c>
      <c r="O14" s="2028">
        <f t="shared" si="16"/>
        <v>1.0800000000000001E-2</v>
      </c>
      <c r="P14" s="2028">
        <f t="shared" si="36"/>
        <v>1E-4</v>
      </c>
      <c r="Q14" s="2906"/>
      <c r="R14" s="2027">
        <f>ROUND(IF(项目基本情况!$B$8="出让",SUMPRODUCT(PRODUCT(1+K14:$K$19)),SUMPRODUCT(PRODUCT(1+K14:$K$18))),4)</f>
        <v>1.0430999999999999</v>
      </c>
      <c r="S14" s="2027">
        <f>ROUND(IF(项目基本情况!$B$8="出让",SUMPRODUCT(PRODUCT(1+L14:$L$19)),SUMPRODUCT(PRODUCT(1+L14:$L$18))),4)</f>
        <v>1.0197000000000001</v>
      </c>
      <c r="T14" s="2027">
        <f>ROUND(IF(项目基本情况!$B$8="出让",SUMPRODUCT(PRODUCT(1+M14:$M$19)),SUMPRODUCT(PRODUCT(1+M14:$M$18))),4)</f>
        <v>1.0109999999999999</v>
      </c>
      <c r="U14" s="2027">
        <f>ROUND(IF(项目基本情况!$B$8="出让",SUMPRODUCT(PRODUCT(1+N14:$N$19)),SUMPRODUCT(PRODUCT(1+N14:$N$18))),4)</f>
        <v>1.0468999999999999</v>
      </c>
      <c r="V14" s="2027">
        <f>ROUND(IF(项目基本情况!$B$8="出让",SUMPRODUCT(PRODUCT(1+O14:$O$19)),SUMPRODUCT(PRODUCT(1+O14:$O$18))),4)</f>
        <v>1.0382</v>
      </c>
      <c r="W14" s="2027">
        <f t="shared" si="35"/>
        <v>1.0109999999999999</v>
      </c>
      <c r="X14" s="2906"/>
      <c r="Y14" s="2028">
        <f>IF(D14=0,0,ROUND(AVERAGE(D14:D19)/100,4))</f>
        <v>8.6999999999999994E-3</v>
      </c>
      <c r="Z14" s="2028">
        <f t="shared" ref="Z14:AC14" si="39">IF(E14=0,0,ROUND(AVERAGE(E14:E19)/100,4))</f>
        <v>3.5000000000000001E-3</v>
      </c>
      <c r="AA14" s="2028">
        <f t="shared" si="39"/>
        <v>1.4E-3</v>
      </c>
      <c r="AB14" s="2028">
        <f t="shared" si="39"/>
        <v>9.4999999999999998E-3</v>
      </c>
      <c r="AC14" s="2028">
        <f t="shared" si="39"/>
        <v>6.8999999999999999E-3</v>
      </c>
      <c r="AD14" s="2028">
        <f t="shared" si="18"/>
        <v>1.4E-3</v>
      </c>
    </row>
    <row r="15" spans="1:30" s="2045" customFormat="1" ht="12.75">
      <c r="A15" s="2905" t="s">
        <v>2822</v>
      </c>
      <c r="B15" s="2031">
        <v>2022</v>
      </c>
      <c r="C15" s="2042">
        <v>1</v>
      </c>
      <c r="D15" s="2007">
        <v>0.89</v>
      </c>
      <c r="E15" s="2007">
        <v>0.44</v>
      </c>
      <c r="F15" s="2007">
        <v>0.37</v>
      </c>
      <c r="G15" s="2007">
        <v>0.96</v>
      </c>
      <c r="H15" s="2917">
        <v>0.64</v>
      </c>
      <c r="I15" s="2008">
        <f t="shared" si="15"/>
        <v>0.37</v>
      </c>
      <c r="J15" s="2906"/>
      <c r="K15" s="2043">
        <f t="shared" si="16"/>
        <v>8.8999999999999999E-3</v>
      </c>
      <c r="L15" s="2028">
        <f t="shared" si="16"/>
        <v>4.4000000000000003E-3</v>
      </c>
      <c r="M15" s="2028">
        <f t="shared" si="16"/>
        <v>3.7000000000000002E-3</v>
      </c>
      <c r="N15" s="2028">
        <f t="shared" si="16"/>
        <v>9.5999999999999992E-3</v>
      </c>
      <c r="O15" s="2028">
        <f t="shared" si="16"/>
        <v>6.4000000000000003E-3</v>
      </c>
      <c r="P15" s="2028">
        <f t="shared" si="36"/>
        <v>3.7000000000000002E-3</v>
      </c>
      <c r="Q15" s="2906"/>
      <c r="R15" s="2027">
        <f>ROUND(IF(项目基本情况!$B$8="出让",SUMPRODUCT(PRODUCT(1+K15:$K$19)),SUMPRODUCT(PRODUCT(1+K15:$K$18))),4)</f>
        <v>1.0335000000000001</v>
      </c>
      <c r="S15" s="2027">
        <f>ROUND(IF(项目基本情况!$B$8="出让",SUMPRODUCT(PRODUCT(1+L15:$L$19)),SUMPRODUCT(PRODUCT(1+L15:$L$18))),4)</f>
        <v>1.0182</v>
      </c>
      <c r="T15" s="2027">
        <f>ROUND(IF(项目基本情况!$B$8="出让",SUMPRODUCT(PRODUCT(1+M15:$M$19)),SUMPRODUCT(PRODUCT(1+M15:$M$18))),4)</f>
        <v>1.0108999999999999</v>
      </c>
      <c r="U15" s="2027">
        <f>ROUND(IF(项目基本情况!$B$8="出让",SUMPRODUCT(PRODUCT(1+N15:$N$19)),SUMPRODUCT(PRODUCT(1+N15:$N$18))),4)</f>
        <v>1.0361</v>
      </c>
      <c r="V15" s="2027">
        <f>ROUND(IF(项目基本情况!$B$8="出让",SUMPRODUCT(PRODUCT(1+O15:$O$19)),SUMPRODUCT(PRODUCT(1+O15:$O$18))),4)</f>
        <v>1.0270999999999999</v>
      </c>
      <c r="W15" s="2027">
        <f t="shared" si="35"/>
        <v>1.0108999999999999</v>
      </c>
      <c r="X15" s="2906"/>
      <c r="Y15" s="2028">
        <f>IF(D15=0,0,ROUND(AVERAGE(D15:D19)/100,4))</f>
        <v>8.6E-3</v>
      </c>
      <c r="Z15" s="2028">
        <f t="shared" ref="Z15:AC15" si="40">IF(E15=0,0,ROUND(AVERAGE(E15:E19)/100,4))</f>
        <v>3.8999999999999998E-3</v>
      </c>
      <c r="AA15" s="2028">
        <f t="shared" si="40"/>
        <v>1.6999999999999999E-3</v>
      </c>
      <c r="AB15" s="2028">
        <f t="shared" si="40"/>
        <v>9.2999999999999992E-3</v>
      </c>
      <c r="AC15" s="2028">
        <f t="shared" si="40"/>
        <v>6.1000000000000004E-3</v>
      </c>
      <c r="AD15" s="2028">
        <f t="shared" si="18"/>
        <v>1.6999999999999999E-3</v>
      </c>
    </row>
    <row r="16" spans="1:30" s="2045" customFormat="1" ht="12.75">
      <c r="A16" s="2905" t="s">
        <v>2823</v>
      </c>
      <c r="B16" s="2031">
        <v>2021</v>
      </c>
      <c r="C16" s="2042">
        <v>4</v>
      </c>
      <c r="D16" s="2007">
        <v>1.03</v>
      </c>
      <c r="E16" s="2007">
        <v>0.24</v>
      </c>
      <c r="F16" s="2007">
        <v>7.0000000000000007E-2</v>
      </c>
      <c r="G16" s="2007">
        <v>1.17</v>
      </c>
      <c r="H16" s="2917">
        <v>0.55000000000000004</v>
      </c>
      <c r="I16" s="2008">
        <f t="shared" si="15"/>
        <v>7.0000000000000007E-2</v>
      </c>
      <c r="J16" s="2906"/>
      <c r="K16" s="2043">
        <f t="shared" si="16"/>
        <v>1.03E-2</v>
      </c>
      <c r="L16" s="2028">
        <f t="shared" si="16"/>
        <v>2.3999999999999998E-3</v>
      </c>
      <c r="M16" s="2028">
        <f t="shared" si="16"/>
        <v>7.000000000000001E-4</v>
      </c>
      <c r="N16" s="2028">
        <f t="shared" si="16"/>
        <v>1.1699999999999999E-2</v>
      </c>
      <c r="O16" s="2028">
        <f t="shared" si="16"/>
        <v>5.5000000000000005E-3</v>
      </c>
      <c r="P16" s="2028">
        <f t="shared" si="36"/>
        <v>7.000000000000001E-4</v>
      </c>
      <c r="Q16" s="2906"/>
      <c r="R16" s="2027">
        <f>ROUND(IF(项目基本情况!$B$8="出让",SUMPRODUCT(PRODUCT(1+K16:$K$19)),SUMPRODUCT(PRODUCT(1+K16:$K$18))),4)</f>
        <v>1.0244</v>
      </c>
      <c r="S16" s="2027">
        <f>ROUND(IF(项目基本情况!$B$8="出让",SUMPRODUCT(PRODUCT(1+L16:$L$19)),SUMPRODUCT(PRODUCT(1+L16:$L$18))),4)</f>
        <v>1.0138</v>
      </c>
      <c r="T16" s="2027">
        <f>ROUND(IF(项目基本情况!$B$8="出让",SUMPRODUCT(PRODUCT(1+M16:$M$19)),SUMPRODUCT(PRODUCT(1+M16:$M$18))),4)</f>
        <v>1.0072000000000001</v>
      </c>
      <c r="U16" s="2027">
        <f>ROUND(IF(项目基本情况!$B$8="出让",SUMPRODUCT(PRODUCT(1+N16:$N$19)),SUMPRODUCT(PRODUCT(1+N16:$N$18))),4)</f>
        <v>1.0262</v>
      </c>
      <c r="V16" s="2027">
        <f>ROUND(IF(项目基本情况!$B$8="出让",SUMPRODUCT(PRODUCT(1+O16:$O$19)),SUMPRODUCT(PRODUCT(1+O16:$O$18))),4)</f>
        <v>1.0205</v>
      </c>
      <c r="W16" s="2027">
        <f t="shared" si="35"/>
        <v>1.0072000000000001</v>
      </c>
      <c r="X16" s="2906"/>
      <c r="Y16" s="2028">
        <f>IF(D16=0,0,ROUND(AVERAGE(D16:D19)/100,4))</f>
        <v>8.5000000000000006E-3</v>
      </c>
      <c r="Z16" s="2028">
        <f t="shared" ref="Z16:AC16" si="41">IF(E16=0,0,ROUND(AVERAGE(E16:E19)/100,4))</f>
        <v>3.8E-3</v>
      </c>
      <c r="AA16" s="2028">
        <f t="shared" si="41"/>
        <v>1.1999999999999999E-3</v>
      </c>
      <c r="AB16" s="2028">
        <f t="shared" si="41"/>
        <v>9.2999999999999992E-3</v>
      </c>
      <c r="AC16" s="2028">
        <f t="shared" si="41"/>
        <v>6.0000000000000001E-3</v>
      </c>
      <c r="AD16" s="2028">
        <f t="shared" si="18"/>
        <v>1.1999999999999999E-3</v>
      </c>
    </row>
    <row r="17" spans="1:30" s="2045" customFormat="1" ht="12.75">
      <c r="A17" s="2905" t="s">
        <v>2824</v>
      </c>
      <c r="B17" s="2031">
        <v>2021</v>
      </c>
      <c r="C17" s="2042">
        <v>3</v>
      </c>
      <c r="D17" s="2007">
        <v>0.47</v>
      </c>
      <c r="E17" s="2007">
        <v>0.41</v>
      </c>
      <c r="F17" s="2007">
        <v>0.24</v>
      </c>
      <c r="G17" s="2007">
        <v>0.48</v>
      </c>
      <c r="H17" s="2917">
        <v>0.48</v>
      </c>
      <c r="I17" s="2008">
        <f t="shared" si="15"/>
        <v>0.24</v>
      </c>
      <c r="J17" s="2906"/>
      <c r="K17" s="2043">
        <f t="shared" si="16"/>
        <v>4.6999999999999993E-3</v>
      </c>
      <c r="L17" s="2028">
        <f t="shared" si="16"/>
        <v>4.0999999999999995E-3</v>
      </c>
      <c r="M17" s="2028">
        <f t="shared" si="16"/>
        <v>2.3999999999999998E-3</v>
      </c>
      <c r="N17" s="2028">
        <f t="shared" si="16"/>
        <v>4.7999999999999996E-3</v>
      </c>
      <c r="O17" s="2028">
        <f t="shared" si="16"/>
        <v>4.7999999999999996E-3</v>
      </c>
      <c r="P17" s="2028">
        <f t="shared" si="36"/>
        <v>2.3999999999999998E-3</v>
      </c>
      <c r="Q17" s="2906"/>
      <c r="R17" s="2027">
        <f>ROUND(IF(项目基本情况!$B$8="出让",SUMPRODUCT(PRODUCT(1+K17:$K$19)),SUMPRODUCT(PRODUCT(1+K17:$K$18))),4)</f>
        <v>1.0139</v>
      </c>
      <c r="S17" s="2027">
        <f>ROUND(IF(项目基本情况!$B$8="出让",SUMPRODUCT(PRODUCT(1+L17:$L$19)),SUMPRODUCT(PRODUCT(1+L17:$L$18))),4)</f>
        <v>1.0113000000000001</v>
      </c>
      <c r="T17" s="2027">
        <f>ROUND(IF(项目基本情况!$B$8="出让",SUMPRODUCT(PRODUCT(1+M17:$M$19)),SUMPRODUCT(PRODUCT(1+M17:$M$18))),4)</f>
        <v>1.0065</v>
      </c>
      <c r="U17" s="2027">
        <f>ROUND(IF(项目基本情况!$B$8="出让",SUMPRODUCT(PRODUCT(1+N17:$N$19)),SUMPRODUCT(PRODUCT(1+N17:$N$18))),4)</f>
        <v>1.0143</v>
      </c>
      <c r="V17" s="2027">
        <f>ROUND(IF(项目基本情况!$B$8="出让",SUMPRODUCT(PRODUCT(1+O17:$O$19)),SUMPRODUCT(PRODUCT(1+O17:$O$18))),4)</f>
        <v>1.0148999999999999</v>
      </c>
      <c r="W17" s="2027">
        <f t="shared" si="35"/>
        <v>1.0065</v>
      </c>
      <c r="X17" s="2906"/>
      <c r="Y17" s="2028">
        <f>IF(D17=0,0,ROUND(AVERAGE(D17:D19)/100,4))</f>
        <v>7.9000000000000008E-3</v>
      </c>
      <c r="Z17" s="2028">
        <f>IF(E17=0,0,ROUND(AVERAGE(E17:E19)/100,4))</f>
        <v>4.3E-3</v>
      </c>
      <c r="AA17" s="2028">
        <f>IF(F17=0,0,ROUND(AVERAGE(F17:F19)/100,4))</f>
        <v>1.2999999999999999E-3</v>
      </c>
      <c r="AB17" s="2028">
        <f>IF(G17=0,0,ROUND(AVERAGE(G17:G19)/100,4))</f>
        <v>8.5000000000000006E-3</v>
      </c>
      <c r="AC17" s="2028">
        <f>IF(H17=0,0,ROUND(AVERAGE(H17:H19)/100,4))</f>
        <v>6.1999999999999998E-3</v>
      </c>
      <c r="AD17" s="2028">
        <f t="shared" si="18"/>
        <v>1.2999999999999999E-3</v>
      </c>
    </row>
    <row r="18" spans="1:30" s="2045" customFormat="1" ht="12.75">
      <c r="A18" s="2905" t="s">
        <v>2825</v>
      </c>
      <c r="B18" s="2031">
        <v>2021</v>
      </c>
      <c r="C18" s="2042">
        <v>2</v>
      </c>
      <c r="D18" s="2007">
        <v>0.92</v>
      </c>
      <c r="E18" s="2007">
        <v>0.72</v>
      </c>
      <c r="F18" s="2007">
        <v>0.41</v>
      </c>
      <c r="G18" s="2007">
        <v>0.95</v>
      </c>
      <c r="H18" s="2917">
        <v>1.01</v>
      </c>
      <c r="I18" s="2008">
        <f t="shared" si="15"/>
        <v>0.41</v>
      </c>
      <c r="J18" s="2906"/>
      <c r="K18" s="2043">
        <f t="shared" si="16"/>
        <v>9.1999999999999998E-3</v>
      </c>
      <c r="L18" s="2028">
        <f t="shared" si="16"/>
        <v>7.1999999999999998E-3</v>
      </c>
      <c r="M18" s="2028">
        <f t="shared" si="16"/>
        <v>4.0999999999999995E-3</v>
      </c>
      <c r="N18" s="2028">
        <f t="shared" si="16"/>
        <v>9.4999999999999998E-3</v>
      </c>
      <c r="O18" s="2028">
        <f t="shared" si="16"/>
        <v>1.01E-2</v>
      </c>
      <c r="P18" s="2028">
        <f t="shared" si="36"/>
        <v>4.0999999999999995E-3</v>
      </c>
      <c r="Q18" s="2906"/>
      <c r="R18" s="2027">
        <f>ROUND(IF(项目基本情况!$B$8="出让",SUMPRODUCT(PRODUCT(1+K18:$K$19)),SUMPRODUCT(PRODUCT(1+K18:$K$18))),4)</f>
        <v>1.0092000000000001</v>
      </c>
      <c r="S18" s="2027">
        <f>ROUND(IF(项目基本情况!$B$8="出让",SUMPRODUCT(PRODUCT(1+L18:$L$19)),SUMPRODUCT(PRODUCT(1+L18:$L$18))),4)</f>
        <v>1.0072000000000001</v>
      </c>
      <c r="T18" s="2027">
        <f>ROUND(IF(项目基本情况!$B$8="出让",SUMPRODUCT(PRODUCT(1+M18:$M$19)),SUMPRODUCT(PRODUCT(1+M18:$M$18))),4)</f>
        <v>1.0041</v>
      </c>
      <c r="U18" s="2027">
        <f>ROUND(IF(项目基本情况!$B$8="出让",SUMPRODUCT(PRODUCT(1+N18:$N$19)),SUMPRODUCT(PRODUCT(1+N18:$N$18))),4)</f>
        <v>1.0095000000000001</v>
      </c>
      <c r="V18" s="2027">
        <f>ROUND(IF(项目基本情况!$B$8="出让",SUMPRODUCT(PRODUCT(1+O18:$O$19)),SUMPRODUCT(PRODUCT(1+O18:$O$18))),4)</f>
        <v>1.0101</v>
      </c>
      <c r="W18" s="2027">
        <f t="shared" si="35"/>
        <v>1.0041</v>
      </c>
      <c r="X18" s="2906"/>
      <c r="Y18" s="2028">
        <f>IF(D18=0,0,ROUND(AVERAGE(D18:D19)/100,4))</f>
        <v>9.4999999999999998E-3</v>
      </c>
      <c r="Z18" s="2028">
        <f>IF(E18=0,0,ROUND(AVERAGE(E18:E19)/100,4))</f>
        <v>4.4000000000000003E-3</v>
      </c>
      <c r="AA18" s="2028">
        <f>IF(F18=0,0,ROUND(AVERAGE(F18:F19)/100,4))</f>
        <v>8.0000000000000004E-4</v>
      </c>
      <c r="AB18" s="2028">
        <f>IF(G18=0,0,ROUND(AVERAGE(G18:G19)/100,4))</f>
        <v>1.03E-2</v>
      </c>
      <c r="AC18" s="2028">
        <f>IF(H18=0,0,ROUND(AVERAGE(H18:H19)/100,4))</f>
        <v>6.8999999999999999E-3</v>
      </c>
      <c r="AD18" s="2028">
        <f t="shared" si="18"/>
        <v>8.0000000000000004E-4</v>
      </c>
    </row>
    <row r="19" spans="1:30" s="2928" customFormat="1" thickBot="1">
      <c r="A19" s="2918" t="s">
        <v>2826</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3368</v>
      </c>
    </row>
    <row r="22" spans="1:30">
      <c r="I22" s="1405" t="s">
        <v>2827</v>
      </c>
    </row>
    <row r="24" spans="1:30" s="2009" customFormat="1" ht="12.75">
      <c r="B24" s="2929" t="s">
        <v>3374</v>
      </c>
      <c r="C24" s="2930"/>
      <c r="D24" s="2930"/>
      <c r="E24" s="2930"/>
      <c r="F24" s="2930"/>
      <c r="G24" s="2930"/>
      <c r="H24" s="2930"/>
      <c r="I24" s="2930"/>
      <c r="J24" s="2896"/>
      <c r="K24" s="2930" t="s">
        <v>2828</v>
      </c>
      <c r="L24" s="2930"/>
      <c r="M24" s="2930"/>
      <c r="N24" s="2930"/>
      <c r="O24" s="2930"/>
      <c r="P24" s="2930"/>
      <c r="Q24" s="2896"/>
      <c r="R24" s="3493" t="s">
        <v>2829</v>
      </c>
      <c r="S24" s="3494"/>
      <c r="T24" s="3494"/>
      <c r="U24" s="3494"/>
      <c r="V24" s="3494"/>
      <c r="W24" s="3494"/>
      <c r="X24" s="2896"/>
      <c r="Y24" s="3493" t="s">
        <v>2830</v>
      </c>
      <c r="Z24" s="3494"/>
      <c r="AA24" s="3494"/>
      <c r="AB24" s="3494"/>
      <c r="AC24" s="3494"/>
      <c r="AD24" s="3494"/>
    </row>
    <row r="25" spans="1:30" s="2010" customFormat="1" ht="14.25" thickBot="1">
      <c r="B25" s="2881"/>
      <c r="C25" s="2882"/>
      <c r="D25" s="2011" t="s">
        <v>2831</v>
      </c>
      <c r="E25" s="2012" t="s">
        <v>2832</v>
      </c>
      <c r="F25" s="2012" t="s">
        <v>2833</v>
      </c>
      <c r="G25" s="2012" t="s">
        <v>2834</v>
      </c>
      <c r="H25" s="2012"/>
      <c r="I25" s="2012" t="s">
        <v>2835</v>
      </c>
      <c r="J25" s="2883"/>
      <c r="K25" s="2011" t="s">
        <v>2831</v>
      </c>
      <c r="L25" s="2012" t="s">
        <v>2832</v>
      </c>
      <c r="M25" s="2012" t="s">
        <v>2833</v>
      </c>
      <c r="N25" s="2012" t="s">
        <v>2834</v>
      </c>
      <c r="O25" s="2012"/>
      <c r="P25" s="2012" t="s">
        <v>2835</v>
      </c>
      <c r="Q25" s="2883"/>
      <c r="R25" s="2011" t="s">
        <v>2831</v>
      </c>
      <c r="S25" s="2012" t="s">
        <v>2832</v>
      </c>
      <c r="T25" s="2012" t="s">
        <v>2833</v>
      </c>
      <c r="U25" s="2012" t="s">
        <v>2834</v>
      </c>
      <c r="V25" s="2012"/>
      <c r="W25" s="2012" t="s">
        <v>2835</v>
      </c>
      <c r="X25" s="2883"/>
      <c r="Y25" s="2011" t="s">
        <v>2831</v>
      </c>
      <c r="Z25" s="2012" t="s">
        <v>2832</v>
      </c>
      <c r="AA25" s="2012" t="s">
        <v>2833</v>
      </c>
      <c r="AB25" s="2012" t="s">
        <v>2834</v>
      </c>
      <c r="AC25" s="2012"/>
      <c r="AD25" s="2012" t="s">
        <v>2835</v>
      </c>
    </row>
    <row r="26" spans="1:30" s="2886" customFormat="1" ht="12.75">
      <c r="A26" s="2884" t="s">
        <v>2836</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9" customFormat="1" ht="12.75">
      <c r="B27" s="2025"/>
      <c r="J27" s="2896"/>
      <c r="K27" s="2897"/>
      <c r="L27" s="2898"/>
      <c r="M27" s="2898"/>
      <c r="N27" s="2898"/>
      <c r="O27" s="2898"/>
      <c r="P27" s="2898"/>
      <c r="Q27" s="2896"/>
      <c r="R27" s="2027"/>
      <c r="S27" s="2899"/>
      <c r="T27" s="2900"/>
      <c r="U27" s="2027"/>
      <c r="V27" s="2901"/>
      <c r="W27" s="2027"/>
      <c r="X27" s="2896"/>
      <c r="Y27" s="2028"/>
      <c r="Z27" s="2902"/>
      <c r="AA27" s="2903"/>
      <c r="AB27" s="2028"/>
      <c r="AC27" s="2904"/>
      <c r="AD27" s="2028"/>
    </row>
    <row r="28" spans="1:30" s="2045" customFormat="1" ht="12.75">
      <c r="A28" s="2040" t="s">
        <v>3379</v>
      </c>
      <c r="B28" s="2031">
        <v>2024</v>
      </c>
      <c r="C28" s="2042">
        <v>3</v>
      </c>
      <c r="D28" s="2007"/>
      <c r="E28" s="2007">
        <v>0</v>
      </c>
      <c r="F28" s="2007">
        <v>0</v>
      </c>
      <c r="G28" s="2007">
        <v>0</v>
      </c>
      <c r="H28" s="2007"/>
      <c r="I28" s="2008">
        <f t="shared" ref="I28" si="47">F28</f>
        <v>0</v>
      </c>
      <c r="J28" s="2906"/>
      <c r="K28" s="2043"/>
      <c r="L28" s="2028">
        <f t="shared" ref="L28" si="48">E28/100</f>
        <v>0</v>
      </c>
      <c r="M28" s="2028">
        <f t="shared" ref="M28" si="49">F28/100</f>
        <v>0</v>
      </c>
      <c r="N28" s="2028">
        <f t="shared" ref="N28" si="50">G28/100</f>
        <v>0</v>
      </c>
      <c r="O28" s="2028"/>
      <c r="P28" s="2028">
        <f>M28</f>
        <v>0</v>
      </c>
      <c r="Q28" s="2906"/>
      <c r="R28" s="2027"/>
      <c r="S28" s="2027">
        <f>ROUND(IF(项目基本情况!$B$8="出让",SUMPRODUCT(PRODUCT(1+L28:L$42)),SUMPRODUCT(PRODUCT(1+L28:L$41))),4)</f>
        <v>1.0432999999999999</v>
      </c>
      <c r="T28" s="2027">
        <f>ROUND(IF(项目基本情况!$B$8="出让",SUMPRODUCT(PRODUCT(1+M28:M$42)),SUMPRODUCT(PRODUCT(1+M28:M$41))),4)</f>
        <v>1.0298</v>
      </c>
      <c r="U28" s="2027">
        <f>ROUND(IF(项目基本情况!$B$8="出让",SUMPRODUCT(PRODUCT(1+N28:N$42)),SUMPRODUCT(PRODUCT(1+N28:N$41))),4)</f>
        <v>1.079</v>
      </c>
      <c r="V28" s="2027"/>
      <c r="W28" s="2027">
        <f>T28</f>
        <v>1.0298</v>
      </c>
      <c r="X28" s="2906"/>
      <c r="Y28" s="2028"/>
      <c r="Z28" s="2902">
        <f t="shared" ref="Z28:AB29" si="51">IF(E28=0,0,ROUND(AVERAGE(E28:E41)/100,4))</f>
        <v>0</v>
      </c>
      <c r="AA28" s="2902">
        <f t="shared" si="51"/>
        <v>0</v>
      </c>
      <c r="AB28" s="2902">
        <f t="shared" si="51"/>
        <v>0</v>
      </c>
      <c r="AC28" s="2904"/>
      <c r="AD28" s="2028">
        <f>IF(I28=0,0,ROUND(AVERAGE(I28:I41)/100,4))</f>
        <v>0</v>
      </c>
    </row>
    <row r="29" spans="1:30" s="2916" customFormat="1" ht="12.75">
      <c r="A29" s="2907" t="s">
        <v>3380</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5" customFormat="1" ht="12.75">
      <c r="A30" s="2905" t="s">
        <v>3381</v>
      </c>
      <c r="B30" s="2031">
        <v>2024</v>
      </c>
      <c r="C30" s="2042">
        <v>1</v>
      </c>
      <c r="D30" s="2007"/>
      <c r="E30" s="2007">
        <v>0.25</v>
      </c>
      <c r="F30" s="2007">
        <v>0.4</v>
      </c>
      <c r="G30" s="2007">
        <v>-0.63</v>
      </c>
      <c r="H30" s="2917"/>
      <c r="I30" s="2008">
        <f t="shared" ref="I30:I31" si="54">F30</f>
        <v>0.4</v>
      </c>
      <c r="J30" s="2906"/>
      <c r="K30" s="2043"/>
      <c r="L30" s="2028">
        <f t="shared" ref="L30" si="55">E30/100</f>
        <v>2.5000000000000001E-3</v>
      </c>
      <c r="M30" s="2028">
        <f t="shared" ref="M30" si="56">F30/100</f>
        <v>4.0000000000000001E-3</v>
      </c>
      <c r="N30" s="2028">
        <f t="shared" ref="N30" si="57">G30/100</f>
        <v>-6.3E-3</v>
      </c>
      <c r="O30" s="2028"/>
      <c r="P30" s="2028">
        <f t="shared" ref="P30" si="58">M30</f>
        <v>4.0000000000000001E-3</v>
      </c>
      <c r="Q30" s="2906"/>
      <c r="R30" s="2027"/>
      <c r="S30" s="2027">
        <f>ROUND(IF(项目基本情况!$B$8="出让",SUMPRODUCT(PRODUCT(1+L30:L$42)),SUMPRODUCT(PRODUCT(1+L30:L$41))),4)</f>
        <v>1.0465</v>
      </c>
      <c r="T30" s="2027">
        <f>ROUND(IF(项目基本情况!$B$8="出让",SUMPRODUCT(PRODUCT(1+M30:M$42)),SUMPRODUCT(PRODUCT(1+M30:M$41))),4)</f>
        <v>1.0338000000000001</v>
      </c>
      <c r="U30" s="2027">
        <f>ROUND(IF(项目基本情况!$B$8="出让",SUMPRODUCT(PRODUCT(1+N30:N$42)),SUMPRODUCT(PRODUCT(1+N30:N$41))),4)</f>
        <v>1.0659000000000001</v>
      </c>
      <c r="V30" s="2027"/>
      <c r="W30" s="2027">
        <f t="shared" ref="W30" si="59">T30</f>
        <v>1.0338000000000001</v>
      </c>
      <c r="X30" s="2906"/>
      <c r="Y30" s="2028"/>
      <c r="Z30" s="2902"/>
      <c r="AA30" s="2903"/>
      <c r="AB30" s="2028"/>
      <c r="AC30" s="2904"/>
      <c r="AD30" s="2028"/>
    </row>
    <row r="31" spans="1:30" s="2045" customFormat="1" ht="12.75">
      <c r="A31" s="2905" t="s">
        <v>3378</v>
      </c>
      <c r="B31" s="2031">
        <v>2023</v>
      </c>
      <c r="C31" s="2042">
        <v>4</v>
      </c>
      <c r="D31" s="2007"/>
      <c r="E31" s="2007">
        <v>7.0000000000000007E-2</v>
      </c>
      <c r="F31" s="2007">
        <v>0.09</v>
      </c>
      <c r="G31" s="2007">
        <v>0.03</v>
      </c>
      <c r="H31" s="2917"/>
      <c r="I31" s="2008">
        <f t="shared" si="54"/>
        <v>0.09</v>
      </c>
      <c r="J31" s="2906"/>
      <c r="K31" s="2043"/>
      <c r="L31" s="2028">
        <f t="shared" si="53"/>
        <v>7.000000000000001E-4</v>
      </c>
      <c r="M31" s="2028">
        <f t="shared" si="53"/>
        <v>8.9999999999999998E-4</v>
      </c>
      <c r="N31" s="2028">
        <f t="shared" si="53"/>
        <v>2.9999999999999997E-4</v>
      </c>
      <c r="O31" s="2028"/>
      <c r="P31" s="2028">
        <f t="shared" ref="P31" si="60">M31</f>
        <v>8.9999999999999998E-4</v>
      </c>
      <c r="Q31" s="2906"/>
      <c r="R31" s="2027"/>
      <c r="S31" s="2027">
        <f>ROUND(IF(项目基本情况!$B$8="出让",SUMPRODUCT(PRODUCT(1+L31:L$42)),SUMPRODUCT(PRODUCT(1+L31:L$41))),4)</f>
        <v>1.0439000000000001</v>
      </c>
      <c r="T31" s="2027">
        <f>ROUND(IF(项目基本情况!$B$8="出让",SUMPRODUCT(PRODUCT(1+M31:M$42)),SUMPRODUCT(PRODUCT(1+M31:M$41))),4)</f>
        <v>1.0297000000000001</v>
      </c>
      <c r="U31" s="2027">
        <f>ROUND(IF(项目基本情况!$B$8="出让",SUMPRODUCT(PRODUCT(1+N31:N$42)),SUMPRODUCT(PRODUCT(1+N31:N$41))),4)</f>
        <v>1.0727</v>
      </c>
      <c r="V31" s="2027"/>
      <c r="W31" s="2027">
        <f t="shared" ref="W31" si="61">T31</f>
        <v>1.0297000000000001</v>
      </c>
      <c r="X31" s="2906"/>
      <c r="Y31" s="2028"/>
      <c r="Z31" s="2902"/>
      <c r="AA31" s="2903"/>
      <c r="AB31" s="2028"/>
      <c r="AC31" s="2904"/>
      <c r="AD31" s="2028"/>
    </row>
    <row r="32" spans="1:30" s="2045" customFormat="1" ht="12.75">
      <c r="A32" s="2905" t="s">
        <v>3376</v>
      </c>
      <c r="B32" s="2031">
        <v>2023</v>
      </c>
      <c r="C32" s="2042">
        <v>3</v>
      </c>
      <c r="D32" s="2007"/>
      <c r="E32" s="2007">
        <v>0.35</v>
      </c>
      <c r="F32" s="2007">
        <v>0.17</v>
      </c>
      <c r="G32" s="2007">
        <v>0.52</v>
      </c>
      <c r="H32" s="2917"/>
      <c r="I32" s="2008">
        <f t="shared" si="52"/>
        <v>0.17</v>
      </c>
      <c r="J32" s="2906"/>
      <c r="K32" s="2043"/>
      <c r="L32" s="2028">
        <f t="shared" ref="L32:L34" si="62">E32/100</f>
        <v>3.4999999999999996E-3</v>
      </c>
      <c r="M32" s="2028">
        <f t="shared" ref="M32:M34" si="63">F32/100</f>
        <v>1.7000000000000001E-3</v>
      </c>
      <c r="N32" s="2028">
        <f t="shared" ref="N32:N34" si="64">G32/100</f>
        <v>5.1999999999999998E-3</v>
      </c>
      <c r="O32" s="2028"/>
      <c r="P32" s="2028">
        <f t="shared" ref="P32:P34" si="65">M32</f>
        <v>1.7000000000000001E-3</v>
      </c>
      <c r="Q32" s="2906"/>
      <c r="R32" s="2027"/>
      <c r="S32" s="2027">
        <f>ROUND(IF(项目基本情况!$B$8="出让",SUMPRODUCT(PRODUCT(1+L32:L$42)),SUMPRODUCT(PRODUCT(1+L32:L$41))),4)</f>
        <v>1.0431999999999999</v>
      </c>
      <c r="T32" s="2027">
        <f>ROUND(IF(项目基本情况!$B$8="出让",SUMPRODUCT(PRODUCT(1+M32:M$42)),SUMPRODUCT(PRODUCT(1+M32:M$41))),4)</f>
        <v>1.0286999999999999</v>
      </c>
      <c r="U32" s="2027">
        <f>ROUND(IF(项目基本情况!$B$8="出让",SUMPRODUCT(PRODUCT(1+N32:N$42)),SUMPRODUCT(PRODUCT(1+N32:N$41))),4)</f>
        <v>1.0723</v>
      </c>
      <c r="V32" s="2027"/>
      <c r="W32" s="2027">
        <f t="shared" ref="W32:W34" si="66">T32</f>
        <v>1.0286999999999999</v>
      </c>
      <c r="X32" s="2906"/>
      <c r="Y32" s="2028"/>
      <c r="Z32" s="2902"/>
      <c r="AA32" s="2903"/>
      <c r="AB32" s="2028"/>
      <c r="AC32" s="2904"/>
      <c r="AD32" s="2028"/>
    </row>
    <row r="33" spans="1:30" s="2045" customFormat="1" ht="12.75">
      <c r="A33" s="2905" t="s">
        <v>3375</v>
      </c>
      <c r="B33" s="2031">
        <v>2023</v>
      </c>
      <c r="C33" s="2042">
        <v>2</v>
      </c>
      <c r="D33" s="2007"/>
      <c r="E33" s="2007">
        <v>0.5</v>
      </c>
      <c r="F33" s="2007">
        <v>0.45</v>
      </c>
      <c r="G33" s="2007">
        <v>0.89</v>
      </c>
      <c r="H33" s="2917"/>
      <c r="I33" s="2008">
        <f t="shared" si="52"/>
        <v>0.45</v>
      </c>
      <c r="J33" s="2906"/>
      <c r="K33" s="2043"/>
      <c r="L33" s="2028">
        <f t="shared" si="62"/>
        <v>5.0000000000000001E-3</v>
      </c>
      <c r="M33" s="2028">
        <f t="shared" si="63"/>
        <v>4.5000000000000005E-3</v>
      </c>
      <c r="N33" s="2028">
        <f t="shared" si="64"/>
        <v>8.8999999999999999E-3</v>
      </c>
      <c r="O33" s="2028"/>
      <c r="P33" s="2028">
        <f t="shared" si="65"/>
        <v>4.5000000000000005E-3</v>
      </c>
      <c r="Q33" s="2906"/>
      <c r="R33" s="2027"/>
      <c r="S33" s="2027">
        <f>ROUND(IF(项目基本情况!$B$8="出让",SUMPRODUCT(PRODUCT(1+L33:L$42)),SUMPRODUCT(PRODUCT(1+L33:L$41))),4)</f>
        <v>1.0396000000000001</v>
      </c>
      <c r="T33" s="2027">
        <f>ROUND(IF(项目基本情况!$B$8="出让",SUMPRODUCT(PRODUCT(1+M33:M$42)),SUMPRODUCT(PRODUCT(1+M33:M$41))),4)</f>
        <v>1.0269999999999999</v>
      </c>
      <c r="U33" s="2027">
        <f>ROUND(IF(项目基本情况!$B$8="出让",SUMPRODUCT(PRODUCT(1+N33:N$42)),SUMPRODUCT(PRODUCT(1+N33:N$41))),4)</f>
        <v>1.0668</v>
      </c>
      <c r="V33" s="2027"/>
      <c r="W33" s="2027">
        <f t="shared" si="66"/>
        <v>1.0269999999999999</v>
      </c>
      <c r="X33" s="2906"/>
      <c r="Y33" s="2028"/>
      <c r="Z33" s="2902"/>
      <c r="AA33" s="2903"/>
      <c r="AB33" s="2028"/>
      <c r="AC33" s="2904"/>
      <c r="AD33" s="2028"/>
    </row>
    <row r="34" spans="1:30" s="2045" customFormat="1" ht="12.75">
      <c r="A34" s="2905" t="s">
        <v>3371</v>
      </c>
      <c r="B34" s="2031">
        <v>2023</v>
      </c>
      <c r="C34" s="2042">
        <v>1</v>
      </c>
      <c r="D34" s="2007"/>
      <c r="E34" s="2007">
        <v>0.55000000000000004</v>
      </c>
      <c r="F34" s="2007">
        <v>0.59</v>
      </c>
      <c r="G34" s="2007">
        <v>0.64</v>
      </c>
      <c r="H34" s="2917"/>
      <c r="I34" s="2008">
        <f t="shared" si="52"/>
        <v>0.59</v>
      </c>
      <c r="J34" s="2906"/>
      <c r="K34" s="2043"/>
      <c r="L34" s="2028">
        <f t="shared" si="62"/>
        <v>5.5000000000000005E-3</v>
      </c>
      <c r="M34" s="2028">
        <f t="shared" si="63"/>
        <v>5.8999999999999999E-3</v>
      </c>
      <c r="N34" s="2028">
        <f t="shared" si="64"/>
        <v>6.4000000000000003E-3</v>
      </c>
      <c r="O34" s="2028"/>
      <c r="P34" s="2028">
        <f t="shared" si="65"/>
        <v>5.8999999999999999E-3</v>
      </c>
      <c r="Q34" s="2906"/>
      <c r="R34" s="2027"/>
      <c r="S34" s="2027">
        <f>ROUND(IF(项目基本情况!$B$8="出让",SUMPRODUCT(PRODUCT(1+L34:L$42)),SUMPRODUCT(PRODUCT(1+L34:L$41))),4)</f>
        <v>1.0344</v>
      </c>
      <c r="T34" s="2027">
        <f>ROUND(IF(项目基本情况!$B$8="出让",SUMPRODUCT(PRODUCT(1+M34:M$42)),SUMPRODUCT(PRODUCT(1+M34:M$41))),4)</f>
        <v>1.0224</v>
      </c>
      <c r="U34" s="2027">
        <f>ROUND(IF(项目基本情况!$B$8="出让",SUMPRODUCT(PRODUCT(1+N34:N$42)),SUMPRODUCT(PRODUCT(1+N34:N$41))),4)</f>
        <v>1.0573999999999999</v>
      </c>
      <c r="V34" s="2027"/>
      <c r="W34" s="2027">
        <f t="shared" si="66"/>
        <v>1.0224</v>
      </c>
      <c r="X34" s="2906"/>
      <c r="Y34" s="2028"/>
      <c r="Z34" s="2902"/>
      <c r="AA34" s="2903"/>
      <c r="AB34" s="2028"/>
      <c r="AC34" s="2904"/>
      <c r="AD34" s="2028"/>
    </row>
    <row r="35" spans="1:30" s="2045" customFormat="1" ht="12.75">
      <c r="A35" s="2905" t="s">
        <v>3370</v>
      </c>
      <c r="B35" s="2031">
        <v>2022</v>
      </c>
      <c r="C35" s="2042">
        <v>4</v>
      </c>
      <c r="D35" s="2007"/>
      <c r="E35" s="2007">
        <v>0.45</v>
      </c>
      <c r="F35" s="2007">
        <v>0.2</v>
      </c>
      <c r="G35" s="2007">
        <v>0.38</v>
      </c>
      <c r="H35" s="2917"/>
      <c r="I35" s="2008">
        <f t="shared" si="52"/>
        <v>0.2</v>
      </c>
      <c r="J35" s="2906"/>
      <c r="K35" s="2043"/>
      <c r="L35" s="2028">
        <f t="shared" si="53"/>
        <v>4.5000000000000005E-3</v>
      </c>
      <c r="M35" s="2028">
        <f t="shared" si="53"/>
        <v>2E-3</v>
      </c>
      <c r="N35" s="2028">
        <f t="shared" si="53"/>
        <v>3.8E-3</v>
      </c>
      <c r="O35" s="2028"/>
      <c r="P35" s="2028">
        <f t="shared" ref="P35:P42" si="67">M35</f>
        <v>2E-3</v>
      </c>
      <c r="Q35" s="2906"/>
      <c r="R35" s="2027"/>
      <c r="S35" s="2027">
        <f>ROUND(IF(项目基本情况!$B$8="出让",SUMPRODUCT(PRODUCT(1+L35:L$42)),SUMPRODUCT(PRODUCT(1+L35:L$41))),4)</f>
        <v>1.0286999999999999</v>
      </c>
      <c r="T35" s="2027">
        <f>ROUND(IF(项目基本情况!$B$8="出让",SUMPRODUCT(PRODUCT(1+M35:M$42)),SUMPRODUCT(PRODUCT(1+M35:M$41))),4)</f>
        <v>1.0164</v>
      </c>
      <c r="U35" s="2027">
        <f>ROUND(IF(项目基本情况!$B$8="出让",SUMPRODUCT(PRODUCT(1+N35:N$42)),SUMPRODUCT(PRODUCT(1+N35:N$41))),4)</f>
        <v>1.0506</v>
      </c>
      <c r="V35" s="2027"/>
      <c r="W35" s="2027">
        <f t="shared" ref="W35:W42" si="68">T35</f>
        <v>1.0164</v>
      </c>
      <c r="X35" s="2906"/>
      <c r="Y35" s="2028"/>
      <c r="Z35" s="2902">
        <f t="shared" ref="Z35:AD42" si="69">IF(E35=0,0,ROUND(AVERAGE(E35:E43)/100,4))</f>
        <v>4.0000000000000001E-3</v>
      </c>
      <c r="AA35" s="2903">
        <f t="shared" si="69"/>
        <v>2.5999999999999999E-3</v>
      </c>
      <c r="AB35" s="2028">
        <f t="shared" si="69"/>
        <v>7.4000000000000003E-3</v>
      </c>
      <c r="AC35" s="2904"/>
      <c r="AD35" s="2028">
        <f t="shared" si="69"/>
        <v>2.5999999999999999E-3</v>
      </c>
    </row>
    <row r="36" spans="1:30" s="2045" customFormat="1" ht="12.75">
      <c r="A36" s="2905" t="s">
        <v>3367</v>
      </c>
      <c r="B36" s="2031">
        <v>2022</v>
      </c>
      <c r="C36" s="2042">
        <v>3</v>
      </c>
      <c r="D36" s="2007"/>
      <c r="E36" s="2007">
        <v>0.3</v>
      </c>
      <c r="F36" s="2007">
        <v>0.28999999999999998</v>
      </c>
      <c r="G36" s="2007">
        <v>0.83</v>
      </c>
      <c r="H36" s="2917"/>
      <c r="I36" s="2008">
        <f t="shared" si="52"/>
        <v>0.28999999999999998</v>
      </c>
      <c r="J36" s="2906"/>
      <c r="K36" s="2043"/>
      <c r="L36" s="2028">
        <f t="shared" si="53"/>
        <v>3.0000000000000001E-3</v>
      </c>
      <c r="M36" s="2028">
        <f t="shared" si="53"/>
        <v>2.8999999999999998E-3</v>
      </c>
      <c r="N36" s="2028">
        <f t="shared" si="53"/>
        <v>8.3000000000000001E-3</v>
      </c>
      <c r="O36" s="2028"/>
      <c r="P36" s="2028">
        <f t="shared" si="67"/>
        <v>2.8999999999999998E-3</v>
      </c>
      <c r="Q36" s="2906"/>
      <c r="R36" s="2027"/>
      <c r="S36" s="2027">
        <f>ROUND(IF(项目基本情况!$B$8="出让",SUMPRODUCT(PRODUCT(1+L36:L$42)),SUMPRODUCT(PRODUCT(1+L36:L$41))),4)</f>
        <v>1.0241</v>
      </c>
      <c r="T36" s="2027">
        <f>ROUND(IF(项目基本情况!$B$8="出让",SUMPRODUCT(PRODUCT(1+M36:M$42)),SUMPRODUCT(PRODUCT(1+M36:M$41))),4)</f>
        <v>1.0144</v>
      </c>
      <c r="U36" s="2027">
        <f>ROUND(IF(项目基本情况!$B$8="出让",SUMPRODUCT(PRODUCT(1+N36:N$42)),SUMPRODUCT(PRODUCT(1+N36:N$41))),4)</f>
        <v>1.0467</v>
      </c>
      <c r="V36" s="2027"/>
      <c r="W36" s="2027">
        <f t="shared" si="68"/>
        <v>1.0144</v>
      </c>
      <c r="X36" s="2906"/>
      <c r="Y36" s="2028"/>
      <c r="Z36" s="2902">
        <f t="shared" si="69"/>
        <v>3.8999999999999998E-3</v>
      </c>
      <c r="AA36" s="2903">
        <f t="shared" si="69"/>
        <v>2.7000000000000001E-3</v>
      </c>
      <c r="AB36" s="2028">
        <f t="shared" si="69"/>
        <v>7.9000000000000008E-3</v>
      </c>
      <c r="AC36" s="2904"/>
      <c r="AD36" s="2028">
        <f t="shared" si="69"/>
        <v>2.7000000000000001E-3</v>
      </c>
    </row>
    <row r="37" spans="1:30" s="2045" customFormat="1" ht="12.75">
      <c r="A37" s="2905" t="s">
        <v>3357</v>
      </c>
      <c r="B37" s="2031">
        <v>2022</v>
      </c>
      <c r="C37" s="2042">
        <v>2</v>
      </c>
      <c r="D37" s="2007"/>
      <c r="E37" s="2007">
        <v>-0.11</v>
      </c>
      <c r="F37" s="2007">
        <v>-0.13</v>
      </c>
      <c r="G37" s="2007">
        <v>0.53</v>
      </c>
      <c r="H37" s="2917"/>
      <c r="I37" s="2008">
        <f t="shared" si="52"/>
        <v>-0.13</v>
      </c>
      <c r="J37" s="2906"/>
      <c r="K37" s="2043"/>
      <c r="L37" s="2028">
        <f t="shared" si="53"/>
        <v>-1.1000000000000001E-3</v>
      </c>
      <c r="M37" s="2028">
        <f t="shared" si="53"/>
        <v>-1.2999999999999999E-3</v>
      </c>
      <c r="N37" s="2028">
        <f t="shared" si="53"/>
        <v>5.3E-3</v>
      </c>
      <c r="O37" s="2028"/>
      <c r="P37" s="2028">
        <f t="shared" si="67"/>
        <v>-1.2999999999999999E-3</v>
      </c>
      <c r="Q37" s="2906"/>
      <c r="R37" s="2027"/>
      <c r="S37" s="2027">
        <f>ROUND(IF(项目基本情况!$B$8="出让",SUMPRODUCT(PRODUCT(1+L37:L$42)),SUMPRODUCT(PRODUCT(1+L37:L$41))),4)</f>
        <v>1.0210999999999999</v>
      </c>
      <c r="T37" s="2027">
        <f>ROUND(IF(项目基本情况!$B$8="出让",SUMPRODUCT(PRODUCT(1+M37:M$42)),SUMPRODUCT(PRODUCT(1+M37:M$41))),4)</f>
        <v>1.0114000000000001</v>
      </c>
      <c r="U37" s="2027">
        <f>ROUND(IF(项目基本情况!$B$8="出让",SUMPRODUCT(PRODUCT(1+N37:N$42)),SUMPRODUCT(PRODUCT(1+N37:N$41))),4)</f>
        <v>1.0381</v>
      </c>
      <c r="V37" s="2027"/>
      <c r="W37" s="2027">
        <f t="shared" si="68"/>
        <v>1.0114000000000001</v>
      </c>
      <c r="X37" s="2906"/>
      <c r="Y37" s="2028"/>
      <c r="Z37" s="2902">
        <f t="shared" si="69"/>
        <v>4.1000000000000003E-3</v>
      </c>
      <c r="AA37" s="2903">
        <f t="shared" si="69"/>
        <v>2.7000000000000001E-3</v>
      </c>
      <c r="AB37" s="2028">
        <f t="shared" si="69"/>
        <v>7.9000000000000008E-3</v>
      </c>
      <c r="AC37" s="2904"/>
      <c r="AD37" s="2028">
        <f t="shared" si="69"/>
        <v>2.7000000000000001E-3</v>
      </c>
    </row>
    <row r="38" spans="1:30" s="2045" customFormat="1" ht="12.75">
      <c r="A38" s="2905" t="s">
        <v>2837</v>
      </c>
      <c r="B38" s="2031">
        <v>2022</v>
      </c>
      <c r="C38" s="2042">
        <v>1</v>
      </c>
      <c r="D38" s="2007"/>
      <c r="E38" s="2007">
        <v>0.6</v>
      </c>
      <c r="F38" s="2007">
        <v>0.45</v>
      </c>
      <c r="G38" s="2007">
        <v>0.53</v>
      </c>
      <c r="H38" s="2917"/>
      <c r="I38" s="2008">
        <f t="shared" si="52"/>
        <v>0.45</v>
      </c>
      <c r="J38" s="2906"/>
      <c r="K38" s="2043"/>
      <c r="L38" s="2028">
        <f t="shared" si="53"/>
        <v>6.0000000000000001E-3</v>
      </c>
      <c r="M38" s="2028">
        <f t="shared" si="53"/>
        <v>4.5000000000000005E-3</v>
      </c>
      <c r="N38" s="2028">
        <f t="shared" si="53"/>
        <v>5.3E-3</v>
      </c>
      <c r="O38" s="2028"/>
      <c r="P38" s="2028">
        <f t="shared" si="67"/>
        <v>4.5000000000000005E-3</v>
      </c>
      <c r="Q38" s="2906"/>
      <c r="R38" s="2027"/>
      <c r="S38" s="2027">
        <f>ROUND(IF(项目基本情况!$B$8="出让",SUMPRODUCT(PRODUCT(1+L38:L$42)),SUMPRODUCT(PRODUCT(1+L38:L$41))),4)</f>
        <v>1.0222</v>
      </c>
      <c r="T38" s="2027">
        <f>ROUND(IF(项目基本情况!$B$8="出让",SUMPRODUCT(PRODUCT(1+M38:M$42)),SUMPRODUCT(PRODUCT(1+M38:M$41))),4)</f>
        <v>1.0127999999999999</v>
      </c>
      <c r="U38" s="2027">
        <f>ROUND(IF(项目基本情况!$B$8="出让",SUMPRODUCT(PRODUCT(1+N38:N$42)),SUMPRODUCT(PRODUCT(1+N38:N$41))),4)</f>
        <v>1.0326</v>
      </c>
      <c r="V38" s="2027"/>
      <c r="W38" s="2027">
        <f t="shared" si="68"/>
        <v>1.0127999999999999</v>
      </c>
      <c r="X38" s="2906"/>
      <c r="Y38" s="2028"/>
      <c r="Z38" s="2902">
        <f t="shared" si="69"/>
        <v>5.1000000000000004E-3</v>
      </c>
      <c r="AA38" s="2903">
        <f t="shared" si="69"/>
        <v>3.5000000000000001E-3</v>
      </c>
      <c r="AB38" s="2028">
        <f t="shared" si="69"/>
        <v>8.3999999999999995E-3</v>
      </c>
      <c r="AC38" s="2904"/>
      <c r="AD38" s="2028">
        <f t="shared" si="69"/>
        <v>3.5000000000000001E-3</v>
      </c>
    </row>
    <row r="39" spans="1:30" s="2045" customFormat="1" ht="12.75">
      <c r="A39" s="2905" t="s">
        <v>2838</v>
      </c>
      <c r="B39" s="2031">
        <v>2021</v>
      </c>
      <c r="C39" s="2042">
        <v>4</v>
      </c>
      <c r="D39" s="2007"/>
      <c r="E39" s="2007">
        <v>0.57999999999999996</v>
      </c>
      <c r="F39" s="2007">
        <v>0.08</v>
      </c>
      <c r="G39" s="2007">
        <v>0.68</v>
      </c>
      <c r="H39" s="2917"/>
      <c r="I39" s="2008">
        <f t="shared" si="52"/>
        <v>0.08</v>
      </c>
      <c r="J39" s="2906"/>
      <c r="K39" s="2043"/>
      <c r="L39" s="2028">
        <f t="shared" si="53"/>
        <v>5.7999999999999996E-3</v>
      </c>
      <c r="M39" s="2028">
        <f t="shared" si="53"/>
        <v>8.0000000000000004E-4</v>
      </c>
      <c r="N39" s="2028">
        <f t="shared" si="53"/>
        <v>6.8000000000000005E-3</v>
      </c>
      <c r="O39" s="2028"/>
      <c r="P39" s="2028">
        <f t="shared" si="67"/>
        <v>8.0000000000000004E-4</v>
      </c>
      <c r="Q39" s="2906"/>
      <c r="R39" s="2027"/>
      <c r="S39" s="2027">
        <f>ROUND(IF(项目基本情况!$B$8="出让",SUMPRODUCT(PRODUCT(1+L39:L$42)),SUMPRODUCT(PRODUCT(1+L39:L$41))),4)</f>
        <v>1.0161</v>
      </c>
      <c r="T39" s="2027">
        <f>ROUND(IF(项目基本情况!$B$8="出让",SUMPRODUCT(PRODUCT(1+M39:M$42)),SUMPRODUCT(PRODUCT(1+M39:M$41))),4)</f>
        <v>1.0082</v>
      </c>
      <c r="U39" s="2027">
        <f>ROUND(IF(项目基本情况!$B$8="出让",SUMPRODUCT(PRODUCT(1+N39:N$42)),SUMPRODUCT(PRODUCT(1+N39:N$41))),4)</f>
        <v>1.0270999999999999</v>
      </c>
      <c r="V39" s="2027"/>
      <c r="W39" s="2027">
        <f t="shared" si="68"/>
        <v>1.0082</v>
      </c>
      <c r="X39" s="2906"/>
      <c r="Y39" s="2028"/>
      <c r="Z39" s="2902">
        <f t="shared" si="69"/>
        <v>4.8999999999999998E-3</v>
      </c>
      <c r="AA39" s="2903">
        <f t="shared" si="69"/>
        <v>3.3E-3</v>
      </c>
      <c r="AB39" s="2028">
        <f t="shared" si="69"/>
        <v>9.1999999999999998E-3</v>
      </c>
      <c r="AC39" s="2904"/>
      <c r="AD39" s="2028">
        <f t="shared" si="69"/>
        <v>3.3E-3</v>
      </c>
    </row>
    <row r="40" spans="1:30" s="2045" customFormat="1" ht="12.75">
      <c r="A40" s="2905" t="s">
        <v>2839</v>
      </c>
      <c r="B40" s="2031">
        <v>2021</v>
      </c>
      <c r="C40" s="2042">
        <v>3</v>
      </c>
      <c r="D40" s="2007"/>
      <c r="E40" s="2007">
        <v>0.47</v>
      </c>
      <c r="F40" s="2007">
        <v>0.28000000000000003</v>
      </c>
      <c r="G40" s="2007">
        <v>0.91</v>
      </c>
      <c r="H40" s="2917"/>
      <c r="I40" s="2008">
        <f t="shared" si="52"/>
        <v>0.28000000000000003</v>
      </c>
      <c r="J40" s="2906"/>
      <c r="K40" s="2043"/>
      <c r="L40" s="2028">
        <f t="shared" si="53"/>
        <v>4.6999999999999993E-3</v>
      </c>
      <c r="M40" s="2028">
        <f t="shared" si="53"/>
        <v>2.8000000000000004E-3</v>
      </c>
      <c r="N40" s="2028">
        <f t="shared" si="53"/>
        <v>9.1000000000000004E-3</v>
      </c>
      <c r="O40" s="2028"/>
      <c r="P40" s="2028">
        <f t="shared" si="67"/>
        <v>2.8000000000000004E-3</v>
      </c>
      <c r="Q40" s="2906"/>
      <c r="R40" s="2027"/>
      <c r="S40" s="2027">
        <f>ROUND(IF(项目基本情况!$B$8="出让",SUMPRODUCT(PRODUCT(1+L40:L$42)),SUMPRODUCT(PRODUCT(1+L40:L$41))),4)</f>
        <v>1.0102</v>
      </c>
      <c r="T40" s="2027">
        <f>ROUND(IF(项目基本情况!$B$8="出让",SUMPRODUCT(PRODUCT(1+M40:M$42)),SUMPRODUCT(PRODUCT(1+M40:M$41))),4)</f>
        <v>1.0074000000000001</v>
      </c>
      <c r="U40" s="2027">
        <f>ROUND(IF(项目基本情况!$B$8="出让",SUMPRODUCT(PRODUCT(1+N40:N$42)),SUMPRODUCT(PRODUCT(1+N40:N$41))),4)</f>
        <v>1.0202</v>
      </c>
      <c r="V40" s="2027"/>
      <c r="W40" s="2027">
        <f t="shared" si="68"/>
        <v>1.0074000000000001</v>
      </c>
      <c r="X40" s="2906"/>
      <c r="Y40" s="2028"/>
      <c r="Z40" s="2902">
        <f t="shared" si="69"/>
        <v>4.5999999999999999E-3</v>
      </c>
      <c r="AA40" s="2903">
        <f t="shared" si="69"/>
        <v>4.1000000000000003E-3</v>
      </c>
      <c r="AB40" s="2028">
        <f t="shared" si="69"/>
        <v>0.01</v>
      </c>
      <c r="AC40" s="2904"/>
      <c r="AD40" s="2028">
        <f t="shared" si="69"/>
        <v>4.1000000000000003E-3</v>
      </c>
    </row>
    <row r="41" spans="1:30" s="2045" customFormat="1" ht="12.75">
      <c r="A41" s="2905" t="s">
        <v>2840</v>
      </c>
      <c r="B41" s="2031">
        <v>2021</v>
      </c>
      <c r="C41" s="2042">
        <v>2</v>
      </c>
      <c r="D41" s="2007"/>
      <c r="E41" s="2007">
        <v>0.55000000000000004</v>
      </c>
      <c r="F41" s="2007">
        <v>0.46</v>
      </c>
      <c r="G41" s="2007">
        <v>1.1000000000000001</v>
      </c>
      <c r="H41" s="2917"/>
      <c r="I41" s="2008">
        <f t="shared" si="52"/>
        <v>0.46</v>
      </c>
      <c r="J41" s="2906"/>
      <c r="K41" s="2043"/>
      <c r="L41" s="2028">
        <f t="shared" si="53"/>
        <v>5.5000000000000005E-3</v>
      </c>
      <c r="M41" s="2028">
        <f t="shared" si="53"/>
        <v>4.5999999999999999E-3</v>
      </c>
      <c r="N41" s="2028">
        <f t="shared" si="53"/>
        <v>1.1000000000000001E-2</v>
      </c>
      <c r="O41" s="2028"/>
      <c r="P41" s="2028">
        <f t="shared" si="67"/>
        <v>4.5999999999999999E-3</v>
      </c>
      <c r="Q41" s="2906"/>
      <c r="R41" s="2027"/>
      <c r="S41" s="2027">
        <f>ROUND(IF(项目基本情况!$B$8="出让",SUMPRODUCT(PRODUCT(1+L41:L$42)),SUMPRODUCT(PRODUCT(1+L41:L$41))),4)</f>
        <v>1.0055000000000001</v>
      </c>
      <c r="T41" s="2027">
        <f>ROUND(IF(项目基本情况!$B$8="出让",SUMPRODUCT(PRODUCT(1+M41:M$42)),SUMPRODUCT(PRODUCT(1+M41:M$41))),4)</f>
        <v>1.0045999999999999</v>
      </c>
      <c r="U41" s="2027">
        <f>ROUND(IF(项目基本情况!$B$8="出让",SUMPRODUCT(PRODUCT(1+N41:N$42)),SUMPRODUCT(PRODUCT(1+N41:N$41))),4)</f>
        <v>1.0109999999999999</v>
      </c>
      <c r="V41" s="2027"/>
      <c r="W41" s="2027">
        <f t="shared" si="68"/>
        <v>1.0045999999999999</v>
      </c>
      <c r="X41" s="2906"/>
      <c r="Y41" s="2028"/>
      <c r="Z41" s="2902">
        <f t="shared" si="69"/>
        <v>4.4999999999999997E-3</v>
      </c>
      <c r="AA41" s="2903">
        <f t="shared" si="69"/>
        <v>4.7000000000000002E-3</v>
      </c>
      <c r="AB41" s="2028">
        <f t="shared" si="69"/>
        <v>1.04E-2</v>
      </c>
      <c r="AC41" s="2904"/>
      <c r="AD41" s="2028">
        <f t="shared" si="69"/>
        <v>4.7000000000000002E-3</v>
      </c>
    </row>
    <row r="42" spans="1:30" s="2928" customFormat="1" thickBot="1">
      <c r="A42" s="2918" t="s">
        <v>2826</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8" t="s">
        <v>452</v>
      </c>
      <c r="C1" s="3498"/>
      <c r="D1" s="3498"/>
      <c r="E1" s="3498"/>
      <c r="F1" s="3498"/>
      <c r="G1" s="3494" t="s">
        <v>453</v>
      </c>
      <c r="H1" s="3494"/>
      <c r="I1" s="3494"/>
      <c r="J1" s="3494"/>
      <c r="K1" s="3494"/>
      <c r="L1" s="3494"/>
      <c r="N1" s="3494" t="s">
        <v>454</v>
      </c>
      <c r="O1" s="3494"/>
      <c r="P1" s="3494"/>
      <c r="Q1" s="3494"/>
      <c r="S1" s="3494" t="s">
        <v>455</v>
      </c>
      <c r="T1" s="3494"/>
      <c r="U1" s="3494"/>
      <c r="V1" s="3494"/>
      <c r="X1" s="3493" t="s">
        <v>456</v>
      </c>
      <c r="Y1" s="3494"/>
      <c r="Z1" s="3494"/>
      <c r="AA1" s="3494"/>
      <c r="AB1" s="3494"/>
      <c r="AD1" s="3493" t="s">
        <v>457</v>
      </c>
      <c r="AE1" s="3494"/>
      <c r="AF1" s="3494"/>
      <c r="AG1" s="3494"/>
      <c r="AH1" s="349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3365</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3362</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3363</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3364</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2438</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2315</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2314</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2313</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2310</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2309</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0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0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0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39801</v>
      </c>
      <c r="D1" s="1217" t="s">
        <v>603</v>
      </c>
      <c r="E1" s="1212">
        <f>'数据-取费表'!B22</f>
        <v>2</v>
      </c>
      <c r="F1" s="1217" t="s">
        <v>604</v>
      </c>
      <c r="G1" s="1213">
        <f ca="1">INDIRECT("d"&amp;$K$1)/100</f>
        <v>5.67E-2</v>
      </c>
      <c r="H1" s="1217" t="s">
        <v>634</v>
      </c>
      <c r="I1" s="1213">
        <f ca="1">F4/100</f>
        <v>2.52E-2</v>
      </c>
      <c r="J1" s="1218">
        <f>IF(C1&gt;C13,0,MATCH(C1,C$13:C$113,-1))+IF(SUMIF(C13:C113,C1,D13:D113)=0,13,12)</f>
        <v>40</v>
      </c>
      <c r="K1" s="1218">
        <f>MATCH(E1,C3:C7,1)+IF(SUMIF(C3:C7,E1,D3:D7)=0,2,1)</f>
        <v>5</v>
      </c>
      <c r="L1" s="1218">
        <f>IF(C1&gt;M13,0,MATCH(C1,M$13:M$100,-1))+IF(SUMIF(M13:M100,C1,N13:N100)=0,13,12)</f>
        <v>27</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5.04</v>
      </c>
      <c r="E3" s="1163">
        <v>0.5</v>
      </c>
      <c r="F3" s="1164">
        <f ca="1">INDIRECT("p"&amp;$L$1)</f>
        <v>2.25</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5.58</v>
      </c>
      <c r="E4" s="1169">
        <v>1</v>
      </c>
      <c r="F4" s="1170">
        <f ca="1">INDIRECT("q"&amp;$L$1)</f>
        <v>2.52</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5.67</v>
      </c>
      <c r="E5" s="1169">
        <v>2</v>
      </c>
      <c r="F5" s="1170">
        <f ca="1">INDIRECT("r"&amp;$L$1)</f>
        <v>3.06</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5.94</v>
      </c>
      <c r="E6" s="1169">
        <v>3</v>
      </c>
      <c r="F6" s="1170">
        <f ca="1">INDIRECT("s"&amp;$L$1)</f>
        <v>3.6</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6.12</v>
      </c>
      <c r="E7" s="1174">
        <v>5</v>
      </c>
      <c r="F7" s="1175">
        <f ca="1">INDIRECT("t"&amp;$L$1)</f>
        <v>3.87</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2311</v>
      </c>
      <c r="C25" s="1207">
        <v>43697</v>
      </c>
      <c r="D25" s="2574">
        <v>4.25</v>
      </c>
      <c r="E25" s="2574">
        <v>4.25</v>
      </c>
      <c r="F25" s="2574">
        <v>4.25</v>
      </c>
      <c r="G25" s="2574">
        <v>4.25</v>
      </c>
      <c r="H25" s="2574">
        <v>4.8499999999999996</v>
      </c>
      <c r="I25" s="2574"/>
      <c r="J25" s="2574"/>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7"/>
      <c r="C26" s="2578">
        <v>42301</v>
      </c>
      <c r="D26" s="2579">
        <v>4.3499999999999996</v>
      </c>
      <c r="E26" s="2579">
        <v>4.3499999999999996</v>
      </c>
      <c r="F26" s="2579">
        <v>4.75</v>
      </c>
      <c r="G26" s="2579">
        <v>4.75</v>
      </c>
      <c r="H26" s="2579">
        <v>4.9000000000000004</v>
      </c>
      <c r="I26" s="2579"/>
      <c r="J26" s="2579"/>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5" t="str">
        <f>IF(项目基本情况!B9="房地产市场价值","估价结果一览表","结果表-2")</f>
        <v>估价结果一览表</v>
      </c>
      <c r="B1" s="3185"/>
      <c r="C1" s="3185"/>
      <c r="D1" s="3185"/>
      <c r="E1" s="3185"/>
      <c r="F1" s="3185"/>
      <c r="G1" s="3185"/>
      <c r="H1" s="3185"/>
      <c r="I1" s="3185"/>
    </row>
    <row r="2" spans="1:9" ht="30" customHeight="1" thickTop="1">
      <c r="A2" s="3186" t="s">
        <v>928</v>
      </c>
      <c r="B2" s="3186" t="s">
        <v>929</v>
      </c>
      <c r="C2" s="3186" t="s">
        <v>930</v>
      </c>
      <c r="D2" s="3186" t="str">
        <f>结果表!D116</f>
        <v>出让国有建设用地使用权价值</v>
      </c>
      <c r="E2" s="3186"/>
      <c r="F2" s="3186" t="str">
        <f>结果表!F116</f>
        <v>在建建筑物价值</v>
      </c>
      <c r="G2" s="3186"/>
      <c r="H2" s="3186" t="str">
        <f>IF(项目基本情况!B9="房地产市场价值","房地产市场价值","房地产价值")</f>
        <v>房地产市场价值</v>
      </c>
      <c r="I2" s="3186"/>
    </row>
    <row r="3" spans="1:9" ht="15">
      <c r="A3" s="3181"/>
      <c r="B3" s="3181"/>
      <c r="C3" s="3181"/>
      <c r="D3" s="801" t="s">
        <v>925</v>
      </c>
      <c r="E3" s="801" t="s">
        <v>931</v>
      </c>
      <c r="F3" s="801" t="s">
        <v>925</v>
      </c>
      <c r="G3" s="801" t="s">
        <v>926</v>
      </c>
      <c r="H3" s="801" t="s">
        <v>925</v>
      </c>
      <c r="I3" s="801" t="s">
        <v>926</v>
      </c>
    </row>
    <row r="4" spans="1:9" ht="15">
      <c r="A4" s="1403" t="str">
        <f>项目基本情况!S2</f>
        <v>北京市房地产</v>
      </c>
      <c r="B4" s="801">
        <f>项目基本情况!C17</f>
        <v>91.09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81" t="s">
        <v>927</v>
      </c>
      <c r="B5" s="3181"/>
      <c r="C5" s="3181"/>
      <c r="D5" s="3181" t="e">
        <f ca="1">结果表!D119</f>
        <v>#REF!</v>
      </c>
      <c r="E5" s="3181"/>
      <c r="F5" s="3181" t="e">
        <f ca="1">结果表!F119</f>
        <v>#REF!</v>
      </c>
      <c r="G5" s="3181"/>
      <c r="H5" s="3181" t="e">
        <f ca="1">结果表!H119</f>
        <v>#REF!</v>
      </c>
      <c r="I5" s="3181"/>
    </row>
    <row r="6" spans="1:9" ht="15.75">
      <c r="A6" s="3180" t="str">
        <f>结果表!A120</f>
        <v/>
      </c>
      <c r="B6" s="3180"/>
      <c r="C6" s="3180"/>
      <c r="D6" s="3180">
        <f>结果表!D120</f>
        <v>0</v>
      </c>
      <c r="E6" s="3180"/>
      <c r="F6" s="3180"/>
      <c r="G6" s="3180"/>
      <c r="H6" s="3180"/>
      <c r="I6" s="3180"/>
    </row>
    <row r="7" spans="1:9" ht="15">
      <c r="A7" s="3181" t="s">
        <v>927</v>
      </c>
      <c r="B7" s="3181"/>
      <c r="C7" s="3181"/>
      <c r="D7" s="3182" t="str">
        <f>结果表!D121</f>
        <v>零元整</v>
      </c>
      <c r="E7" s="3183"/>
      <c r="F7" s="3183"/>
      <c r="G7" s="3183"/>
      <c r="H7" s="3183"/>
      <c r="I7" s="3184"/>
    </row>
    <row r="8" spans="1:9" ht="15.75">
      <c r="A8" s="3180" t="str">
        <f>结果表!A122</f>
        <v/>
      </c>
      <c r="B8" s="3180"/>
      <c r="C8" s="3180"/>
      <c r="D8" s="3180" t="e">
        <f ca="1">结果表!D122</f>
        <v>#REF!</v>
      </c>
      <c r="E8" s="3180"/>
      <c r="F8" s="3180"/>
      <c r="G8" s="3180"/>
      <c r="H8" s="3180"/>
      <c r="I8" s="3180"/>
    </row>
    <row r="9" spans="1:9" ht="15">
      <c r="A9" s="3181" t="s">
        <v>927</v>
      </c>
      <c r="B9" s="3181"/>
      <c r="C9" s="3181"/>
      <c r="D9" s="3181" t="e">
        <f ca="1">结果表!D123</f>
        <v>#REF!</v>
      </c>
      <c r="E9" s="3181"/>
      <c r="F9" s="3181"/>
      <c r="G9" s="3181"/>
      <c r="H9" s="3181"/>
      <c r="I9" s="3181"/>
    </row>
    <row r="10" spans="1:9" ht="15.75">
      <c r="A10" s="3180" t="str">
        <f>结果表!A124</f>
        <v/>
      </c>
      <c r="B10" s="3180"/>
      <c r="C10" s="3180"/>
      <c r="D10" s="3180" t="str">
        <f>结果表!D124</f>
        <v>——</v>
      </c>
      <c r="E10" s="3180"/>
      <c r="F10" s="3180"/>
      <c r="G10" s="3180"/>
      <c r="H10" s="3180"/>
      <c r="I10" s="3180"/>
    </row>
    <row r="11" spans="1:9" ht="15">
      <c r="A11" s="3181" t="s">
        <v>927</v>
      </c>
      <c r="B11" s="3181"/>
      <c r="C11" s="3181"/>
      <c r="D11" s="3181" t="e">
        <f>结果表!D125</f>
        <v>#VALUE!</v>
      </c>
      <c r="E11" s="3181"/>
      <c r="F11" s="3181"/>
      <c r="G11" s="3181"/>
      <c r="H11" s="3181"/>
      <c r="I11" s="3181"/>
    </row>
    <row r="12" spans="1:9" ht="15.75">
      <c r="A12" s="3180" t="str">
        <f>结果表!A126</f>
        <v/>
      </c>
      <c r="B12" s="3180"/>
      <c r="C12" s="3180"/>
      <c r="D12" s="3180" t="str">
        <f>结果表!D126</f>
        <v>——</v>
      </c>
      <c r="E12" s="3180"/>
      <c r="F12" s="3180"/>
      <c r="G12" s="3180"/>
      <c r="H12" s="3180"/>
      <c r="I12" s="3180"/>
    </row>
    <row r="13" spans="1:9" ht="15.75" thickBot="1">
      <c r="A13" s="3178" t="s">
        <v>927</v>
      </c>
      <c r="B13" s="3178"/>
      <c r="C13" s="3178"/>
      <c r="D13" s="3178" t="e">
        <f>结果表!D127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3" t="s">
        <v>949</v>
      </c>
      <c r="B1" s="3193"/>
      <c r="C1" s="3193"/>
      <c r="D1" s="3193"/>
    </row>
    <row r="2" spans="1:4" ht="18">
      <c r="A2" s="3194" t="s">
        <v>933</v>
      </c>
      <c r="B2" s="3194"/>
      <c r="C2" s="3194"/>
      <c r="D2" s="319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94" t="s">
        <v>939</v>
      </c>
      <c r="B6" s="3194"/>
      <c r="C6" s="3194"/>
      <c r="D6" s="319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5" t="s">
        <v>942</v>
      </c>
      <c r="B11" s="3187"/>
      <c r="C11" s="3187"/>
      <c r="D11" s="3187"/>
    </row>
    <row r="12" spans="1:4" ht="15.75">
      <c r="A12" s="3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92"/>
      <c r="C12" s="3192"/>
      <c r="D12" s="3192"/>
    </row>
    <row r="13" spans="1:4" ht="30" customHeight="1">
      <c r="A13" s="3187" t="str">
        <f>IF(项目基本情况!B8="抵押","3.抵押双方在办理抵押登记手续时，应使用本公司出具的正式《房地产评估报告》，特提醒报告使用者注意。","——")</f>
        <v>——</v>
      </c>
      <c r="B13" s="3192"/>
      <c r="C13" s="3192"/>
      <c r="D13" s="3192"/>
    </row>
    <row r="14" spans="1:4" ht="15.75" customHeight="1">
      <c r="A14" s="3187" t="str">
        <f>IF(项目基本情况!B8="抵押","4.本次评估估价师所知悉的法定优先受偿款情况说明如下：","——")</f>
        <v>——</v>
      </c>
      <c r="B14" s="3192"/>
      <c r="C14" s="3192"/>
      <c r="D14" s="3192"/>
    </row>
    <row r="15" spans="1:4" ht="42" customHeight="1">
      <c r="A15" s="3187" t="str">
        <f>IF(项目基本情况!B8="抵押","（1）"&amp;CONCATENATE(项目基本情况!L20,项目基本情况!L21,项目基本情况!L22),"——")</f>
        <v>——</v>
      </c>
      <c r="B15" s="3187"/>
      <c r="C15" s="3187"/>
      <c r="D15" s="3187"/>
    </row>
    <row r="16" spans="1:4" ht="30" customHeight="1">
      <c r="A16" s="3189" t="s">
        <v>943</v>
      </c>
      <c r="B16" s="3189"/>
      <c r="C16" s="3189"/>
      <c r="D16" s="3189"/>
    </row>
    <row r="17" spans="1:4" ht="144" customHeight="1">
      <c r="A17" s="3189" t="s">
        <v>944</v>
      </c>
      <c r="B17" s="3189"/>
      <c r="C17" s="3189"/>
      <c r="D17" s="3189"/>
    </row>
    <row r="18" spans="1:4" ht="15.75" customHeight="1">
      <c r="A18" s="3187" t="str">
        <f>IF(项目基本情况!B8="抵押",结果表!K120,"——")</f>
        <v>——</v>
      </c>
      <c r="B18" s="3187"/>
      <c r="C18" s="3187"/>
      <c r="D18" s="3187"/>
    </row>
    <row r="19" spans="1:4" ht="46.5" customHeight="1">
      <c r="A19" s="3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57.75" customHeight="1">
      <c r="A20" s="3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7"/>
      <c r="C20" s="3187"/>
      <c r="D20" s="3187"/>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01" t="s">
        <v>956</v>
      </c>
      <c r="B15" s="3196" t="s">
        <v>109</v>
      </c>
      <c r="C15" s="3197"/>
    </row>
    <row r="16" spans="1:7" ht="13.5">
      <c r="A16" s="3202"/>
      <c r="B16" s="3196" t="s">
        <v>42</v>
      </c>
      <c r="C16" s="3197"/>
    </row>
    <row r="17" spans="1:3" ht="13.5">
      <c r="A17" s="3202"/>
      <c r="B17" s="3199" t="s">
        <v>957</v>
      </c>
      <c r="C17" s="1429" t="s">
        <v>956</v>
      </c>
    </row>
    <row r="18" spans="1:3" ht="13.5">
      <c r="A18" s="3202"/>
      <c r="B18" s="3199"/>
      <c r="C18" s="1429" t="s">
        <v>958</v>
      </c>
    </row>
    <row r="19" spans="1:3" ht="13.5">
      <c r="A19" s="3202"/>
      <c r="B19" s="3199"/>
      <c r="C19" s="1429" t="s">
        <v>959</v>
      </c>
    </row>
    <row r="20" spans="1:3" ht="13.5">
      <c r="A20" s="3203"/>
      <c r="B20" s="3198" t="s">
        <v>960</v>
      </c>
      <c r="C20" s="3197"/>
    </row>
    <row r="21" spans="1:3" ht="13.5">
      <c r="A21" s="1430" t="s">
        <v>961</v>
      </c>
      <c r="B21" s="1431"/>
      <c r="C21" s="1432"/>
    </row>
    <row r="22" spans="1:3" ht="13.5">
      <c r="A22" s="3200" t="s">
        <v>962</v>
      </c>
      <c r="B22" s="3198" t="s">
        <v>963</v>
      </c>
      <c r="C22" s="3197"/>
    </row>
    <row r="23" spans="1:3" ht="13.5">
      <c r="A23" s="3200"/>
      <c r="B23" s="3198" t="s">
        <v>964</v>
      </c>
      <c r="C23" s="3197"/>
    </row>
    <row r="24" spans="1:3" ht="13.5">
      <c r="A24" s="3200"/>
      <c r="B24" s="3198" t="s">
        <v>965</v>
      </c>
      <c r="C24" s="3197"/>
    </row>
    <row r="25" spans="1:3" ht="13.5">
      <c r="A25" s="3200"/>
      <c r="B25" s="3199" t="s">
        <v>966</v>
      </c>
      <c r="C25" s="1429" t="s">
        <v>967</v>
      </c>
    </row>
    <row r="26" spans="1:3" ht="13.5">
      <c r="A26" s="3200"/>
      <c r="B26" s="3199"/>
      <c r="C26" s="1429" t="s">
        <v>968</v>
      </c>
    </row>
    <row r="27" spans="1:3" ht="13.5">
      <c r="A27" s="3200"/>
      <c r="B27" s="3199"/>
      <c r="C27" s="1429" t="s">
        <v>969</v>
      </c>
    </row>
    <row r="28" spans="1:3" ht="13.5">
      <c r="A28" s="3200"/>
      <c r="B28" s="3199"/>
      <c r="C28" s="1429" t="s">
        <v>970</v>
      </c>
    </row>
    <row r="29" spans="1:3" ht="13.5">
      <c r="A29" s="3200"/>
      <c r="B29" s="3199"/>
      <c r="C29" s="1429" t="s">
        <v>971</v>
      </c>
    </row>
    <row r="30" spans="1:3" ht="13.5">
      <c r="A30" s="3200"/>
      <c r="B30" s="3199"/>
      <c r="C30" s="1429" t="s">
        <v>972</v>
      </c>
    </row>
    <row r="31" spans="1:3" ht="13.5">
      <c r="A31" s="3200"/>
      <c r="B31" s="3199"/>
      <c r="C31" s="1429" t="s">
        <v>973</v>
      </c>
    </row>
    <row r="32" spans="1:3" ht="13.5">
      <c r="A32" s="3200"/>
      <c r="B32" s="3199"/>
      <c r="C32" s="1429" t="s">
        <v>974</v>
      </c>
    </row>
    <row r="33" spans="1:3" ht="13.5">
      <c r="A33" s="3200"/>
      <c r="B33" s="319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45597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2439</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4" t="s">
        <v>2160</v>
      </c>
      <c r="B17" s="3204"/>
      <c r="C17" s="3204"/>
      <c r="D17" s="3204"/>
      <c r="E17" s="3204"/>
      <c r="F17" s="3204"/>
      <c r="G17" s="3204"/>
      <c r="H17" s="3204"/>
    </row>
    <row r="18" spans="1:8" ht="24" customHeight="1">
      <c r="A18" s="3205" t="s">
        <v>2161</v>
      </c>
      <c r="B18" s="3205"/>
      <c r="C18" s="3205"/>
      <c r="D18" s="2160"/>
      <c r="E18" s="3206" t="s">
        <v>2162</v>
      </c>
      <c r="F18" s="3205"/>
      <c r="G18" s="320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2440</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成本法 (元)</vt:lpstr>
      <vt:lpstr>假设开发法</vt:lpstr>
      <vt:lpstr>收益法</vt:lpstr>
      <vt:lpstr>收益法 (元)</vt:lpstr>
      <vt:lpstr>收益法-酒店模型</vt:lpstr>
      <vt:lpstr>收益法（汇总）</vt:lpstr>
      <vt:lpstr>案例</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2024-11-01T09:05:32Z</dcterms:modified>
</cp:coreProperties>
</file>