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F:\军队两套房\2024-1-0920丰体时代花园\"/>
    </mc:Choice>
  </mc:AlternateContent>
  <xr:revisionPtr revIDLastSave="0" documentId="13_ncr:1_{76F6DF13-AC50-4544-8F85-45732A9BA0E0}"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41" i="21" l="1"/>
  <c r="G27" i="21"/>
  <c r="G47" i="21" l="1"/>
  <c r="G7" i="21"/>
  <c r="G33" i="21" l="1"/>
  <c r="I47" i="21"/>
  <c r="E47" i="21"/>
  <c r="I33" i="21"/>
  <c r="E33" i="21"/>
  <c r="C90" i="21"/>
  <c r="I27" i="21"/>
  <c r="F90" i="21" s="1"/>
  <c r="E90" i="21"/>
  <c r="E27" i="21"/>
  <c r="D90" i="21" s="1"/>
  <c r="N6" i="1"/>
  <c r="N18" i="1"/>
  <c r="I7" i="21"/>
  <c r="E7" i="21"/>
  <c r="I5" i="21"/>
  <c r="G5" i="21"/>
  <c r="E5" i="21"/>
  <c r="C6" i="69"/>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F26" i="21"/>
  <c r="S26"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E8" i="76"/>
  <c r="F7" i="73"/>
  <c r="E10" i="76"/>
  <c r="E2" i="68"/>
  <c r="F20" i="31"/>
  <c r="F3" i="73"/>
  <c r="E9" i="76"/>
  <c r="E7" i="76"/>
  <c r="L47" i="67"/>
  <c r="D6" i="73"/>
  <c r="B9" i="76"/>
  <c r="B11" i="76"/>
  <c r="B7" i="76"/>
  <c r="E11" i="76"/>
  <c r="F5" i="73"/>
  <c r="B12" i="76"/>
  <c r="M23" i="67"/>
  <c r="B8" i="76"/>
  <c r="F4" i="73"/>
  <c r="M26" i="67"/>
  <c r="E13" i="76"/>
  <c r="L48" i="67"/>
  <c r="B10" i="76"/>
  <c r="F6" i="73"/>
  <c r="AO13" i="1"/>
  <c r="E12" i="76"/>
  <c r="B13" i="76"/>
  <c r="D34" i="9"/>
  <c r="E2" i="69"/>
  <c r="D35" i="9"/>
  <c r="F6" i="15"/>
  <c r="J15" i="21" l="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9" i="15"/>
  <c r="M22" i="67"/>
  <c r="M22" i="15"/>
  <c r="M8" i="15"/>
  <c r="L47" i="15"/>
  <c r="M8" i="67"/>
  <c r="F38" i="67"/>
  <c r="F26" i="15"/>
  <c r="F38" i="15"/>
  <c r="F16" i="67"/>
  <c r="J15" i="15"/>
  <c r="M23" i="15"/>
  <c r="F40" i="67"/>
  <c r="D4" i="73"/>
  <c r="M9" i="15"/>
  <c r="F7" i="67"/>
  <c r="C76" i="15"/>
  <c r="F16" i="15"/>
  <c r="C76" i="67"/>
  <c r="F26" i="67"/>
  <c r="M6" i="67"/>
  <c r="F8" i="67"/>
  <c r="F42" i="67"/>
  <c r="D7" i="73"/>
  <c r="F13" i="15"/>
  <c r="F37" i="15"/>
  <c r="F43" i="15"/>
  <c r="C36" i="69"/>
  <c r="M6" i="15"/>
  <c r="F8" i="15"/>
  <c r="M28" i="67"/>
  <c r="M9" i="67"/>
  <c r="F42" i="15"/>
  <c r="F36" i="67"/>
  <c r="F9" i="67"/>
  <c r="M24" i="67"/>
  <c r="F6" i="67"/>
  <c r="F7" i="15"/>
  <c r="L48" i="15"/>
  <c r="M29" i="15"/>
  <c r="M28" i="15"/>
  <c r="F36" i="15"/>
  <c r="M29" i="67"/>
  <c r="J15" i="67"/>
  <c r="D9" i="69"/>
  <c r="F37" i="67"/>
  <c r="D3" i="73"/>
  <c r="F43" i="67"/>
  <c r="F13" i="67"/>
  <c r="D5" i="73"/>
  <c r="M26" i="15"/>
  <c r="M24" i="15"/>
  <c r="F40" i="15"/>
  <c r="AC15" i="21" l="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140" i="3"/>
  <c r="E473" i="3"/>
  <c r="E218" i="3"/>
  <c r="E58" i="3"/>
  <c r="E446" i="3"/>
  <c r="E436" i="3"/>
  <c r="E341" i="3"/>
  <c r="E66" i="3"/>
  <c r="E87" i="3"/>
  <c r="E307" i="3"/>
  <c r="E157" i="3"/>
  <c r="E438" i="3"/>
  <c r="E168" i="3"/>
  <c r="E207" i="3"/>
  <c r="E367" i="3"/>
  <c r="E126" i="3"/>
  <c r="E501" i="3"/>
  <c r="E285" i="3"/>
  <c r="E338" i="3"/>
  <c r="E213" i="3"/>
  <c r="E159" i="3"/>
  <c r="E280" i="3"/>
  <c r="E262" i="3"/>
  <c r="E437" i="3"/>
  <c r="E429" i="3"/>
  <c r="E274" i="3"/>
  <c r="E236" i="3"/>
  <c r="E448" i="3"/>
  <c r="E404" i="3"/>
  <c r="E316" i="3"/>
  <c r="E366" i="3"/>
  <c r="E569" i="3"/>
  <c r="E559" i="3"/>
  <c r="E294" i="3"/>
  <c r="E415" i="3"/>
  <c r="E117"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F27" i="69"/>
  <c r="F41" i="67"/>
  <c r="C16" i="15"/>
  <c r="G1" i="73"/>
  <c r="C16" i="67"/>
  <c r="M17" i="15" l="1"/>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M27" i="15"/>
  <c r="F41"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D10" i="69"/>
  <c r="C34" i="69"/>
  <c r="C17" i="67"/>
  <c r="C17" i="15"/>
  <c r="B1" i="74" l="1"/>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6" i="1"/>
  <c r="AO7" i="1"/>
  <c r="AO12" i="1"/>
  <c r="AO8"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0" i="69" l="1"/>
  <c r="C25" i="69" s="1"/>
  <c r="C23" i="69"/>
  <c r="C28" i="69" l="1"/>
  <c r="C27" i="69" s="1"/>
  <c r="C22" i="69"/>
  <c r="C31" i="69" l="1"/>
  <c r="C52" i="69" s="1"/>
  <c r="B2" i="69" s="1"/>
  <c r="C19" i="9"/>
  <c r="B3" i="69"/>
  <c r="C57" i="69" l="1"/>
  <c r="C56" i="69" s="1"/>
  <c r="C21" i="9"/>
  <c r="D22" i="9"/>
  <c r="C102" i="9"/>
  <c r="G19" i="9"/>
  <c r="C20" i="9"/>
  <c r="G20" i="9" l="1"/>
  <c r="C103" i="9"/>
  <c r="G21" i="9"/>
  <c r="C32" i="9" l="1"/>
  <c r="C35" i="9" s="1"/>
  <c r="C34" i="9" s="1"/>
  <c r="G22" i="9"/>
  <c r="D14" i="74" l="1"/>
  <c r="B5" i="74" s="1"/>
  <c r="D5" i="74" s="1"/>
  <c r="F14" i="74" l="1"/>
  <c r="E14" i="74"/>
  <c r="B51" i="72" l="1"/>
  <c r="F4" i="52"/>
  <c r="D9" i="52"/>
  <c r="D123" i="9"/>
  <c r="M55" i="9"/>
  <c r="D59" i="9"/>
  <c r="B21" i="72"/>
  <c r="D7" i="53"/>
  <c r="B47" i="72"/>
  <c r="D4" i="52"/>
  <c r="C81" i="9"/>
  <c r="B53" i="72"/>
  <c r="F5" i="52"/>
  <c r="F119" i="9"/>
  <c r="D122" i="9"/>
  <c r="D8" i="52"/>
  <c r="D118" i="9"/>
  <c r="D119" i="9"/>
  <c r="D5" i="52"/>
  <c r="B49" i="72"/>
  <c r="C86" i="9"/>
  <c r="C93" i="9"/>
  <c r="C6" i="74"/>
  <c r="B52" i="72"/>
  <c r="F118" i="9"/>
  <c r="G118" i="9"/>
  <c r="G4" i="52"/>
  <c r="B22" i="72"/>
  <c r="D6" i="53"/>
  <c r="N58" i="9"/>
  <c r="P57" i="9"/>
  <c r="C73" i="9"/>
  <c r="C78" i="9"/>
  <c r="H108" i="9"/>
  <c r="D15" i="53"/>
  <c r="B31" i="72"/>
  <c r="D54" i="9"/>
  <c r="C64" i="9"/>
  <c r="C63" i="9"/>
  <c r="C67" i="9"/>
  <c r="C68" i="9"/>
  <c r="B30" i="72"/>
  <c r="C72" i="9"/>
  <c r="C79" i="9"/>
  <c r="C80" i="9"/>
  <c r="E80" i="9"/>
  <c r="E81" i="9"/>
  <c r="C97" i="9"/>
  <c r="D58" i="9"/>
  <c r="D56" i="9"/>
  <c r="M54" i="9"/>
  <c r="B48" i="72"/>
  <c r="E118" i="9"/>
  <c r="E4" i="52"/>
  <c r="M48" i="9"/>
  <c r="C104" i="9"/>
  <c r="H4" i="52"/>
  <c r="C85" i="9"/>
  <c r="C95" i="9"/>
  <c r="C96" i="9"/>
  <c r="E96" i="9"/>
  <c r="E97" i="9"/>
  <c r="D5" i="53"/>
  <c r="B20" i="72"/>
  <c r="N61" i="9"/>
  <c r="D55" i="9"/>
  <c r="M53" i="9"/>
  <c r="N57" i="9"/>
  <c r="N59" i="9"/>
  <c r="N60" i="9"/>
  <c r="D53" i="9"/>
  <c r="D45" i="9"/>
  <c r="D52" i="9"/>
  <c r="I4" i="52"/>
  <c r="C105" i="9"/>
  <c r="H102" i="9"/>
  <c r="C5" i="74"/>
  <c r="H101" i="9"/>
  <c r="H107" i="9"/>
  <c r="D13" i="53"/>
  <c r="D14" i="53"/>
  <c r="B32"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<sst xmlns="http://schemas.openxmlformats.org/spreadsheetml/2006/main" count="8066" uniqueCount="3568">
  <si>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</si>
  <si>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</si>
  <si>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</si>
  <si>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</si>
  <si>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</si>
  <si>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</si>
  <si>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</si>
  <si>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</si>
  <si>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</si>
  <si>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</si>
  <si>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</si>
  <si>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</si>
  <si>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</si>
  <si>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</si>
  <si>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</si>
  <si>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</si>
  <si>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</si>
  <si>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</si>
  <si>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</si>
  <si>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</si>
  <si>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</si>
  <si>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</si>
  <si>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</si>
  <si>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</si>
  <si>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</si>
  <si>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</si>
  <si>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</si>
  <si>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</si>
  <si>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</si>
  <si>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</si>
  <si>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</si>
  <si>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</si>
  <si>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</si>
  <si>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</si>
  <si>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</si>
  <si>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</si>
  <si>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</si>
  <si>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</si>
  <si>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</si>
  <si>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</si>
  <si>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</si>
  <si>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</si>
  <si>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</si>
  <si>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</si>
  <si>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</si>
  <si>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</si>
  <si>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</si>
  <si>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</si>
  <si>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</si>
  <si>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</si>
  <si>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</si>
  <si>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</si>
  <si>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</si>
  <si>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</si>
  <si>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</si>
  <si>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</si>
  <si>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</si>
  <si>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</si>
  <si>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</si>
  <si>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</si>
  <si>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</si>
  <si>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</si>
  <si>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</si>
  <si>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</si>
  <si>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</si>
  <si>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</si>
  <si>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</si>
  <si>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</si>
  <si>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</si>
  <si>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</si>
  <si>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</si>
  <si>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</si>
  <si>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</si>
  <si>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</si>
  <si>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</si>
  <si>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</si>
  <si>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</si>
  <si>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</si>
  <si>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</si>
  <si>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</si>
  <si>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</si>
  <si>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</si>
  <si>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</si>
  <si>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</si>
  <si>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</si>
  <si>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</si>
  <si>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</si>
  <si>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</si>
  <si>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</si>
  <si>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</si>
  <si>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</si>
  <si>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</si>
  <si>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</si>
  <si>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</si>
  <si>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</si>
  <si>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</si>
  <si>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</si>
  <si>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</si>
  <si>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</si>
  <si>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</si>
  <si>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</si>
  <si>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</si>
  <si>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</si>
  <si>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</si>
  <si>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</si>
  <si>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</si>
  <si>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</si>
  <si>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</si>
  <si>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</si>
  <si>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</si>
  <si>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</si>
  <si>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</si>
  <si>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</si>
  <si>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</si>
  <si>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</si>
  <si>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</si>
  <si>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</si>
  <si>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</si>
  <si>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</si>
  <si>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</si>
  <si>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</si>
  <si>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</si>
  <si>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</si>
  <si>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</si>
  <si>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</si>
  <si>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</si>
  <si>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</si>
  <si>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</si>
  <si>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</si>
  <si>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</si>
  <si>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</si>
  <si>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</si>
  <si>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</si>
  <si>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</si>
  <si>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</si>
  <si>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</si>
  <si>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</si>
  <si>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</si>
  <si>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</si>
  <si>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</si>
  <si>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</si>
  <si>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</si>
  <si>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</si>
  <si>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</si>
  <si>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</si>
  <si>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</si>
  <si>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</si>
  <si>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</si>
  <si>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</si>
  <si>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</si>
  <si>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</si>
  <si>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</si>
  <si>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</si>
  <si>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</si>
  <si>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</si>
  <si>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</si>
  <si>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</si>
  <si>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</si>
  <si>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</si>
  <si>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</si>
  <si>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</si>
  <si>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</si>
  <si>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</si>
  <si>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</si>
  <si>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</si>
  <si>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</si>
  <si>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</si>
  <si>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</si>
  <si>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</si>
  <si>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</si>
  <si>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</si>
  <si>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</si>
  <si>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</si>
  <si>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</si>
  <si>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</si>
  <si>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</si>
  <si>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</si>
  <si>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</si>
  <si>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</si>
  <si>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</si>
  <si>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</si>
  <si>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</si>
  <si>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</si>
  <si>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</si>
  <si>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</si>
  <si>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</si>
  <si>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</si>
  <si>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</si>
  <si>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</si>
  <si>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</si>
  <si>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</si>
  <si>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</si>
  <si>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</si>
  <si>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</si>
  <si>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</si>
  <si>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</si>
  <si>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</si>
  <si>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</si>
  <si>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</si>
  <si>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</si>
  <si>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</si>
  <si>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</si>
  <si>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</si>
  <si>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</si>
  <si>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</si>
  <si>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</si>
  <si>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</si>
  <si>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</si>
  <si>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</si>
  <si>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</si>
  <si>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</si>
  <si>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</si>
  <si>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</si>
  <si>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</si>
  <si>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</si>
  <si>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</si>
  <si>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</si>
  <si>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</si>
  <si>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</si>
  <si>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</si>
  <si>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</si>
  <si>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</si>
  <si>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</si>
  <si>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</si>
  <si>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</si>
  <si>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</si>
  <si>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</si>
  <si>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</si>
  <si>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</si>
  <si>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</si>
  <si>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</si>
  <si>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</si>
  <si>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</si>
  <si>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</si>
  <si>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</si>
  <si>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</si>
  <si>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</si>
  <si>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</si>
  <si>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</si>
  <si>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</si>
  <si>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</si>
  <si>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</si>
  <si>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</si>
  <si>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</si>
  <si>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</si>
  <si>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</si>
  <si>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</si>
  <si>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</si>
  <si>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</si>
  <si>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</si>
  <si>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</si>
  <si>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</si>
  <si>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</si>
  <si>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</si>
  <si>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</si>
  <si>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</si>
  <si>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</si>
  <si>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</si>
  <si>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</si>
  <si>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</si>
  <si>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</si>
  <si>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</si>
  <si>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</si>
  <si>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</si>
  <si>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</si>
  <si>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</si>
  <si>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</si>
  <si>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</si>
  <si>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</si>
  <si>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</si>
  <si>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</si>
  <si>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</si>
  <si>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</si>
  <si>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</si>
  <si>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</si>
  <si>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</si>
  <si>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</si>
  <si>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</si>
  <si>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</si>
  <si>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</si>
  <si>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</si>
  <si>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</si>
  <si>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</si>
  <si>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</si>
  <si>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</si>
  <si>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</si>
  <si>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</si>
  <si>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</si>
  <si>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</si>
  <si>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</si>
  <si>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</si>
  <si>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</si>
  <si>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</si>
  <si>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</si>
  <si>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</si>
  <si>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</si>
  <si>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</si>
  <si>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</si>
  <si>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</si>
  <si>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</si>
  <si>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</si>
  <si>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</si>
  <si>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</si>
  <si>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</si>
  <si>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</si>
  <si>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</si>
  <si>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</si>
  <si>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</si>
  <si>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</si>
  <si>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</si>
  <si>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</si>
  <si>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</si>
  <si>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</si>
  <si>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</si>
  <si>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</si>
  <si>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</si>
  <si>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</si>
  <si>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</si>
  <si>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</si>
  <si>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</si>
  <si>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</si>
  <si>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</si>
  <si>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</si>
  <si>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</si>
  <si>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</si>
  <si>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</si>
  <si>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</si>
  <si>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</si>
  <si>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</si>
  <si>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</si>
  <si>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</si>
  <si>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</si>
  <si>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</si>
  <si>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</si>
  <si>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</si>
  <si>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</si>
  <si>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</si>
  <si>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</si>
  <si>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</si>
  <si>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</si>
  <si>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</si>
  <si>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</si>
  <si>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</si>
  <si>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</si>
  <si>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</si>
  <si>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</si>
  <si>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</si>
  <si>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</si>
  <si>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</si>
  <si>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</si>
  <si>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</si>
  <si>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</si>
  <si>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</si>
  <si>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</si>
  <si>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</si>
  <si>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</si>
  <si>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</si>
  <si>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</si>
  <si>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</si>
  <si>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</si>
  <si>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</si>
  <si>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</si>
  <si>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</si>
  <si>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</si>
  <si>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</si>
  <si>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</si>
  <si>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</si>
  <si>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</si>
  <si>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</si>
  <si>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</si>
  <si>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</si>
  <si>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</si>
  <si>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</si>
  <si>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</si>
  <si>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</si>
  <si>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</si>
  <si>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</si>
  <si>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</si>
  <si>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</si>
  <si>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</si>
  <si>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</si>
  <si>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</si>
  <si>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</si>
  <si>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</si>
  <si>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</si>
  <si>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</si>
  <si>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</si>
  <si>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</si>
  <si>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</si>
  <si>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</si>
  <si>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</si>
  <si>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</si>
  <si>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</si>
  <si>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</si>
  <si>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</si>
  <si>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</si>
  <si>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</si>
  <si>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</si>
  <si>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</si>
  <si>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</si>
  <si>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</si>
  <si>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</si>
  <si>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</si>
  <si>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</si>
  <si>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</si>
  <si>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</si>
  <si>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</si>
  <si>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</si>
  <si>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</si>
  <si>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</si>
  <si>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</si>
  <si>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</si>
  <si>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</si>
  <si>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</si>
  <si>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</si>
  <si>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</si>
  <si>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</si>
  <si>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</si>
  <si>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</si>
  <si>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</si>
  <si>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</si>
  <si>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</si>
  <si>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</si>
  <si>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</si>
  <si>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</si>
  <si>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</si>
  <si>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</si>
  <si>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</si>
  <si>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</si>
  <si>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</si>
  <si>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</si>
  <si>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</si>
  <si>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</si>
  <si>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</si>
  <si>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</si>
  <si>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</si>
  <si>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</si>
  <si>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</si>
  <si>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</si>
  <si>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</si>
  <si>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</si>
  <si>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</si>
  <si>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</si>
  <si>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</si>
  <si>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</si>
  <si>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</si>
  <si>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</si>
  <si>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</si>
  <si>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</si>
  <si>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</si>
  <si>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</si>
  <si>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</si>
  <si>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</si>
  <si>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</si>
  <si>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</si>
  <si>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</si>
  <si>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</si>
  <si>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</si>
  <si>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</si>
  <si>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</si>
  <si>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</si>
  <si>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</si>
  <si>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</si>
  <si>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</si>
  <si>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</si>
  <si>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</si>
  <si>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</si>
  <si>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</si>
  <si>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</si>
  <si>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</si>
  <si>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</si>
  <si>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</si>
  <si>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</si>
  <si>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</si>
  <si>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</si>
  <si>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</si>
  <si>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</si>
  <si>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</si>
  <si>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</si>
  <si>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</si>
  <si>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</si>
  <si>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</si>
  <si>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</si>
  <si>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</si>
  <si>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</si>
  <si>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</si>
  <si>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</si>
  <si>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</si>
  <si>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</si>
  <si>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</si>
  <si>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</si>
  <si>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</si>
  <si>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</si>
  <si>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</si>
  <si>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</si>
  <si>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</si>
  <si>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</si>
  <si>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</si>
  <si>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</si>
  <si>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</si>
  <si>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</si>
  <si>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</si>
  <si>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</si>
  <si>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</si>
  <si>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</si>
  <si>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</si>
  <si>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</si>
  <si>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</si>
  <si>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</si>
  <si>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</si>
  <si>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</si>
  <si>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</si>
  <si>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</si>
  <si>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</si>
  <si>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</si>
  <si>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</si>
  <si>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</si>
  <si>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</si>
  <si>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</si>
  <si>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</si>
  <si>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</si>
  <si>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</si>
  <si>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</si>
  <si>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</si>
  <si>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</si>
  <si>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</si>
  <si>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</si>
  <si>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</si>
  <si>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</si>
  <si>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</si>
  <si>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</si>
  <si>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</si>
  <si>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</si>
  <si>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</si>
  <si>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</si>
  <si>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</si>
  <si>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</si>
  <si>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</si>
  <si>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</si>
  <si>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</si>
  <si>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</si>
  <si>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</si>
  <si>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</si>
  <si>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</si>
  <si>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</si>
  <si>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</si>
  <si>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</si>
  <si>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</si>
  <si>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</si>
  <si>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</si>
  <si>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</si>
  <si>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</si>
  <si>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</si>
  <si>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</si>
  <si>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</si>
  <si>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</si>
  <si>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</si>
  <si>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</si>
  <si>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</si>
  <si>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</si>
  <si>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</si>
  <si>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</si>
  <si>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</si>
  <si>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</si>
  <si>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</si>
  <si>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</si>
  <si>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</si>
  <si>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</si>
  <si>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</si>
  <si>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</si>
  <si>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</si>
  <si>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</si>
  <si>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</si>
  <si>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</si>
  <si>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</si>
  <si>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</si>
  <si>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</si>
  <si>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</si>
  <si>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</si>
  <si>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</si>
  <si>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</si>
  <si>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</si>
  <si>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</si>
  <si>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</si>
  <si>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</si>
  <si>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</si>
  <si>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</si>
  <si>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</si>
  <si>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</si>
  <si>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</si>
  <si>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</si>
  <si>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</si>
  <si>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</si>
  <si>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</si>
  <si>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</si>
  <si>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</si>
  <si>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</si>
  <si>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</si>
  <si>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</si>
  <si>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</si>
  <si>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</si>
  <si>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</si>
  <si>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</si>
  <si>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</si>
  <si>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</si>
  <si>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</si>
  <si>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</si>
  <si>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</si>
  <si>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</si>
  <si>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</si>
  <si>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</si>
  <si>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</si>
  <si>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</si>
  <si>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</si>
  <si>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</si>
  <si>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</si>
  <si>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</si>
  <si>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</si>
  <si>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</si>
  <si>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</si>
  <si>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</si>
  <si>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</si>
  <si>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</si>
  <si>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</si>
  <si>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</si>
  <si>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</si>
  <si>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</si>
  <si>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</si>
  <si>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</si>
  <si>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</si>
  <si>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</si>
  <si>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</si>
  <si>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</si>
  <si>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</si>
  <si>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</si>
  <si>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</si>
  <si>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</si>
  <si>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</si>
  <si>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</si>
  <si>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</si>
  <si>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</si>
  <si>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</si>
  <si>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</si>
  <si>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</si>
  <si>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</si>
  <si>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</si>
  <si>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</si>
  <si>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</si>
  <si>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</si>
  <si>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</si>
  <si>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</si>
  <si>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</si>
  <si>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</si>
  <si>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</si>
  <si>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</si>
  <si>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</si>
  <si>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</si>
  <si>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</si>
  <si>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</si>
  <si>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</si>
  <si>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</si>
  <si>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</si>
  <si>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</si>
  <si>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</si>
  <si>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</si>
  <si>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</si>
  <si>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</si>
  <si>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</si>
  <si>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</si>
  <si>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</si>
  <si>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</si>
  <si>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</si>
  <si>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</si>
  <si>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</si>
  <si>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</si>
  <si>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</si>
  <si>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</si>
  <si>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</si>
  <si>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</si>
  <si>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</si>
  <si>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</si>
  <si>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</si>
  <si>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</si>
  <si>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</si>
  <si>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</si>
  <si>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</si>
  <si>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</si>
  <si>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</si>
  <si>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</si>
  <si>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</si>
  <si>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</si>
  <si>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</si>
  <si>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</si>
  <si>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</si>
  <si>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</si>
  <si>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</si>
  <si>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</si>
  <si>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</si>
  <si>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</si>
  <si>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</si>
  <si>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</si>
  <si>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</si>
  <si>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</si>
  <si>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</si>
  <si>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</si>
  <si>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</si>
  <si>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</si>
  <si>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</si>
  <si>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</si>
  <si>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</si>
  <si>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</si>
  <si>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</si>
  <si>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</si>
  <si>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</si>
  <si>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</si>
  <si>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</si>
  <si>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</si>
  <si>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</si>
  <si>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</si>
  <si>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</si>
  <si>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</si>
  <si>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</si>
  <si>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</si>
  <si>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</si>
  <si>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</si>
  <si>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</si>
  <si>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</si>
  <si>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</si>
  <si>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</si>
  <si>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</si>
  <si>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</si>
  <si>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</si>
  <si>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</si>
  <si>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</si>
  <si>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</si>
  <si>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</si>
  <si>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</si>
  <si>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</si>
  <si>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</si>
  <si>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</si>
  <si>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</si>
  <si>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</si>
  <si>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</si>
  <si>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</si>
  <si>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</si>
  <si>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</si>
  <si>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</si>
  <si>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</si>
  <si>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</si>
  <si>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</si>
  <si>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</si>
  <si>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</si>
  <si>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</si>
  <si>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</si>
  <si>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</si>
  <si>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</si>
  <si>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</si>
  <si>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</si>
  <si>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</si>
  <si>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</si>
  <si>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</si>
  <si>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</si>
  <si>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</si>
  <si>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</si>
  <si>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</si>
  <si>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</si>
  <si>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</si>
  <si>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</si>
  <si>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</si>
  <si>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</si>
  <si>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</si>
  <si>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</si>
  <si>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</si>
  <si>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</si>
  <si>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</si>
  <si>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</si>
  <si>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</si>
  <si>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</si>
  <si>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</si>
  <si>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</si>
  <si>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</si>
  <si>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</si>
  <si>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</si>
  <si>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</si>
  <si>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</si>
  <si>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</si>
  <si>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</si>
  <si>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</si>
  <si>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</si>
  <si>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</si>
  <si>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</si>
  <si>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</si>
  <si>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</si>
  <si>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</si>
  <si>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</si>
  <si>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</si>
  <si>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</si>
  <si>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</si>
  <si>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</si>
  <si>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</si>
  <si>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</si>
  <si>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</si>
  <si>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</si>
  <si>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</si>
  <si>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</si>
  <si>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</si>
  <si>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</si>
  <si>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</si>
  <si>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</si>
  <si>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</si>
  <si>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</si>
  <si>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</si>
  <si>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</si>
  <si>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</si>
  <si>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</si>
  <si>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</si>
  <si>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</si>
  <si>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</si>
  <si>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</si>
  <si>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</si>
  <si>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</si>
  <si>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</si>
  <si>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</si>
  <si>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</si>
  <si>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</si>
  <si>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</si>
  <si>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</si>
  <si>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</si>
  <si>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</si>
  <si>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</si>
  <si>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</si>
  <si>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</si>
  <si>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</si>
  <si>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</si>
  <si>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</si>
  <si>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</si>
  <si>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</si>
  <si>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</si>
  <si>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</si>
  <si>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</si>
  <si>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</si>
  <si>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</si>
  <si>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</si>
  <si>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</si>
  <si>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</si>
  <si>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</si>
  <si>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</si>
  <si>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</si>
  <si>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</si>
  <si>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</si>
  <si>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</si>
  <si>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</si>
  <si>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</si>
  <si>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</si>
  <si>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</si>
  <si>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</si>
  <si>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</si>
  <si>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</si>
  <si>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</si>
  <si>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</si>
  <si>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</si>
  <si>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</si>
  <si>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</si>
  <si>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</si>
  <si>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</si>
  <si>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</si>
  <si>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</si>
  <si>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</si>
  <si>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</si>
  <si>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</si>
  <si>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</si>
  <si>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</si>
  <si>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</si>
  <si>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</si>
  <si>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</si>
  <si>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</si>
  <si>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</si>
  <si>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</si>
  <si>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</si>
  <si>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</si>
  <si>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</si>
  <si>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</si>
  <si>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</si>
  <si>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</si>
  <si>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</si>
  <si>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</si>
  <si>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</si>
  <si>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</si>
  <si>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</si>
  <si>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</si>
  <si>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</si>
  <si>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</si>
  <si>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</si>
  <si>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</si>
  <si>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</si>
  <si>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</si>
  <si>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</si>
  <si>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</si>
  <si>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</si>
  <si>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</si>
  <si>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</si>
  <si>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</si>
  <si>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</si>
  <si>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</si>
  <si>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</si>
  <si>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</si>
  <si>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</si>
  <si>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</si>
  <si>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</si>
  <si>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</si>
  <si>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</si>
  <si>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</si>
  <si>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</si>
  <si>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</si>
  <si>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</si>
  <si>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</si>
  <si>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</si>
  <si>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</si>
  <si>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</si>
  <si>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</si>
  <si>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</si>
  <si>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</si>
  <si>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</si>
  <si>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</si>
  <si>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</si>
  <si>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</si>
  <si>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</si>
  <si>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</si>
  <si>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</si>
  <si>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</si>
  <si>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</si>
  <si>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</si>
  <si>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</si>
  <si>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</si>
  <si>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</si>
  <si>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</si>
  <si>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</si>
  <si>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</si>
  <si>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</si>
  <si>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</si>
  <si>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</si>
  <si>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</si>
  <si>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</si>
  <si>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</si>
  <si>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</si>
  <si>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</si>
  <si>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</si>
  <si>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</si>
  <si>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</si>
  <si>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</si>
  <si>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</si>
  <si>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</si>
  <si>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</si>
  <si>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</si>
  <si>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</si>
  <si>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</si>
  <si>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</si>
  <si>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</si>
  <si>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</si>
  <si>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</si>
  <si>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</si>
  <si>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</si>
  <si>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</si>
  <si>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</si>
  <si>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</si>
  <si>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</si>
  <si>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</si>
  <si>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</si>
  <si>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</si>
  <si>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</si>
  <si>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</si>
  <si>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</si>
  <si>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</si>
  <si>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</si>
  <si>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</si>
  <si>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</si>
  <si>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</si>
  <si>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</si>
  <si>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</si>
  <si>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</si>
  <si>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</si>
  <si>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</si>
  <si>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</si>
  <si>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</si>
  <si>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</si>
  <si>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</si>
  <si>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</si>
  <si>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</si>
  <si>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</si>
  <si>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</si>
  <si>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</si>
  <si>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</si>
  <si>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</si>
  <si>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</si>
  <si>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</si>
  <si>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</si>
  <si>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</si>
  <si>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</si>
  <si>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</si>
  <si>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</si>
  <si>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</si>
  <si>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</si>
  <si>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</si>
  <si>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</si>
  <si>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</si>
  <si>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</si>
  <si>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</si>
  <si>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</si>
  <si>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</si>
  <si>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</si>
  <si>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</si>
  <si>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</si>
  <si>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</si>
  <si>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</si>
  <si>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</si>
  <si>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</si>
  <si>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</si>
  <si>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</si>
  <si>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</si>
  <si>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</si>
  <si>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</si>
  <si>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</si>
  <si>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</si>
  <si>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</si>
  <si>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</si>
  <si>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</si>
  <si>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</si>
  <si>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</si>
  <si>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</si>
  <si>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</si>
  <si>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</si>
  <si>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</si>
  <si>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</si>
  <si>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</si>
  <si>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</si>
  <si>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</si>
  <si>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</si>
  <si>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</si>
  <si>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</si>
  <si>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</si>
  <si>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</si>
  <si>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</si>
  <si>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</si>
  <si>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</si>
  <si>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</si>
  <si>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</si>
  <si>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</si>
  <si>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</si>
  <si>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</si>
  <si>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</si>
  <si>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</si>
  <si>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</si>
  <si>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</si>
  <si>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</si>
  <si>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</si>
  <si>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</si>
  <si>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</si>
  <si>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</si>
  <si>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</si>
  <si>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</si>
  <si>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</si>
  <si>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</si>
  <si>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</si>
  <si>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</si>
  <si>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</si>
  <si>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</si>
  <si>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</si>
  <si>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</si>
  <si>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</si>
  <si>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</si>
  <si>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</si>
  <si>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</si>
  <si>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</si>
  <si>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</si>
  <si>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</si>
  <si>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</si>
  <si>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</si>
  <si>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</si>
  <si>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</si>
  <si>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</si>
  <si>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</si>
  <si>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</si>
  <si>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</si>
  <si>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</si>
  <si>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</si>
  <si>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</si>
  <si>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</si>
  <si>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</si>
  <si>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</si>
  <si>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</si>
  <si>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</si>
  <si>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</si>
  <si>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</si>
  <si>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</si>
  <si>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</si>
  <si>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</si>
  <si>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</si>
  <si>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</si>
  <si>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</si>
  <si>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</si>
  <si>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</si>
  <si>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</si>
  <si>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</si>
  <si>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</si>
  <si>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</si>
  <si>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</si>
  <si>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</si>
  <si>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</si>
  <si>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</si>
  <si>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</si>
  <si>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</si>
  <si>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</si>
  <si>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</si>
  <si>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</si>
  <si>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</si>
  <si>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</si>
  <si>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</si>
  <si>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</si>
  <si>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</si>
  <si>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</si>
  <si>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</si>
  <si>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</si>
  <si>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</si>
  <si>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</si>
  <si>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</si>
  <si>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</si>
  <si>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</si>
  <si>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</si>
  <si>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</si>
  <si>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</si>
  <si>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</si>
  <si>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</si>
  <si>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</si>
  <si>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</si>
  <si>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</si>
  <si>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</si>
  <si>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</si>
  <si>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</si>
  <si>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</si>
  <si>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</si>
  <si>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</si>
  <si>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</si>
  <si>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</si>
  <si>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</si>
  <si>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</si>
  <si>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</si>
  <si>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</si>
  <si>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</si>
  <si>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</si>
  <si>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</si>
  <si>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</si>
  <si>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</si>
  <si>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</si>
  <si>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</si>
  <si>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</si>
  <si>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</si>
  <si>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</si>
  <si>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</si>
  <si>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</si>
  <si>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</si>
  <si>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</si>
  <si>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</si>
  <si>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</si>
  <si>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</si>
  <si>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</si>
  <si>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</si>
  <si>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</si>
  <si>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</si>
  <si>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</si>
  <si>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</si>
  <si>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</si>
  <si>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</si>
  <si>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</si>
  <si>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</si>
  <si>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</si>
  <si>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</si>
  <si>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</si>
  <si>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</si>
  <si>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</si>
  <si>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</si>
  <si>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</si>
  <si>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</si>
  <si>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</si>
  <si>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</si>
  <si>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</si>
  <si>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</si>
  <si>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</si>
  <si>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</si>
  <si>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</si>
  <si>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</si>
  <si>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</si>
  <si>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</si>
  <si>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</si>
  <si>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</si>
  <si>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</si>
  <si>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</si>
  <si>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</si>
  <si>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</si>
  <si>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</si>
  <si>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</si>
  <si>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</si>
  <si>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</si>
  <si>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</si>
  <si>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</si>
  <si>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</si>
  <si>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</si>
  <si>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</si>
  <si>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</si>
  <si>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</si>
  <si>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</si>
  <si>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</si>
  <si>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</si>
  <si>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</si>
  <si>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</si>
  <si>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</si>
  <si>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</si>
  <si>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</si>
  <si>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</si>
  <si>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</si>
  <si>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</si>
  <si>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</si>
  <si>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</si>
  <si>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</si>
  <si>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</si>
  <si>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</si>
  <si>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</si>
  <si>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</si>
  <si>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</si>
  <si>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</si>
  <si>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</si>
  <si>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</si>
  <si>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</si>
  <si>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</si>
  <si>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</si>
  <si>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</si>
  <si>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</si>
  <si>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</si>
  <si>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</si>
  <si>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</si>
  <si>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</si>
  <si>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</si>
  <si>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</si>
  <si>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</si>
  <si>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</si>
  <si>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</si>
  <si>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</si>
  <si>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</si>
  <si>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</si>
  <si>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</si>
  <si>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</si>
  <si>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</si>
  <si>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</si>
  <si>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</si>
  <si>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</si>
  <si>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</si>
  <si>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</si>
  <si>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</si>
  <si>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</si>
  <si>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</si>
  <si>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</si>
  <si>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</si>
  <si>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</si>
  <si>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</si>
  <si>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</si>
  <si>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</si>
  <si>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</si>
  <si>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</si>
  <si>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</si>
  <si>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</si>
  <si>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</si>
  <si>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</si>
  <si>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</si>
  <si>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</si>
  <si>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</si>
  <si>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</si>
  <si>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</si>
  <si>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</si>
  <si>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</si>
  <si>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</si>
  <si>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</si>
  <si>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</si>
  <si>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</si>
  <si>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</si>
  <si>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</si>
  <si>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</si>
  <si>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</si>
  <si>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</si>
  <si>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</si>
  <si>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</si>
  <si>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</si>
  <si>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</si>
  <si>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</si>
  <si>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</si>
  <si>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</si>
  <si>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</si>
  <si>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</si>
  <si>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</si>
  <si>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</si>
  <si>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</si>
  <si>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</si>
  <si>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</si>
  <si>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</si>
  <si>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</si>
  <si>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</si>
  <si>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</si>
  <si>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</si>
  <si>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</si>
  <si>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</si>
  <si>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</si>
  <si>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</si>
  <si>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</si>
  <si>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</si>
  <si>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</si>
  <si>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</si>
  <si>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</si>
  <si>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</si>
  <si>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</si>
  <si>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</si>
  <si>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</si>
  <si>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</si>
  <si>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</si>
  <si>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</si>
  <si>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</si>
  <si>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</si>
  <si>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</si>
  <si>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</si>
  <si>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</si>
  <si>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</si>
  <si>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</si>
  <si>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</si>
  <si>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</si>
  <si>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</si>
  <si>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</si>
  <si>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</si>
  <si>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</si>
  <si>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</si>
  <si>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</si>
  <si>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</si>
  <si>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</si>
  <si>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</si>
  <si>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</si>
  <si>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</si>
  <si>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</si>
  <si>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</si>
  <si>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</si>
  <si>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</si>
  <si>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</si>
  <si>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</si>
  <si>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</si>
  <si>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</si>
  <si>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</si>
  <si>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</si>
  <si>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</si>
  <si>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</si>
  <si>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</si>
  <si>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</si>
  <si>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</si>
  <si>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</si>
  <si>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</si>
  <si>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</si>
  <si>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</si>
  <si>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</si>
  <si>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</si>
  <si>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</si>
  <si>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</si>
  <si>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</si>
  <si>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</si>
  <si>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</si>
  <si>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</si>
  <si>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</si>
  <si>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</si>
  <si>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</si>
  <si>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</si>
  <si>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</si>
  <si>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</si>
  <si>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</si>
  <si>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</si>
  <si>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</si>
  <si>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</si>
  <si>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</si>
  <si>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</si>
  <si>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</si>
  <si>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</si>
  <si>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</si>
  <si>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</si>
  <si>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</si>
  <si>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</si>
  <si>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</si>
  <si>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</si>
  <si>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</si>
  <si>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</si>
  <si>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</si>
  <si>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</si>
  <si>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</si>
  <si>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</si>
  <si>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</si>
  <si>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</si>
  <si>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</si>
  <si>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</si>
  <si>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</si>
  <si>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</si>
  <si>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</si>
  <si>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</si>
  <si>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</si>
  <si>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</si>
  <si>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</si>
  <si>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</si>
  <si>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</si>
  <si>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</si>
  <si>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</si>
  <si>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</si>
  <si>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</si>
  <si>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</si>
  <si>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</si>
  <si>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</si>
  <si>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</si>
  <si>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</si>
  <si>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</si>
  <si>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</si>
  <si>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</si>
  <si>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</si>
  <si>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</si>
  <si>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</si>
  <si>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</si>
  <si>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</si>
  <si>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</si>
  <si>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</si>
  <si>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</si>
  <si>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</si>
  <si>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</si>
  <si>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</si>
  <si>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</si>
  <si>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</si>
  <si>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</si>
  <si>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</si>
  <si>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</si>
  <si>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</si>
  <si>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</si>
  <si>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</si>
  <si>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</si>
  <si>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</si>
  <si>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</si>
  <si>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</si>
  <si>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</si>
  <si>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</si>
  <si>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</si>
  <si>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</si>
  <si>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</si>
  <si>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</si>
  <si>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</si>
  <si>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</si>
  <si>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</si>
  <si>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</si>
  <si>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</si>
  <si>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</si>
  <si>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</si>
  <si>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</si>
  <si>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</si>
  <si>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</si>
  <si>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</si>
  <si>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</si>
  <si>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</si>
  <si>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</si>
  <si>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</si>
  <si>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</si>
  <si>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</si>
  <si>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</si>
  <si>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</si>
  <si>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</si>
  <si>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</si>
  <si>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</si>
  <si>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</si>
  <si>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</si>
  <si>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</si>
  <si>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</si>
  <si>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</si>
  <si>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</si>
  <si>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</si>
  <si>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</si>
  <si>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</si>
  <si>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</si>
  <si>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</si>
  <si>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</si>
  <si>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</si>
  <si>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</si>
  <si>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</si>
  <si>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</si>
  <si>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</si>
  <si>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</si>
  <si>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</si>
  <si>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</si>
  <si>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</si>
  <si>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</si>
  <si>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</si>
  <si>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</si>
  <si>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</si>
  <si>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</si>
  <si>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</si>
  <si>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</si>
  <si>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</si>
  <si>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</si>
  <si>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</si>
  <si>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</si>
  <si>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</si>
  <si>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</si>
  <si>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</si>
  <si>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</si>
  <si>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</si>
  <si>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</si>
  <si>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</si>
  <si>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</si>
  <si>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</si>
  <si>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</si>
  <si>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</si>
  <si>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</si>
  <si>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</si>
  <si>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</si>
  <si>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</si>
  <si>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</si>
  <si>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</si>
  <si>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</si>
  <si>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</si>
  <si>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</si>
  <si>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</si>
  <si>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</si>
  <si>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</si>
  <si>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</si>
  <si>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</si>
  <si>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</si>
  <si>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</si>
  <si>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</si>
  <si>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</si>
  <si>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</si>
  <si>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</si>
  <si>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</si>
  <si>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</si>
  <si>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</si>
  <si>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</si>
  <si>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</si>
  <si>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</si>
  <si>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</si>
  <si>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</si>
  <si>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</si>
  <si>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</si>
  <si>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</si>
  <si>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</si>
  <si>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</si>
  <si>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</si>
  <si>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</si>
  <si>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</si>
  <si>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</si>
  <si>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</si>
  <si>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</si>
  <si>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</si>
  <si>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</si>
  <si>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</si>
  <si>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</si>
  <si>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</si>
  <si>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</si>
  <si>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</si>
  <si>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</si>
  <si>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</si>
  <si>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</si>
  <si>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</si>
  <si>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</si>
  <si>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</si>
  <si>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</si>
  <si>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</si>
  <si>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</si>
  <si>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</si>
  <si>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</si>
  <si>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</si>
  <si>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</si>
  <si>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</si>
  <si>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</si>
  <si>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</si>
  <si>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</si>
  <si>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</si>
  <si>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</si>
  <si>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</si>
  <si>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</si>
  <si>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</si>
  <si>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</si>
  <si>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</si>
  <si>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</si>
  <si>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</si>
  <si>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</si>
  <si>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</si>
  <si>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</si>
  <si>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</si>
  <si>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</si>
  <si>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</si>
  <si>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</si>
  <si>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</si>
  <si>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</si>
  <si>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</si>
  <si>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</si>
  <si>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</si>
  <si>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</si>
  <si>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</si>
  <si>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</si>
  <si>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</si>
  <si>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</si>
  <si>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</si>
  <si>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</si>
  <si>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</si>
  <si>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</si>
  <si>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</si>
  <si>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</si>
  <si>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</si>
  <si>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</si>
  <si>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</si>
  <si>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</si>
  <si>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</si>
  <si>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</si>
  <si>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</si>
  <si>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</si>
  <si>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</si>
  <si>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</si>
  <si>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</si>
  <si>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</si>
  <si>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</si>
  <si>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</si>
  <si>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</si>
  <si>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</si>
  <si>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</si>
  <si>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</si>
  <si>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</si>
  <si>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</si>
  <si>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</si>
  <si>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</si>
  <si>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</si>
  <si>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</si>
  <si>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</si>
  <si>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</si>
  <si>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</si>
  <si>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</si>
  <si>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</si>
  <si>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</si>
  <si>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</si>
  <si>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</si>
  <si>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</si>
  <si>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</si>
  <si>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</si>
  <si>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</si>
  <si>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</si>
  <si>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</si>
  <si>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</si>
  <si>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</si>
  <si>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</si>
  <si>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</si>
  <si>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</si>
  <si>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</si>
  <si>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</si>
  <si>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</si>
  <si>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</si>
  <si>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</si>
  <si>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</si>
  <si>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</si>
  <si>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</si>
  <si>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</si>
  <si>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</si>
  <si>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</si>
  <si>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</si>
  <si>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</si>
  <si>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</si>
  <si>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</si>
  <si>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</si>
  <si>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</si>
  <si>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</si>
  <si>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</si>
  <si>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</si>
  <si>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</si>
  <si>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</si>
  <si>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</si>
  <si>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</si>
  <si>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</si>
  <si>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</si>
  <si>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</si>
  <si>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</si>
  <si>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</si>
  <si>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</si>
  <si>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</si>
  <si>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</si>
  <si>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</si>
  <si>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</si>
  <si>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</si>
  <si>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</si>
  <si>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</si>
  <si>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</si>
  <si>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</si>
  <si>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</si>
  <si>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</si>
  <si>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</si>
  <si>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</si>
  <si>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</si>
  <si>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</si>
  <si>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</si>
  <si>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</si>
  <si>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</si>
  <si>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</si>
  <si>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</si>
  <si>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</si>
  <si>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</si>
  <si>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</si>
  <si>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</si>
  <si>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</si>
  <si>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</si>
  <si>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</si>
  <si>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</si>
  <si>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</si>
  <si>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</si>
  <si>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</si>
  <si>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</si>
  <si>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</si>
  <si>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</si>
  <si>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</si>
  <si>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</si>
  <si>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</si>
  <si>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</si>
  <si>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</si>
  <si>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</si>
  <si>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</si>
  <si>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</si>
  <si>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</si>
  <si>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</si>
  <si>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</si>
  <si>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</si>
  <si>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</si>
  <si>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</si>
  <si>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</si>
  <si>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</si>
  <si>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</si>
  <si>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</si>
  <si>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</si>
  <si>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</si>
  <si>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</si>
  <si>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</si>
  <si>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</si>
  <si>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</si>
  <si>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</si>
  <si>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</si>
  <si>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</si>
  <si>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</si>
  <si>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</si>
  <si>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</si>
  <si>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</si>
  <si>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</si>
  <si>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</si>
  <si>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</si>
  <si>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</si>
  <si>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</si>
  <si>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</si>
  <si>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</si>
  <si>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</si>
  <si>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</si>
  <si>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</si>
  <si>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</si>
  <si>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</si>
  <si>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</si>
  <si>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</si>
  <si>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</si>
  <si>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</si>
  <si>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</si>
  <si>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</si>
  <si>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</si>
  <si>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</si>
  <si>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</si>
  <si>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</si>
  <si>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</si>
  <si>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</si>
  <si>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</si>
  <si>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</si>
  <si>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</si>
  <si>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</si>
  <si>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</si>
  <si>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</si>
  <si>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</si>
  <si>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</si>
  <si>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</si>
  <si>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</si>
  <si>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</si>
  <si>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</si>
  <si>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</si>
  <si>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</si>
  <si>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</si>
  <si>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</si>
  <si>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</si>
  <si>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</si>
  <si>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</si>
  <si>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</si>
  <si>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</si>
  <si>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</si>
  <si>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</si>
  <si>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</si>
  <si>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</si>
  <si>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</si>
  <si>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</si>
  <si>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</si>
  <si>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</si>
  <si>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</si>
  <si>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</si>
  <si>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</si>
  <si>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</si>
  <si>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</si>
  <si>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</si>
  <si>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</si>
  <si>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</si>
  <si>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</si>
  <si>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</si>
  <si>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</si>
  <si>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</si>
  <si>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</si>
  <si>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</si>
  <si>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</si>
  <si>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</si>
  <si>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</si>
  <si>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</si>
  <si>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</si>
  <si>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</si>
  <si>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</si>
  <si>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</si>
  <si>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</si>
  <si>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</si>
  <si>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</si>
  <si>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</si>
  <si>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</si>
  <si>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</si>
  <si>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</si>
  <si>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</si>
  <si>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</si>
  <si>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</si>
  <si>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</si>
  <si>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</si>
  <si>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</si>
  <si>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</si>
  <si>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</si>
  <si>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</si>
  <si>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</si>
  <si>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</si>
  <si>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</si>
  <si>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</si>
  <si>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</si>
  <si>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</si>
  <si>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</si>
  <si>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</si>
  <si>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</si>
  <si>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</si>
  <si>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</si>
  <si>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</si>
  <si>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</si>
  <si>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</si>
  <si>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</si>
  <si>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</si>
  <si>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</si>
  <si>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</si>
  <si>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</si>
  <si>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</si>
  <si>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</si>
  <si>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</si>
  <si>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</si>
  <si>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</si>
  <si>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</si>
  <si>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</si>
  <si>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</si>
  <si>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</si>
  <si>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</si>
  <si>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</si>
  <si>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</si>
  <si>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</si>
  <si>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</si>
  <si>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</si>
  <si>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</si>
  <si>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</si>
  <si>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</si>
  <si>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</si>
  <si>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</si>
  <si>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</si>
  <si>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</si>
  <si>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</si>
  <si>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</si>
  <si>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</si>
  <si>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</si>
  <si>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</si>
  <si>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</si>
  <si>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</si>
  <si>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</si>
  <si>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</si>
  <si>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</si>
  <si>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</si>
  <si>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</si>
  <si>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</si>
  <si>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</si>
  <si>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</si>
  <si>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</si>
  <si>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</si>
  <si>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</si>
  <si>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</si>
  <si>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</si>
  <si>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</si>
  <si>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</si>
  <si>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</si>
  <si>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</si>
  <si>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</si>
  <si>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</si>
  <si>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</si>
  <si>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</si>
  <si>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</si>
  <si>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</si>
  <si>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</si>
  <si>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</si>
  <si>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</si>
  <si>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</si>
  <si>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</si>
  <si>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</si>
  <si>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</si>
  <si>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</si>
  <si>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</si>
  <si>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</si>
  <si>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</si>
  <si>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</si>
  <si>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</si>
  <si>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</si>
  <si>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</si>
  <si>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</si>
  <si>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</si>
  <si>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</si>
  <si>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</si>
  <si>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</si>
  <si>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</si>
  <si>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</si>
  <si>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</si>
  <si>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</si>
  <si>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</si>
  <si>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</si>
  <si>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</si>
  <si>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</si>
  <si>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</si>
  <si>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</si>
  <si>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</si>
  <si>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</si>
  <si>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</si>
  <si>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</si>
  <si>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</si>
  <si>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</si>
  <si>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</si>
  <si>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</si>
  <si>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</si>
  <si>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</si>
  <si>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</si>
  <si>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</si>
  <si>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</si>
  <si>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</si>
  <si>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</si>
  <si>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</si>
  <si>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</si>
  <si>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</si>
  <si>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</si>
  <si>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</si>
  <si>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</si>
  <si>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</si>
  <si>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</si>
  <si>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</si>
  <si>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</si>
  <si>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</si>
  <si>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</si>
  <si>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</si>
  <si>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</si>
  <si>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</si>
  <si>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</si>
  <si>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</si>
  <si>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</si>
  <si>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</si>
  <si>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</si>
  <si>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</si>
  <si>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</si>
  <si>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</si>
  <si>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</si>
  <si>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</si>
  <si>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</si>
  <si>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</si>
  <si>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</si>
  <si>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</si>
  <si>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</si>
  <si>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</si>
  <si>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</si>
  <si>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</si>
  <si>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</si>
  <si>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</si>
  <si>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</si>
  <si>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</si>
  <si>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</si>
  <si>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</si>
  <si>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</si>
  <si>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</si>
  <si>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</si>
  <si>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</si>
  <si>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</si>
  <si>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</si>
  <si>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</si>
  <si>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</si>
  <si>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</si>
  <si>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</si>
  <si>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</si>
  <si>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</si>
  <si>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</si>
  <si>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</si>
  <si>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</si>
  <si>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</si>
  <si>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</si>
  <si>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</si>
  <si>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</si>
  <si>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</si>
  <si>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</si>
  <si>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</si>
  <si>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</si>
  <si>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</si>
  <si>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</si>
  <si>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</si>
  <si>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</si>
  <si>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</si>
  <si>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</si>
  <si>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</si>
  <si>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</si>
  <si>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</si>
  <si>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</si>
  <si>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</si>
  <si>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</si>
  <si>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</si>
  <si>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</si>
  <si>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</si>
  <si>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</si>
  <si>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</si>
  <si>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</si>
  <si>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</si>
  <si>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</si>
  <si>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</si>
  <si>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</si>
  <si>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</si>
  <si>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</si>
  <si>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</si>
  <si>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</si>
  <si>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</si>
  <si>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</si>
  <si>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</si>
  <si>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</si>
  <si>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</si>
  <si>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</si>
  <si>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</si>
  <si>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</si>
  <si>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</si>
  <si>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</si>
  <si>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</si>
  <si>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</si>
  <si>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</si>
  <si>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</si>
  <si>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</si>
  <si>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</si>
  <si>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</si>
  <si>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</si>
  <si>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</si>
  <si>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</si>
  <si>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</si>
  <si>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</si>
  <si>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</si>
  <si>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</si>
  <si>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</si>
  <si>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</si>
  <si>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</si>
  <si>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</si>
  <si>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</si>
  <si>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</si>
  <si>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</si>
  <si>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</si>
  <si>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</si>
  <si>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</si>
  <si>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</si>
  <si>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</si>
  <si>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</si>
  <si>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</si>
  <si>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</si>
  <si>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</si>
  <si>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</si>
  <si>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</si>
  <si>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</si>
  <si>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</si>
  <si>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</si>
  <si>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</si>
  <si>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</si>
  <si>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</si>
  <si>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</si>
  <si>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</si>
  <si>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</si>
  <si>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</si>
  <si>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</si>
  <si>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</si>
  <si>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</si>
  <si>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</si>
  <si>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</si>
  <si>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</si>
  <si>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</si>
  <si>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</si>
  <si>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</si>
  <si>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</si>
  <si>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</si>
  <si>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</si>
  <si>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</si>
  <si>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</si>
  <si>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</si>
  <si>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</si>
  <si>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</si>
  <si>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</si>
  <si>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</si>
  <si>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</si>
  <si>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</si>
  <si>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</si>
  <si>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</si>
  <si>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</si>
  <si>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</si>
  <si>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</si>
  <si>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</si>
  <si>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</si>
  <si>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</si>
  <si>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</si>
  <si>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</si>
  <si>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</si>
  <si>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</si>
  <si>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</si>
  <si>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</si>
  <si>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</si>
  <si>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</si>
  <si>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</si>
  <si>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</si>
  <si>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</si>
  <si>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</si>
  <si>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</si>
  <si>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</si>
  <si>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</si>
  <si>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</si>
  <si>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</si>
  <si>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</si>
  <si>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</si>
  <si>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</si>
  <si>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</si>
  <si>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</si>
  <si>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</si>
  <si>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</si>
  <si>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</si>
  <si>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</si>
  <si>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</si>
  <si>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</si>
  <si>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</si>
  <si>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</si>
  <si>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</si>
  <si>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</si>
  <si>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</si>
  <si>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</si>
  <si>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</si>
  <si>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</si>
  <si>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</si>
  <si>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</si>
  <si>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</si>
  <si>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</si>
  <si>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</si>
  <si>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</si>
  <si>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</si>
  <si>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</si>
  <si>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</si>
  <si>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</si>
  <si>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</si>
  <si>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</si>
  <si>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</si>
  <si>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</si>
  <si>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</si>
  <si>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</si>
  <si>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</si>
  <si>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</si>
  <si>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</si>
  <si>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</si>
  <si>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</si>
  <si>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</si>
  <si>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</si>
  <si>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</si>
  <si>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</si>
  <si>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</si>
  <si>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</si>
  <si>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</si>
  <si>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</si>
  <si>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</si>
  <si>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</si>
  <si>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</si>
  <si>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</si>
  <si>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</si>
  <si>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</si>
  <si>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</si>
  <si>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</si>
  <si>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</si>
  <si>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</si>
  <si>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</si>
  <si>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</si>
  <si>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</si>
  <si>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</si>
  <si>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</si>
  <si>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</si>
  <si>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</si>
  <si>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</si>
  <si>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</si>
  <si>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</si>
  <si>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</si>
  <si>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</si>
  <si>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</si>
  <si>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</si>
  <si>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</si>
  <si>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</si>
  <si>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</si>
  <si>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</si>
  <si>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</si>
  <si>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</si>
  <si>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</si>
  <si>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</si>
  <si>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</si>
  <si>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</si>
  <si>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</si>
  <si>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</si>
  <si>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</si>
  <si>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</si>
  <si>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</si>
  <si>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</si>
  <si>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</si>
  <si>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</si>
  <si>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</si>
  <si>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</si>
  <si>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</si>
  <si>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</si>
  <si>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</si>
  <si>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</si>
  <si>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</si>
  <si>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</si>
  <si>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</si>
  <si>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</si>
  <si>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</si>
  <si>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</si>
  <si>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</si>
  <si>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</si>
  <si>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</si>
  <si>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</si>
  <si>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</si>
  <si>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</si>
  <si>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</si>
  <si>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</si>
  <si>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</si>
  <si>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</si>
  <si>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</si>
  <si>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</si>
  <si>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</si>
  <si>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</si>
  <si>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</si>
  <si>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</si>
  <si>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</si>
  <si>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</si>
  <si>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</si>
  <si>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</si>
  <si>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</si>
  <si>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</si>
  <si>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</si>
  <si>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</si>
  <si>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</si>
  <si>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</si>
  <si>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</si>
  <si>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</si>
  <si>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</si>
  <si>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</si>
  <si>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</si>
  <si>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</si>
  <si>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</si>
  <si>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</si>
  <si>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</si>
  <si>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</si>
  <si>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</si>
  <si>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</si>
  <si>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</si>
  <si>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</si>
  <si>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</si>
  <si>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</si>
  <si>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</si>
  <si>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</si>
  <si>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</si>
  <si>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</si>
  <si>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</si>
  <si>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</si>
  <si>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</si>
  <si>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</si>
  <si>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</si>
  <si>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</si>
  <si>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</si>
  <si>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</si>
  <si>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</si>
  <si>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</si>
  <si>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</si>
  <si>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</si>
  <si>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</si>
  <si>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</si>
  <si>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</si>
  <si>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</si>
  <si>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</si>
  <si>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</si>
  <si>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</si>
  <si>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</si>
  <si>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</si>
  <si>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</si>
  <si>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</si>
  <si>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</si>
  <si>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</si>
  <si>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</si>
  <si>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</si>
  <si>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</si>
  <si>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</si>
  <si>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</si>
  <si>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</si>
  <si>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</si>
  <si>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</si>
  <si>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</si>
  <si>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</si>
  <si>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</si>
  <si>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</si>
  <si>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</si>
  <si>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</si>
  <si>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</si>
  <si>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</si>
  <si>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</si>
  <si>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</si>
  <si>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</si>
  <si>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</si>
  <si>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</si>
  <si>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</si>
  <si>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</si>
  <si>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</si>
  <si>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</si>
  <si>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</si>
  <si>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</si>
  <si>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</si>
  <si>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</si>
  <si>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</si>
  <si>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</si>
  <si>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</si>
  <si>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</si>
  <si>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</si>
  <si>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</si>
  <si>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</si>
  <si>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</si>
  <si>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</si>
  <si>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</si>
  <si>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</si>
  <si>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</si>
  <si>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</si>
  <si>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</si>
  <si>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</si>
  <si>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</si>
  <si>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</si>
  <si>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</si>
  <si>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</si>
  <si>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</si>
  <si>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</si>
  <si>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</si>
  <si>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</si>
  <si>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</si>
  <si>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</si>
  <si>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</si>
  <si>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</si>
  <si>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</si>
  <si>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</si>
  <si>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</si>
  <si>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</si>
  <si>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</si>
  <si>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</si>
  <si>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</si>
  <si>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</si>
  <si>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</si>
  <si>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</si>
  <si>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</si>
  <si>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</si>
  <si>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</si>
  <si>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</si>
  <si>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</si>
  <si>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</si>
  <si>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</si>
  <si>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</si>
  <si>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</si>
  <si>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</si>
  <si>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</si>
  <si>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</si>
  <si>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</si>
  <si>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</si>
  <si>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</si>
  <si>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</si>
  <si>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</si>
  <si>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</si>
  <si>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</si>
  <si>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</si>
  <si>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</si>
  <si>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</si>
  <si>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</si>
  <si>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</si>
  <si>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</si>
  <si>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</si>
  <si>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</si>
  <si>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</si>
  <si>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</si>
  <si>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</si>
  <si>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</si>
  <si>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</si>
  <si>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</si>
  <si>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</si>
  <si>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</si>
  <si>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</si>
  <si>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</si>
  <si>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</si>
  <si>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</si>
  <si>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</si>
  <si>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</si>
  <si>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</si>
  <si>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</si>
  <si>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</si>
  <si>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</si>
  <si>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</si>
  <si>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</si>
  <si>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</si>
  <si>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</si>
  <si>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</si>
  <si>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</si>
  <si>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</si>
  <si>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</si>
  <si>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</si>
  <si>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</si>
  <si>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</si>
  <si>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</si>
  <si>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</si>
  <si>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</si>
  <si>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</si>
  <si>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</si>
  <si>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</si>
  <si>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</si>
  <si>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</si>
  <si>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</si>
  <si>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</si>
  <si>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</si>
  <si>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</si>
  <si>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</si>
  <si>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</si>
  <si>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</si>
  <si>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</si>
  <si>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</si>
  <si>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</si>
  <si>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</si>
  <si>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</si>
  <si>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</si>
  <si>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</si>
  <si>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</si>
  <si>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</si>
  <si>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</si>
  <si>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</si>
  <si>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</si>
  <si>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</si>
  <si>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</si>
  <si>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</si>
  <si>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</si>
  <si>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</si>
  <si>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</si>
  <si>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</si>
  <si>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</si>
  <si>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</si>
  <si>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</si>
  <si>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</si>
  <si>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</si>
  <si>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</si>
  <si>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</si>
  <si>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</si>
  <si>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</si>
  <si>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</si>
  <si>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</si>
  <si>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</si>
  <si>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</si>
  <si>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</si>
  <si>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</si>
  <si>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</si>
  <si>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</si>
  <si>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</si>
  <si>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</si>
  <si>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</si>
  <si>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</si>
  <si>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</si>
  <si>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</si>
  <si>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</si>
  <si>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</si>
  <si>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</si>
  <si>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</si>
  <si>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</si>
  <si>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</si>
  <si>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</si>
  <si>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</si>
  <si>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</si>
  <si>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</si>
  <si>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</si>
  <si>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</si>
  <si>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</si>
  <si>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</si>
  <si>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</si>
  <si>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</si>
  <si>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</si>
  <si>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</si>
  <si>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</si>
  <si>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</si>
  <si>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</si>
  <si>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</si>
  <si>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</si>
  <si>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</si>
  <si>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</si>
  <si>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</si>
  <si>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</si>
  <si>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</si>
  <si>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</si>
  <si>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</si>
  <si>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</si>
  <si>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</si>
  <si>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</si>
  <si>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</si>
  <si>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</si>
  <si>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</si>
  <si>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</si>
  <si>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</si>
  <si>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</si>
  <si>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</si>
  <si>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</si>
  <si>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</si>
  <si>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</si>
  <si>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</si>
  <si>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</si>
  <si>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</si>
  <si>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</si>
  <si>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</si>
  <si>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</si>
  <si>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</si>
  <si>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</si>
  <si>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</si>
  <si>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</si>
  <si>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</si>
  <si>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</si>
  <si>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</si>
  <si>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</si>
  <si>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</si>
  <si>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</si>
  <si>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</si>
  <si>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</si>
  <si>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</si>
  <si>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</si>
  <si>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</si>
  <si>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</si>
  <si>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</si>
  <si>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</si>
  <si>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</si>
  <si>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</si>
  <si>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</si>
  <si>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</si>
  <si>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</si>
  <si>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</si>
  <si>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</si>
  <si>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</si>
  <si>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</si>
  <si>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</si>
  <si>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</si>
  <si>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</si>
  <si>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</si>
  <si>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</si>
  <si>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</si>
  <si>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</si>
  <si>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</si>
  <si>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</si>
  <si>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</si>
  <si>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</si>
  <si>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</si>
  <si>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</si>
  <si>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</si>
  <si>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</si>
  <si>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</si>
  <si>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</si>
  <si>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</si>
  <si>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</si>
  <si>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</si>
  <si>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</si>
  <si>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</si>
  <si>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</si>
  <si>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</si>
  <si>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</si>
  <si>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</si>
  <si>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</si>
  <si>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</si>
  <si>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</si>
  <si>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</si>
  <si>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</si>
  <si>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</si>
  <si>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</si>
  <si>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</si>
  <si>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</si>
  <si>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</si>
  <si>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</si>
  <si>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</si>
  <si>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</si>
  <si>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</si>
  <si>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</si>
  <si>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</si>
  <si>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</si>
  <si>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</si>
  <si>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</si>
  <si>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</si>
  <si>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</si>
  <si>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</si>
  <si>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</si>
  <si>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</si>
  <si>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</si>
  <si>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</si>
  <si>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</si>
  <si>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</si>
  <si>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</si>
  <si>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</si>
  <si>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</si>
  <si>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</si>
  <si>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</si>
  <si>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</si>
  <si>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</si>
  <si>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</si>
  <si>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</si>
  <si>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</si>
  <si>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</si>
  <si>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</si>
  <si>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</si>
  <si>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</si>
  <si>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</si>
  <si>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</si>
  <si>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</si>
  <si>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</si>
  <si>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</si>
  <si>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</si>
  <si>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</si>
  <si>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</si>
  <si>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</si>
  <si>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</si>
  <si>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</si>
  <si>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</si>
  <si>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</si>
  <si>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</si>
  <si>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</si>
  <si>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</si>
  <si>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</si>
  <si>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</si>
  <si>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</si>
  <si>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</si>
  <si>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</si>
  <si>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</si>
  <si>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</si>
  <si>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</si>
  <si>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</si>
  <si>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</si>
  <si>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</si>
  <si>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</si>
  <si>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</si>
  <si>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</si>
  <si>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</si>
  <si>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</si>
  <si>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</si>
  <si>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</si>
  <si>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</si>
  <si>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</si>
  <si>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</si>
  <si>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</si>
  <si>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</si>
  <si>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</si>
  <si>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</si>
  <si>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</si>
  <si>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</si>
  <si>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</si>
  <si>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</si>
  <si>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</si>
  <si>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</si>
  <si>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</si>
  <si>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</si>
  <si>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</si>
  <si>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</si>
  <si>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</si>
  <si>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</si>
  <si>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</si>
  <si>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</si>
  <si>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</si>
  <si>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</si>
  <si>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</si>
  <si>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</si>
  <si>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</si>
  <si>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</si>
  <si>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</si>
  <si>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</si>
  <si>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</si>
  <si>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</si>
  <si>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</si>
  <si>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</si>
  <si>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</si>
  <si>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</si>
  <si>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</si>
  <si>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</si>
  <si>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</si>
  <si>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</si>
  <si>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</si>
  <si>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</si>
  <si>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</si>
  <si>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</si>
  <si>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</si>
  <si>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</si>
  <si>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</si>
  <si>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</si>
  <si>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</si>
  <si>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</si>
  <si>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</si>
  <si>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</si>
  <si>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</si>
  <si>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</si>
  <si>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</si>
  <si>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</si>
  <si>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</si>
  <si>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</si>
  <si>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</si>
  <si>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</si>
  <si>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</si>
  <si>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</si>
  <si>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</si>
  <si>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</si>
  <si>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</si>
  <si>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</si>
  <si>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</si>
  <si>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</si>
  <si>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</si>
  <si>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</si>
  <si>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</si>
  <si>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</si>
  <si>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</si>
  <si>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</si>
  <si>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</si>
  <si>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</si>
  <si>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</si>
  <si>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</si>
  <si>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</si>
  <si>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</si>
  <si>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</si>
  <si>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</si>
  <si>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</si>
  <si>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</si>
  <si>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</si>
  <si>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</si>
  <si>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</si>
  <si>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</si>
  <si>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</si>
  <si>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</si>
  <si>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</si>
  <si>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</si>
  <si>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</si>
  <si>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</si>
  <si>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</si>
  <si>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</si>
  <si>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</si>
  <si>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</si>
  <si>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</si>
  <si>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</si>
  <si>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</si>
  <si>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</si>
  <si>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</si>
  <si>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</si>
  <si>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</si>
  <si>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</si>
  <si>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</si>
  <si>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</si>
  <si>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</si>
  <si>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</si>
  <si>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</si>
  <si>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</si>
  <si>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</si>
  <si>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</si>
  <si>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</si>
  <si>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</si>
  <si>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</si>
  <si>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</si>
  <si>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</si>
  <si>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</si>
  <si>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</si>
  <si>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</si>
  <si>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</si>
  <si>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</si>
  <si>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</si>
  <si>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</si>
  <si>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</si>
  <si>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</si>
  <si>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</si>
  <si>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</si>
  <si>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</si>
  <si>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</si>
  <si>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</si>
  <si>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</si>
  <si>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</si>
  <si>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</si>
  <si>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</si>
  <si>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</si>
  <si>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</si>
  <si>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</si>
  <si>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</si>
  <si>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</si>
  <si>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</si>
  <si>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</si>
  <si>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</si>
  <si>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</si>
  <si>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</si>
  <si>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</si>
  <si>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</si>
  <si>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</si>
  <si>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</si>
  <si>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</si>
  <si>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</si>
  <si>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</si>
  <si>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</si>
  <si>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</si>
  <si>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</si>
  <si>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</si>
  <si>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</si>
  <si>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</si>
  <si>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</si>
  <si>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</si>
  <si>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</si>
  <si>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</si>
  <si>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</si>
  <si>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</si>
  <si>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</si>
  <si>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</si>
  <si>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</si>
  <si>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</si>
  <si>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</si>
  <si>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</si>
  <si>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</si>
  <si>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</si>
  <si>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</si>
  <si>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</si>
  <si>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</si>
  <si>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</si>
  <si>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</si>
  <si>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</si>
  <si>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</si>
  <si>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</si>
  <si>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</si>
  <si>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</si>
  <si>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</si>
  <si>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</si>
  <si>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</si>
  <si>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</si>
  <si>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</si>
  <si>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</si>
  <si>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</si>
  <si>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</si>
  <si>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</si>
  <si>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</si>
  <si>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</si>
  <si>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</si>
  <si>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</si>
  <si>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</si>
  <si>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</si>
  <si>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</si>
  <si>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</si>
  <si>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</si>
  <si>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</si>
  <si>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</si>
  <si>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</si>
  <si>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</si>
  <si>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</si>
  <si>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</si>
  <si>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</si>
  <si>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</si>
  <si>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</si>
  <si>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</si>
  <si>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</si>
  <si>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</si>
  <si>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</si>
  <si>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</si>
  <si>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</si>
  <si>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</si>
  <si>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</si>
  <si>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</si>
  <si>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</si>
  <si>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</si>
  <si>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</si>
  <si>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</si>
  <si>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</si>
  <si>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</si>
  <si>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</si>
  <si>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</si>
  <si>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</si>
  <si>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</si>
  <si>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</si>
  <si>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</si>
  <si>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</si>
  <si>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</si>
  <si>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</si>
  <si>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</si>
  <si>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</si>
  <si>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</si>
  <si>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</si>
  <si>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</si>
  <si>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</si>
  <si>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</si>
  <si>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</si>
  <si>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</si>
  <si>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</si>
  <si>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</si>
  <si>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</si>
  <si>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</si>
  <si>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</si>
  <si>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</si>
  <si>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</si>
  <si>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</si>
  <si>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</si>
  <si>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</si>
  <si>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</si>
  <si>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</si>
  <si>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</si>
  <si>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</si>
  <si>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</si>
  <si>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</si>
  <si>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</si>
  <si>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</si>
  <si>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</si>
  <si>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</si>
  <si>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</si>
  <si>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</si>
  <si>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</si>
  <si>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</si>
  <si>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</si>
  <si>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</si>
  <si>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</si>
  <si>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</si>
  <si>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</si>
  <si>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</si>
  <si>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</si>
  <si>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</si>
  <si>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</si>
  <si>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</si>
  <si>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</si>
  <si>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</si>
  <si>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</si>
  <si>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</si>
  <si>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</si>
  <si>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</si>
  <si>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</si>
  <si>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</si>
  <si>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</si>
  <si>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</si>
  <si>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</si>
  <si>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</si>
  <si>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</si>
  <si>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</si>
  <si>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</si>
  <si>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</si>
  <si>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</si>
  <si>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</si>
  <si>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</si>
  <si>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</si>
  <si>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</si>
  <si>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</si>
  <si>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</si>
  <si>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</si>
  <si>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</si>
  <si>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</si>
  <si>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</si>
  <si>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</si>
  <si>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</si>
  <si>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</si>
  <si>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</si>
  <si>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</si>
  <si>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</si>
  <si>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</si>
  <si>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</si>
  <si>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</si>
  <si>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</si>
  <si>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</si>
  <si>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</si>
  <si>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</si>
  <si>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</si>
  <si>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</si>
  <si>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</si>
  <si>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</si>
  <si>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</si>
  <si>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</si>
  <si>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</si>
  <si>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</si>
  <si>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</si>
  <si>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</si>
  <si>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</si>
  <si>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</si>
  <si>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</si>
  <si>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</si>
  <si>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</si>
  <si>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</si>
  <si>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</si>
  <si>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</si>
  <si>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</si>
  <si>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</si>
  <si>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</si>
  <si>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</si>
  <si>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</si>
  <si>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</si>
  <si>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</si>
  <si>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</si>
  <si>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</si>
  <si>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</si>
  <si>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</si>
  <si>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</si>
  <si>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</si>
  <si>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</si>
  <si>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</si>
  <si>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</si>
  <si>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</si>
  <si>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</si>
  <si>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</si>
  <si>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</si>
  <si>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</si>
  <si>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</si>
  <si>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</si>
  <si>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</si>
  <si>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</si>
  <si>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</si>
  <si>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</si>
  <si>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</si>
  <si>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</si>
  <si>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</si>
  <si>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</si>
  <si>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</si>
  <si>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</si>
  <si>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</si>
  <si>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</si>
  <si>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</si>
  <si>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</si>
  <si>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</si>
  <si>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</si>
  <si>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</si>
  <si>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</si>
  <si>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</si>
  <si>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</si>
  <si>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</si>
  <si>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</si>
  <si>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</si>
  <si>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</si>
  <si>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</si>
  <si>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</si>
  <si>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</si>
  <si>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</si>
  <si>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</si>
  <si>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</si>
  <si>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</si>
  <si>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</si>
  <si>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</si>
  <si>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</si>
  <si>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</si>
  <si>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</si>
  <si>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</si>
  <si>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</si>
  <si>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</si>
  <si>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</si>
  <si>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</si>
  <si>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</si>
  <si>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</si>
  <si>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</si>
  <si>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</si>
  <si>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</si>
  <si>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</si>
  <si>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</si>
  <si>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</si>
  <si>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</si>
  <si>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</si>
  <si>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</si>
  <si>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</si>
  <si>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</si>
  <si>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</si>
  <si>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</si>
  <si>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</si>
  <si>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</si>
  <si>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</si>
  <si>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</si>
  <si>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</si>
  <si>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</si>
  <si>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</si>
  <si>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</si>
  <si>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</si>
  <si>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</si>
  <si>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</si>
  <si>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</si>
  <si>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</si>
  <si>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</si>
  <si>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</si>
  <si>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</si>
  <si>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</si>
  <si>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</si>
  <si>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</si>
  <si>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</si>
  <si>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</si>
  <si>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</si>
  <si>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</si>
  <si>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</si>
  <si>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</si>
  <si>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</si>
  <si>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</si>
  <si>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</si>
  <si>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</si>
  <si>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</si>
  <si>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</si>
  <si>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</si>
  <si>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</si>
  <si>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</si>
  <si>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</si>
  <si>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</si>
  <si>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</si>
  <si>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</si>
  <si>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</si>
  <si>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</si>
  <si>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</si>
  <si>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</si>
  <si>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</si>
  <si>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</si>
  <si>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</si>
  <si>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</si>
  <si>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</si>
  <si>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</si>
  <si>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</si>
  <si>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</si>
  <si>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</si>
  <si>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</si>
  <si>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</si>
  <si>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</si>
  <si>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</si>
  <si>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</si>
  <si>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</si>
  <si>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</si>
  <si>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</si>
  <si>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</si>
  <si>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</si>
  <si>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</si>
  <si>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</si>
  <si>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</si>
  <si>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</si>
  <si>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</si>
  <si>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</si>
  <si>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</si>
  <si>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</si>
  <si>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</si>
  <si>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</si>
  <si>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</si>
  <si>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</si>
  <si>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</si>
  <si>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</si>
  <si>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</si>
  <si>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</si>
  <si>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</si>
  <si>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</si>
  <si>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</si>
  <si>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</si>
  <si>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</si>
  <si>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</si>
  <si>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</si>
  <si>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</si>
  <si>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</si>
  <si>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</si>
  <si>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</si>
  <si>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</si>
  <si>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</si>
  <si>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</si>
  <si>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</si>
  <si>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</si>
  <si>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</si>
  <si>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</si>
  <si>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</si>
  <si>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</si>
  <si>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</si>
  <si>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</si>
  <si>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</si>
  <si>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</si>
  <si>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</si>
  <si>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</si>
  <si>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</si>
  <si>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</si>
  <si>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</si>
  <si>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</si>
  <si>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</si>
  <si>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</si>
  <si>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</si>
  <si>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</si>
  <si>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</si>
  <si>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</si>
  <si>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</si>
  <si>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</si>
  <si>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</si>
  <si>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</si>
  <si>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</si>
  <si>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</si>
  <si>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</si>
  <si>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</si>
  <si>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</si>
  <si>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</si>
  <si>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</si>
  <si>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</si>
  <si>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</si>
  <si>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</si>
  <si>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</si>
  <si>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</si>
  <si>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</si>
  <si>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</si>
  <si>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</si>
  <si>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</si>
  <si>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</si>
  <si>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</si>
  <si>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</si>
  <si>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</si>
  <si>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</si>
  <si>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</si>
  <si>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</si>
  <si>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</si>
  <si>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</si>
  <si>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</si>
  <si>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</si>
  <si>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</si>
  <si>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</si>
  <si>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</si>
  <si>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</si>
  <si>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</si>
  <si>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</si>
  <si>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</si>
  <si>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</si>
  <si>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</si>
  <si>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</si>
  <si>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</si>
  <si>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</si>
  <si>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</si>
  <si>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</si>
  <si>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</si>
  <si>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</si>
  <si>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</si>
  <si>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</si>
  <si>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</si>
  <si>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</si>
  <si>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</si>
  <si>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</si>
  <si>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</si>
  <si>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</si>
  <si>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</si>
  <si>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</si>
  <si>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</si>
  <si>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</si>
  <si>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</si>
  <si>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</si>
  <si>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</si>
  <si>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</si>
  <si>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</si>
  <si>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</si>
  <si>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</si>
  <si>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</si>
  <si>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</si>
  <si>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</si>
  <si>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</si>
  <si>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</si>
  <si>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</si>
  <si>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</si>
  <si>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</si>
  <si>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</si>
  <si>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</si>
  <si>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</si>
  <si>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</si>
  <si>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</si>
  <si>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</si>
  <si>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</si>
  <si>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</si>
  <si>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</si>
  <si>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</si>
  <si>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</si>
  <si>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</si>
  <si>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</si>
  <si>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</si>
  <si>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</si>
  <si>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</si>
  <si>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</si>
  <si>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</si>
  <si>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</si>
  <si>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</si>
  <si>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</si>
  <si>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</si>
  <si>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</si>
  <si>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</si>
  <si>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</si>
  <si>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</si>
  <si>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</si>
  <si>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</si>
  <si>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</si>
  <si>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</si>
  <si>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</si>
  <si>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</si>
  <si>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</si>
  <si>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</si>
  <si>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</si>
  <si>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</si>
  <si>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</si>
  <si>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</si>
  <si>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</si>
  <si>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</si>
  <si>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</si>
  <si>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</si>
  <si>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</si>
  <si>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</si>
  <si>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</si>
  <si>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</si>
  <si>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</si>
  <si>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</si>
  <si>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</si>
  <si>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</si>
  <si>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</si>
  <si>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</si>
  <si>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</si>
  <si>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</si>
  <si>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</si>
  <si>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</si>
  <si>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</si>
  <si>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</si>
  <si>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</si>
  <si>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</si>
  <si>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</si>
  <si>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</si>
  <si>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</si>
  <si>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</si>
  <si>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</si>
  <si>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</si>
  <si>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</si>
  <si>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</si>
  <si>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</si>
  <si>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</si>
  <si>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</si>
  <si>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</si>
  <si>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</si>
  <si>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</si>
  <si>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</si>
  <si>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</si>
  <si>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</si>
  <si>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</si>
  <si>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</si>
  <si>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</si>
  <si>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</si>
  <si>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</si>
  <si>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</si>
  <si>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</si>
  <si>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</si>
  <si>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</si>
  <si>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</si>
  <si>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</si>
  <si>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</si>
  <si>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</si>
  <si>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</si>
  <si>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</si>
  <si>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</si>
  <si>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</si>
  <si>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</si>
  <si>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</si>
  <si>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</si>
  <si>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</si>
  <si>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</si>
  <si>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</si>
  <si>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</si>
  <si>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</si>
  <si>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</si>
  <si>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</si>
  <si>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</si>
  <si>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</si>
  <si>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</si>
  <si>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</si>
  <si>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</si>
  <si>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</si>
  <si>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</si>
  <si>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</si>
  <si>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</si>
  <si>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</si>
  <si>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</si>
  <si>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</si>
  <si>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</si>
  <si>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</si>
  <si>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</si>
  <si>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</si>
  <si>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</si>
  <si>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</si>
  <si>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</si>
  <si>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</si>
  <si>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</si>
  <si>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</si>
  <si>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</si>
  <si>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</si>
  <si>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</si>
  <si>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</si>
  <si>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</si>
  <si>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</si>
  <si>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</si>
  <si>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</si>
  <si>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</si>
  <si>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</si>
  <si>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</si>
  <si>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</si>
  <si>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</si>
  <si>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</si>
  <si>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</si>
  <si>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</si>
  <si>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4号楼</t>
  </si>
  <si>
    <t xml:space="preserve"> </t>
  </si>
  <si>
    <t>三室二厅二卫一厨</t>
  </si>
  <si>
    <t>东</t>
    <phoneticPr fontId="24" type="noConversion"/>
  </si>
  <si>
    <t>电梯</t>
  </si>
  <si>
    <t>停车</t>
  </si>
  <si>
    <t>楼层</t>
    <phoneticPr fontId="24" type="noConversion"/>
  </si>
  <si>
    <t>高层塔楼</t>
  </si>
  <si>
    <t>高层塔楼</t>
    <phoneticPr fontId="24" type="noConversion"/>
  </si>
  <si>
    <t>原合同</t>
    <phoneticPr fontId="8" type="noConversion"/>
  </si>
  <si>
    <t>二手房</t>
    <phoneticPr fontId="24" type="noConversion"/>
  </si>
  <si>
    <t>一手房</t>
    <phoneticPr fontId="24" type="noConversion"/>
  </si>
  <si>
    <t>区县</t>
  </si>
  <si>
    <t>估价对象房屋坐落</t>
  </si>
  <si>
    <t>楼盘名称(物业名称)</t>
  </si>
  <si>
    <t>房屋所有权证幢号</t>
  </si>
  <si>
    <t>单元号</t>
  </si>
  <si>
    <t>房号</t>
  </si>
  <si>
    <t>建筑面积</t>
  </si>
  <si>
    <t>房屋总层数</t>
  </si>
  <si>
    <t>所在楼层</t>
  </si>
  <si>
    <t>户型</t>
  </si>
  <si>
    <t>成交单价</t>
  </si>
  <si>
    <t>成交总价</t>
  </si>
  <si>
    <t>评估单价</t>
  </si>
  <si>
    <t>评估总价</t>
  </si>
  <si>
    <t>估价日期</t>
  </si>
  <si>
    <t>交易日期</t>
  </si>
  <si>
    <t xml:space="preserve">
所在环线位置</t>
  </si>
  <si>
    <t>所处典型区域</t>
  </si>
  <si>
    <t>交通组织方式</t>
  </si>
  <si>
    <t>查勘人</t>
  </si>
  <si>
    <t>经度</t>
  </si>
  <si>
    <t>纬度</t>
  </si>
  <si>
    <t>丰台区</t>
  </si>
  <si>
    <t>望园东里</t>
  </si>
  <si>
    <t>13号楼</t>
  </si>
  <si>
    <t>3-502号</t>
  </si>
  <si>
    <t>二室一厅一卫一厨</t>
  </si>
  <si>
    <t>2008-3-31</t>
  </si>
  <si>
    <t>望园西里</t>
  </si>
  <si>
    <t>23号楼</t>
  </si>
  <si>
    <t>6门402号</t>
  </si>
  <si>
    <t>2008-6-3</t>
  </si>
  <si>
    <t>6号楼</t>
  </si>
  <si>
    <t>1702号</t>
  </si>
  <si>
    <t>2008-6-12</t>
  </si>
  <si>
    <t>6门302号</t>
  </si>
  <si>
    <t>2008-6-13</t>
  </si>
  <si>
    <t>14号楼</t>
  </si>
  <si>
    <t>3门</t>
  </si>
  <si>
    <t>202号</t>
  </si>
  <si>
    <t>2008-7-1</t>
  </si>
  <si>
    <t>东大街西里</t>
  </si>
  <si>
    <t>1-9号</t>
  </si>
  <si>
    <t>2008-8-6</t>
  </si>
  <si>
    <t>25号楼</t>
  </si>
  <si>
    <t>2002号</t>
  </si>
  <si>
    <t>三室一厅二卫一厨</t>
  </si>
  <si>
    <t>2008-9-3</t>
  </si>
  <si>
    <t>2号楼</t>
  </si>
  <si>
    <t>19层</t>
  </si>
  <si>
    <t>1910号</t>
  </si>
  <si>
    <t>三室一厅一卫一厨</t>
  </si>
  <si>
    <t>2008-9-10</t>
  </si>
  <si>
    <t>丰管路3号院</t>
  </si>
  <si>
    <t>7号楼</t>
  </si>
  <si>
    <t>106号</t>
  </si>
  <si>
    <t>二室二厅一卫一厨</t>
  </si>
  <si>
    <t>2008-11-24</t>
  </si>
  <si>
    <t>丰桥路六号院</t>
  </si>
  <si>
    <t>205室</t>
  </si>
  <si>
    <t>一室一厅一卫一厨</t>
  </si>
  <si>
    <t>2008-1-8</t>
  </si>
  <si>
    <t>丰华苑</t>
  </si>
  <si>
    <t>10号楼</t>
  </si>
  <si>
    <t>1705号</t>
  </si>
  <si>
    <t>2008-1-29</t>
  </si>
  <si>
    <t>2005号</t>
  </si>
  <si>
    <t>2008-3-21</t>
  </si>
  <si>
    <t>3幢</t>
  </si>
  <si>
    <t>207号</t>
  </si>
  <si>
    <t>2008-4-1</t>
  </si>
  <si>
    <t>2508号</t>
  </si>
  <si>
    <t>2008-4-11</t>
  </si>
  <si>
    <t>丰华苑西街7号院</t>
  </si>
  <si>
    <t>1号楼</t>
  </si>
  <si>
    <t>2-601号</t>
  </si>
  <si>
    <t>2008-5-9</t>
  </si>
  <si>
    <t>1209号</t>
  </si>
  <si>
    <t>2008-5-12</t>
  </si>
  <si>
    <t>大井南里</t>
  </si>
  <si>
    <t>44号</t>
  </si>
  <si>
    <t>2008-5-26</t>
  </si>
  <si>
    <t>七里庄路4号院</t>
  </si>
  <si>
    <t>3号楼</t>
  </si>
  <si>
    <t>2202号</t>
  </si>
  <si>
    <t>2008-8-1</t>
  </si>
  <si>
    <t>东大街东里</t>
  </si>
  <si>
    <t>1门401号</t>
  </si>
  <si>
    <t>丰台北路</t>
  </si>
  <si>
    <t>46号楼</t>
  </si>
  <si>
    <t>14层4单元</t>
  </si>
  <si>
    <t>1402号</t>
  </si>
  <si>
    <t>2008-9-12</t>
  </si>
  <si>
    <t>507号</t>
  </si>
  <si>
    <t>2008-9-27</t>
  </si>
  <si>
    <t>13层1301号</t>
  </si>
  <si>
    <t>2008-9-25</t>
  </si>
  <si>
    <t>26号楼</t>
  </si>
  <si>
    <t>6-302号</t>
  </si>
  <si>
    <t>2008-11-27</t>
  </si>
  <si>
    <t>11号楼</t>
  </si>
  <si>
    <t>4门601号</t>
  </si>
  <si>
    <t>2008-11-21</t>
  </si>
  <si>
    <t>2109号</t>
  </si>
  <si>
    <t>2008-11-19</t>
  </si>
  <si>
    <t>1306号</t>
  </si>
  <si>
    <t>2008-11-13</t>
  </si>
  <si>
    <t>8号楼</t>
  </si>
  <si>
    <t>16层</t>
  </si>
  <si>
    <t>1602号</t>
  </si>
  <si>
    <t>16</t>
  </si>
  <si>
    <t>2008-12-26</t>
  </si>
  <si>
    <t>丰管路5号院</t>
  </si>
  <si>
    <t>12层</t>
  </si>
  <si>
    <t>1211号</t>
  </si>
  <si>
    <t>2008-12-15</t>
  </si>
  <si>
    <t>17号楼</t>
  </si>
  <si>
    <t>109.07</t>
  </si>
  <si>
    <t>22</t>
  </si>
  <si>
    <t>2008-12-23</t>
  </si>
  <si>
    <t>4号</t>
  </si>
  <si>
    <t>5门</t>
  </si>
  <si>
    <t>401号</t>
  </si>
  <si>
    <t>2008-12-31</t>
  </si>
  <si>
    <t>丰体时代</t>
    <phoneticPr fontId="3" type="noConversion"/>
  </si>
  <si>
    <t>东</t>
  </si>
  <si>
    <t>西南</t>
  </si>
  <si>
    <t>西南</t>
    <phoneticPr fontId="134" type="noConversion"/>
  </si>
  <si>
    <t>东北</t>
    <phoneticPr fontId="134" type="noConversion"/>
  </si>
  <si>
    <t>南北</t>
    <phoneticPr fontId="134" type="noConversion"/>
  </si>
  <si>
    <t>西南</t>
    <phoneticPr fontId="24" type="noConversion"/>
  </si>
  <si>
    <t>8/28</t>
    <phoneticPr fontId="24" type="noConversion"/>
  </si>
  <si>
    <r>
      <t>2</t>
    </r>
    <r>
      <rPr>
        <sz val="11"/>
        <color theme="1"/>
        <rFont val="宋体"/>
        <family val="3"/>
        <charset val="134"/>
        <scheme val="minor"/>
      </rPr>
      <t>/24</t>
    </r>
    <phoneticPr fontId="134" type="noConversion"/>
  </si>
  <si>
    <r>
      <t>2</t>
    </r>
    <r>
      <rPr>
        <sz val="11"/>
        <color theme="1"/>
        <rFont val="宋体"/>
        <family val="3"/>
        <charset val="134"/>
        <scheme val="minor"/>
      </rPr>
      <t>0/24</t>
    </r>
    <phoneticPr fontId="134" type="noConversion"/>
  </si>
  <si>
    <r>
      <t>2</t>
    </r>
    <r>
      <rPr>
        <sz val="11"/>
        <color theme="1"/>
        <rFont val="宋体"/>
        <family val="3"/>
        <charset val="134"/>
        <scheme val="minor"/>
      </rPr>
      <t>1/24</t>
    </r>
    <phoneticPr fontId="134" type="noConversion"/>
  </si>
  <si>
    <t>一般</t>
  </si>
  <si>
    <t>较好</t>
  </si>
  <si>
    <t>望园西里</t>
    <phoneticPr fontId="134" type="noConversion"/>
  </si>
  <si>
    <t>东西</t>
    <phoneticPr fontId="24" type="noConversion"/>
  </si>
  <si>
    <t>西北</t>
  </si>
  <si>
    <t>西北</t>
    <phoneticPr fontId="134" type="noConversion"/>
  </si>
  <si>
    <r>
      <t>1</t>
    </r>
    <r>
      <rPr>
        <sz val="11"/>
        <color theme="1"/>
        <rFont val="宋体"/>
        <family val="3"/>
        <charset val="134"/>
        <scheme val="minor"/>
      </rPr>
      <t>9/24</t>
    </r>
    <phoneticPr fontId="134" type="noConversion"/>
  </si>
  <si>
    <t>西北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</si>
</sst>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74" fillId="0" borderId="0"/>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0" fontId="269" fillId="0" borderId="0" xfId="0" applyFont="1">
      <alignment vertical="center"/>
    </xf>
    <xf numFmtId="196" fontId="19" fillId="0" borderId="1" xfId="0" applyNumberFormat="1" applyFont="1" applyBorder="1" applyAlignment="1">
      <alignment horizontal="center"/>
    </xf>
    <xf numFmtId="196" fontId="19" fillId="5" borderId="1" xfId="0" applyNumberFormat="1" applyFont="1" applyFill="1" applyBorder="1" applyAlignment="1" applyProtection="1">
      <alignment horizontal="center"/>
      <protection locked="0"/>
    </xf>
    <xf numFmtId="196" fontId="19" fillId="0" borderId="1" xfId="0" applyNumberFormat="1" applyFont="1" applyBorder="1" applyAlignment="1" applyProtection="1">
      <alignment horizontal="center"/>
      <protection locked="0"/>
    </xf>
    <xf numFmtId="196" fontId="19" fillId="0" borderId="1" xfId="19" applyNumberFormat="1" applyFont="1" applyBorder="1" applyAlignment="1">
      <alignment horizontal="center"/>
    </xf>
    <xf numFmtId="196" fontId="19" fillId="5" borderId="1" xfId="0" applyNumberFormat="1" applyFont="1" applyFill="1" applyBorder="1" applyAlignment="1">
      <alignment horizontal="center"/>
    </xf>
    <xf numFmtId="0" fontId="0" fillId="5" borderId="0" xfId="0" applyFill="1">
      <alignment vertical="center"/>
    </xf>
    <xf numFmtId="0" fontId="269" fillId="5" borderId="0" xfId="0" applyFont="1" applyFill="1">
      <alignment vertical="center"/>
    </xf>
    <xf numFmtId="0" fontId="0" fillId="0" borderId="0" xfId="0" applyAlignment="1">
      <alignment horizontal="center" vertical="center"/>
    </xf>
    <xf numFmtId="0" fontId="0" fillId="5" borderId="0" xfId="0" applyFill="1" applyAlignment="1">
      <alignment horizontal="center" vertical="center"/>
    </xf>
    <xf numFmtId="49" fontId="0" fillId="0" borderId="0" xfId="0" applyNumberFormat="1">
      <alignment vertical="center"/>
    </xf>
    <xf numFmtId="4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19" xr:uid="{C2873E77-AA9A-4BDF-B824-C8B2BE2CD3DE}"/>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0004;&#22871;&#25151;\2024-1-0920&#20016;&#20307;&#26102;&#20195;&#33457;&#22253;\&#27979;&#31639;&#8212;&#8212;02&#22522;&#20934;&#22320;&#20215;-&#20016;&#20307;&#26102;&#20195;.xlsx" TargetMode="External"/><Relationship Id="rId1" Type="http://schemas.openxmlformats.org/officeDocument/2006/relationships/externalLinkPath" Target="&#27979;&#31639;&#8212;&#8212;02&#22522;&#20934;&#22320;&#20215;-&#20016;&#20307;&#26102;&#201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204588</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估价对象为北京市房地产，为所有。根据《国有土地使用证》[]，估价对象（分摊）出让国有建设用地使用权面积为0平方米，建筑面积为91.09平方米。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估价对象为北京市房地产,属开发建设的，该项目尚在开发建设中。根据《国有土地使用证》[]，估价对象（分摊）出让国有建设用地使用权面积为0平方米，规划建筑面积为91.09平方米。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2008年12月19日</v>
      </c>
    </row>
    <row r="13" spans="1:2">
      <c r="A13" s="1119" t="s">
        <v>529</v>
      </c>
      <c r="B13" s="1120" t="str">
        <f>'预评函-1'!A18</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91.09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8" t="s">
        <v>2582</v>
      </c>
      <c r="J2" s="3208"/>
      <c r="K2" s="3208"/>
      <c r="L2" s="3208"/>
      <c r="M2" s="3208"/>
      <c r="N2" s="3208"/>
      <c r="O2" s="3208"/>
      <c r="P2" s="3208"/>
      <c r="Q2" s="3208"/>
      <c r="R2" s="3208"/>
    </row>
    <row r="3" spans="1:18">
      <c r="A3" s="2762" t="s">
        <v>2503</v>
      </c>
      <c r="B3" s="2763">
        <f>项目基本情况!D3</f>
        <v>39801</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18.010000000000002</v>
      </c>
      <c r="D5" s="2767">
        <f>IF(ISERROR(ROUND(POWER(1+E5,A5-C5)*(POWER(1+E5,C5)-1)/(POWER(1+E5,A5)-1),3)),0,ROUND(POWER(1+E5,A5-C5)*(POWER(1+E5,C5)-1)/(POWER(1+E5,A5)-1),4))</f>
        <v>0.63980000000000004</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28.01</v>
      </c>
      <c r="D6" s="2767">
        <f>IF(ISERROR(ROUND(POWER(1+E6,A6-C6)*(POWER(1+E6,C6)-1)/(POWER(1+E6,A6)-1),3)),0,ROUND(POWER(1+E6,A6-C6)*(POWER(1+E6,C6)-1)/(POWER(1+E6,A6)-1),4))</f>
        <v>0.77580000000000005</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48.03</v>
      </c>
      <c r="D7" s="2767">
        <f>IF(ISERROR(ROUND(POWER(1+E7,A7-C7)*(POWER(1+E7,C7)-1)/(POWER(1+E7,A7)-1),3)),0,ROUND(POWER(1+E7,A7-C7)*(POWER(1+E7,C7)-1)/(POWER(1+E7,A7)-1),4))</f>
        <v>0.90620000000000001</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9" t="str">
        <f>IF(B10="北京市","北京市",C10)&amp;F10&amp;IF(结果表!G1="在建","出让国有建设用地使用权及在建建筑物",IF(结果表!G1="土地","出让国有建设用地使用权",))&amp;B9&amp;"预评估"</f>
        <v>北京市房地产市场价值预评估</v>
      </c>
      <c r="C1" s="3210"/>
      <c r="D1" s="3210"/>
      <c r="E1" s="3210"/>
      <c r="F1" s="3210"/>
      <c r="G1" s="3210"/>
      <c r="H1" s="3210"/>
      <c r="I1" s="321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39801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3385</v>
      </c>
      <c r="C8" s="2201"/>
      <c r="D8" s="3212" t="s">
        <v>2177</v>
      </c>
      <c r="E8" s="2202"/>
      <c r="F8" s="2203"/>
      <c r="G8" s="2441"/>
      <c r="H8" s="2441"/>
      <c r="I8" s="2441"/>
      <c r="J8" s="2244"/>
      <c r="K8" s="2399"/>
      <c r="L8" s="2398"/>
      <c r="M8" s="2398"/>
      <c r="N8" s="2244"/>
      <c r="O8" s="1670"/>
      <c r="P8" s="2244"/>
      <c r="Q8" s="2244"/>
      <c r="R8" s="2244"/>
    </row>
    <row r="9" spans="1:30" ht="13.5" thickBot="1">
      <c r="A9" s="2204" t="s">
        <v>2178</v>
      </c>
      <c r="B9" s="2205" t="s">
        <v>3386</v>
      </c>
      <c r="C9" s="2206"/>
      <c r="D9" s="3213"/>
      <c r="E9" s="2205"/>
      <c r="F9" s="2207"/>
      <c r="G9" s="2442"/>
      <c r="H9" s="2442"/>
      <c r="I9" s="2442"/>
      <c r="J9" s="2244"/>
      <c r="K9" s="2401"/>
      <c r="L9" s="2398"/>
      <c r="M9" s="2398"/>
      <c r="N9" s="2244"/>
      <c r="O9" s="1670"/>
      <c r="P9" s="2244"/>
      <c r="Q9" s="2244"/>
      <c r="R9" s="2244"/>
    </row>
    <row r="10" spans="1:30" ht="13.5" thickTop="1">
      <c r="A10" s="2208" t="s">
        <v>2179</v>
      </c>
      <c r="B10" s="2209" t="s">
        <v>3387</v>
      </c>
      <c r="C10" s="3150"/>
      <c r="D10" s="2193"/>
      <c r="E10" s="2210" t="s">
        <v>2180</v>
      </c>
      <c r="F10" s="2443"/>
      <c r="G10" s="2444"/>
      <c r="H10" s="2445"/>
      <c r="I10" s="2446"/>
      <c r="J10" s="2244"/>
      <c r="K10" s="2401"/>
      <c r="L10" s="2398"/>
      <c r="M10" s="2398"/>
      <c r="N10" s="2244"/>
      <c r="O10" s="1670"/>
      <c r="P10" s="2244"/>
      <c r="Q10" s="2244"/>
      <c r="R10" s="2244"/>
    </row>
    <row r="11" spans="1:30">
      <c r="A11" s="2211" t="s">
        <v>2181</v>
      </c>
      <c r="B11" s="2212" t="s">
        <v>3388</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67165</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9"/>
      <c r="C16" s="3220"/>
      <c r="D16" s="3221"/>
      <c r="E16" s="2221" t="s">
        <v>2194</v>
      </c>
      <c r="F16" s="3222"/>
      <c r="G16" s="3223"/>
      <c r="H16" s="3223"/>
      <c r="I16" s="3224"/>
      <c r="J16" s="2244"/>
      <c r="K16" s="2402"/>
      <c r="L16" s="1670"/>
      <c r="M16" s="1670"/>
      <c r="N16" s="2244"/>
      <c r="O16" s="1670"/>
      <c r="P16" s="2244"/>
      <c r="Q16" s="2244"/>
      <c r="R16" s="2244"/>
    </row>
    <row r="17" spans="1:28">
      <c r="A17" s="305" t="s">
        <v>2195</v>
      </c>
      <c r="B17" s="294" t="s">
        <v>2196</v>
      </c>
      <c r="C17" s="8">
        <f>'数据-汇总表'!E3</f>
        <v>91.09</v>
      </c>
      <c r="D17" s="1256" t="s">
        <v>2197</v>
      </c>
      <c r="E17" s="3225" t="s">
        <v>2198</v>
      </c>
      <c r="F17" s="3226"/>
      <c r="G17" s="3226"/>
      <c r="H17" s="3226"/>
      <c r="I17" s="322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8" t="s">
        <v>2202</v>
      </c>
      <c r="F18" s="3229"/>
      <c r="G18" s="3229"/>
      <c r="H18" s="3229"/>
      <c r="I18" s="323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5" t="s">
        <v>2206</v>
      </c>
      <c r="C20" s="3216"/>
      <c r="D20" s="3217" t="s">
        <v>2207</v>
      </c>
      <c r="E20" s="3218"/>
      <c r="F20" s="2429" t="s">
        <v>1056</v>
      </c>
      <c r="G20" s="2441"/>
      <c r="H20" s="2441"/>
      <c r="I20" s="2441"/>
      <c r="J20" s="2244"/>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3"/>
      <c r="B30" s="294" t="s">
        <v>2218</v>
      </c>
      <c r="C30" s="3234"/>
      <c r="D30" s="3235"/>
      <c r="E30" s="2441"/>
      <c r="F30" s="2441"/>
      <c r="G30" s="2441"/>
      <c r="H30" s="2441"/>
      <c r="I30" s="2441"/>
      <c r="J30" s="2244"/>
      <c r="K30" s="2401"/>
      <c r="L30" s="2398"/>
      <c r="M30" s="2398"/>
      <c r="N30" s="2244"/>
      <c r="O30" s="1670"/>
      <c r="P30" s="2244"/>
      <c r="Q30" s="2244"/>
      <c r="R30" s="2244"/>
      <c r="S30" s="2244"/>
      <c r="T30" s="2244"/>
      <c r="U30" s="2244"/>
      <c r="V30" s="2244"/>
    </row>
    <row r="31" spans="1:28">
      <c r="A31" s="323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4"/>
      <c r="V34" s="2244"/>
    </row>
    <row r="35" spans="1:30">
      <c r="A35" s="2235"/>
      <c r="B35" s="3231" t="s">
        <v>2229</v>
      </c>
      <c r="C35" s="3231"/>
      <c r="D35" s="3231"/>
      <c r="E35" s="323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91.09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91.09</v>
      </c>
      <c r="H5" s="13">
        <f t="shared" ref="H5:AT5" si="0">SUM(H13:H656)</f>
        <v>91.09</v>
      </c>
      <c r="I5" s="13">
        <f t="shared" si="0"/>
        <v>91.09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91.09</v>
      </c>
      <c r="BA5" s="15">
        <f t="shared" si="1"/>
        <v>91.09</v>
      </c>
      <c r="BB5" s="15">
        <f t="shared" si="1"/>
        <v>91.09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91.09</v>
      </c>
      <c r="H13" s="17">
        <f>SUMIF(I$12:AB$12,"总值",I13:AB13)</f>
        <v>91.09</v>
      </c>
      <c r="I13" s="1514">
        <v>91.09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91.09</v>
      </c>
      <c r="BA13" s="13">
        <f>SUM(BB13:BK13)</f>
        <v>91.09</v>
      </c>
      <c r="BB13" s="13">
        <f>IF($D13="是",I13-J13,0)</f>
        <v>91.09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8"/>
      <c r="G2" s="2431"/>
      <c r="H2" s="2432"/>
      <c r="I2" s="2146" t="s">
        <v>1132</v>
      </c>
      <c r="J2" s="2438"/>
      <c r="K2" s="2438"/>
      <c r="L2" s="2438"/>
      <c r="M2" s="2438"/>
      <c r="N2" s="2439"/>
      <c r="O2" s="2438"/>
      <c r="P2" s="2438"/>
    </row>
    <row r="3" spans="1:16" ht="15.75" thickBot="1">
      <c r="A3" s="3248" t="s">
        <v>1105</v>
      </c>
      <c r="B3" s="3248"/>
      <c r="C3" s="3248"/>
      <c r="D3" s="41">
        <f>'数据-基础表'!AY6</f>
        <v>0</v>
      </c>
      <c r="E3" s="41">
        <f>'数据-基础表'!AZ5</f>
        <v>91.09</v>
      </c>
      <c r="F3" s="2438"/>
      <c r="G3" s="42"/>
      <c r="H3" s="43" t="s">
        <v>1106</v>
      </c>
      <c r="I3" s="802" t="e">
        <f>ROUND('数据-基础表'!B3/'数据-基础表'!A3,2)</f>
        <v>#DIV/0!</v>
      </c>
      <c r="J3" s="2438"/>
      <c r="K3" s="2438"/>
      <c r="L3" s="2438"/>
      <c r="M3" s="2438"/>
      <c r="N3" s="2439"/>
      <c r="O3" s="2438"/>
      <c r="P3" s="2438"/>
    </row>
    <row r="4" spans="1:16" ht="15">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2" t="s">
        <v>1110</v>
      </c>
      <c r="C5" s="3252"/>
      <c r="D5" s="43">
        <f>ROUND($D$3*E5/$E$3,2)</f>
        <v>0</v>
      </c>
      <c r="E5" s="44">
        <f>SUMIF('数据-基础表'!$11:$11,"住宅",'数据-基础表'!$5:$5)</f>
        <v>91.09</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44"/>
      <c r="B7" s="3245"/>
      <c r="C7" s="324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91.09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91.09</v>
      </c>
      <c r="F16" s="2438"/>
      <c r="G16" s="2438"/>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3391</v>
      </c>
      <c r="D19" s="43">
        <f>ROUND($D$3*E19/$E$3,2)</f>
        <v>0</v>
      </c>
      <c r="E19" s="51">
        <f t="shared" ref="E19:E26" si="1">SUM(F19:G19)</f>
        <v>91.09</v>
      </c>
      <c r="F19" s="2557">
        <f>'数据-基础表'!I13</f>
        <v>91.09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91.09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91.09</v>
      </c>
      <c r="F27" s="1072">
        <f>IF(SUM(F19:F26)=E8,SUM(F19:F26),"地上面积有误")</f>
        <v>91.09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91.09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91.09</v>
      </c>
      <c r="F31" s="644">
        <f>F27+F30</f>
        <v>91.09</v>
      </c>
      <c r="G31" s="645">
        <f>G27+G30</f>
        <v>0</v>
      </c>
      <c r="H31" s="2438"/>
      <c r="I31" s="2438"/>
      <c r="J31" s="2438"/>
      <c r="K31" s="2438"/>
      <c r="L31" s="2438"/>
      <c r="M31" s="2438"/>
      <c r="N31" s="2438"/>
      <c r="O31" s="2438"/>
      <c r="P31" s="2438"/>
    </row>
    <row r="32" spans="1:19">
      <c r="A32" s="1526"/>
      <c r="B32" s="1526" t="s">
        <v>1159</v>
      </c>
      <c r="C32" s="1526"/>
      <c r="D32" s="1526"/>
      <c r="E32" s="990">
        <f>SUMIF(C19:C26,"*住宅*",E19:E26)</f>
        <v>91.09</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39801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91.09</v>
      </c>
      <c r="L6" s="692">
        <v>2800</v>
      </c>
      <c r="M6" s="64">
        <f t="shared" ref="M6:M14" si="0">ROUND(K6*L6/10000,0)</f>
        <v>26</v>
      </c>
      <c r="N6" s="690">
        <f>N18</f>
        <v>0.95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255052</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91.09</v>
      </c>
      <c r="L16" s="87">
        <f>ROUND(M16*10000/SUM(K6:K14),0)</f>
        <v>2854</v>
      </c>
      <c r="M16" s="87">
        <f>SUM(M6:M14)</f>
        <v>26</v>
      </c>
      <c r="N16" s="88">
        <f>ROUND(SUMPRODUCT(M6:M14,N6:N14)/M16,3)</f>
        <v>0.95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ROUND(1-(2008-2005)/60,2)</f>
        <v>0.95</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150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2.52E-2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5.67E-2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91.09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39801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74.575400000000002</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91.09</v>
      </c>
      <c r="C14" s="2305"/>
      <c r="D14" s="2305">
        <f ca="1">结果表!G22/10000</f>
        <v>74.575400000000002</v>
      </c>
      <c r="E14" s="2305">
        <f ca="1">ROUND(D14*10000/B14,0)</f>
        <v>8187</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4" t="s">
        <v>1265</v>
      </c>
      <c r="B4" s="1625" t="s">
        <v>1266</v>
      </c>
      <c r="C4" s="1626" t="s">
        <v>3397</v>
      </c>
      <c r="D4" s="1626" t="s">
        <v>3398</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0" t="s">
        <v>1268</v>
      </c>
      <c r="B5" s="3325">
        <v>25</v>
      </c>
      <c r="C5" s="3328">
        <v>0</v>
      </c>
      <c r="D5" s="3316">
        <f>10-C5</f>
        <v>10</v>
      </c>
      <c r="E5" s="123" t="s">
        <v>1269</v>
      </c>
      <c r="F5" s="1627"/>
      <c r="G5" s="1627"/>
      <c r="H5" s="1627"/>
      <c r="I5" s="1281"/>
    </row>
    <row r="6" spans="1:12" ht="12.75">
      <c r="A6" s="3270"/>
      <c r="B6" s="3325"/>
      <c r="C6" s="3330"/>
      <c r="D6" s="3316"/>
      <c r="E6" s="123" t="s">
        <v>1270</v>
      </c>
      <c r="F6" s="1627"/>
      <c r="G6" s="1627"/>
      <c r="H6" s="1627"/>
      <c r="I6" s="1281"/>
    </row>
    <row r="7" spans="1:12" ht="12.75">
      <c r="A7" s="3270"/>
      <c r="B7" s="3325"/>
      <c r="C7" s="3329"/>
      <c r="D7" s="3316"/>
      <c r="E7" s="123" t="s">
        <v>1271</v>
      </c>
      <c r="F7" s="1627"/>
      <c r="G7" s="1627"/>
      <c r="H7" s="1627"/>
      <c r="I7" s="1281"/>
    </row>
    <row r="8" spans="1:12" ht="12.75">
      <c r="A8" s="3270" t="s">
        <v>1272</v>
      </c>
      <c r="B8" s="3325">
        <v>15</v>
      </c>
      <c r="C8" s="3328"/>
      <c r="D8" s="3316"/>
      <c r="E8" s="123" t="s">
        <v>1273</v>
      </c>
      <c r="F8" s="1627"/>
      <c r="G8" s="1627"/>
      <c r="H8" s="1627"/>
      <c r="I8" s="1281"/>
    </row>
    <row r="9" spans="1:12" ht="12.75">
      <c r="A9" s="3270"/>
      <c r="B9" s="3325"/>
      <c r="C9" s="3329"/>
      <c r="D9" s="3316"/>
      <c r="E9" s="123" t="s">
        <v>1274</v>
      </c>
      <c r="F9" s="1627"/>
      <c r="G9" s="1627"/>
      <c r="H9" s="1627"/>
      <c r="I9" s="1281"/>
    </row>
    <row r="10" spans="1:12" ht="12.75">
      <c r="A10" s="3270" t="s">
        <v>1275</v>
      </c>
      <c r="B10" s="3325">
        <v>15</v>
      </c>
      <c r="C10" s="3328"/>
      <c r="D10" s="3316"/>
      <c r="E10" s="123" t="s">
        <v>1276</v>
      </c>
      <c r="F10" s="1627"/>
      <c r="G10" s="1627"/>
      <c r="H10" s="1627"/>
      <c r="I10" s="1281"/>
    </row>
    <row r="11" spans="1:12" ht="12.75">
      <c r="A11" s="3270"/>
      <c r="B11" s="3325"/>
      <c r="C11" s="3329"/>
      <c r="D11" s="3316"/>
      <c r="E11" s="123" t="s">
        <v>1277</v>
      </c>
      <c r="F11" s="1627"/>
      <c r="G11" s="1627"/>
      <c r="H11" s="1627"/>
      <c r="I11" s="1281"/>
    </row>
    <row r="12" spans="1:12" ht="12.75">
      <c r="A12" s="3270" t="s">
        <v>1278</v>
      </c>
      <c r="B12" s="3325">
        <v>15</v>
      </c>
      <c r="C12" s="3328"/>
      <c r="D12" s="3316"/>
      <c r="E12" s="123" t="s">
        <v>1279</v>
      </c>
      <c r="F12" s="1627"/>
      <c r="G12" s="1627"/>
      <c r="H12" s="1627"/>
      <c r="I12" s="1281"/>
    </row>
    <row r="13" spans="1:12" ht="12.75">
      <c r="A13" s="3270"/>
      <c r="B13" s="3325"/>
      <c r="C13" s="3329"/>
      <c r="D13" s="3316"/>
      <c r="E13" s="123" t="s">
        <v>1280</v>
      </c>
      <c r="F13" s="1627"/>
      <c r="G13" s="1627"/>
      <c r="H13" s="1627"/>
      <c r="I13" s="1281"/>
    </row>
    <row r="14" spans="1:12" ht="12.75">
      <c r="A14" s="3270" t="s">
        <v>1281</v>
      </c>
      <c r="B14" s="3325">
        <v>30</v>
      </c>
      <c r="C14" s="3328"/>
      <c r="D14" s="3316"/>
      <c r="E14" s="123" t="s">
        <v>1282</v>
      </c>
      <c r="F14" s="1627"/>
      <c r="G14" s="1627"/>
      <c r="H14" s="1627"/>
      <c r="I14" s="1281"/>
    </row>
    <row r="15" spans="1:12" ht="12.75">
      <c r="A15" s="3270"/>
      <c r="B15" s="3325"/>
      <c r="C15" s="3330"/>
      <c r="D15" s="3316"/>
      <c r="E15" s="123" t="s">
        <v>1283</v>
      </c>
      <c r="F15" s="1627"/>
      <c r="G15" s="1627"/>
      <c r="H15" s="1627"/>
      <c r="I15" s="1281"/>
    </row>
    <row r="16" spans="1:12" ht="12.75">
      <c r="A16" s="3270"/>
      <c r="B16" s="3325"/>
      <c r="C16" s="3329"/>
      <c r="D16" s="3316"/>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347" t="s">
        <v>2131</v>
      </c>
      <c r="F18" s="3348"/>
      <c r="G18" s="3348"/>
      <c r="H18" s="3348"/>
      <c r="I18" s="3348"/>
      <c r="K18" s="294" t="s">
        <v>1289</v>
      </c>
      <c r="L18" s="294">
        <f>IF(C1="",'数据-汇总表'!E3,SUMIF(项目类型,C1,'数据-汇总表'!E17:E26)+SUMIF(项目类型,C1,'数据-汇总表'!I17:I26))</f>
        <v>91.09</v>
      </c>
      <c r="M18" s="294">
        <f>IF(C1="",'数据-汇总表'!E3,SUMIF(项目类型,C1,'数据-汇总表'!E17:E26))</f>
        <v>91.09</v>
      </c>
    </row>
    <row r="19" spans="1:36" ht="15">
      <c r="A19" s="1630" t="s">
        <v>1290</v>
      </c>
      <c r="B19" s="1631" t="s">
        <v>1291</v>
      </c>
      <c r="C19" s="126">
        <f ca="1">SUMIF(INDIRECT("'"&amp;C4&amp;"'"&amp;"!A:A"),结果表!B19,INDIRECT("'"&amp;C4&amp;"'"&amp;"!B:B"))</f>
        <v>62.033700000000003</v>
      </c>
      <c r="D19" s="127">
        <f ca="1">SUMIF(INDIRECT("'"&amp;D4&amp;"'"&amp;"!A:A"),结果表!B19,INDIRECT("'"&amp;D4&amp;"'"&amp;"!B:B"))</f>
        <v>74.575400000000002</v>
      </c>
      <c r="E19" s="1630" t="s">
        <v>1292</v>
      </c>
      <c r="F19" s="1631" t="s">
        <v>1291</v>
      </c>
      <c r="G19" s="128">
        <f ca="1">ROUND(C19*$C$18+D19*$D$18,0)</f>
        <v>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6810</v>
      </c>
      <c r="D20" s="130">
        <f ca="1">SUMIF(INDIRECT("'"&amp;D4&amp;"'"&amp;"!A:A"),结果表!B20,INDIRECT("'"&amp;D4&amp;"'"&amp;"!B:B"))</f>
        <v>8187</v>
      </c>
      <c r="E20" s="1633"/>
      <c r="F20" s="43" t="s">
        <v>1295</v>
      </c>
      <c r="G20" s="131">
        <f ca="1">ROUND(C20*$C$18+D20*$D$18,0)</f>
        <v>8187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0.20217559165421384</v>
      </c>
      <c r="E22" s="121"/>
      <c r="F22" s="121"/>
      <c r="G22" s="121">
        <f ca="1">ROUND(G20*'数据-汇总表'!F19,0)</f>
        <v>745754</v>
      </c>
      <c r="H22" s="121"/>
      <c r="I22" s="121"/>
    </row>
    <row r="23" spans="1:36" ht="13.5" thickBot="1">
      <c r="A23" s="646"/>
      <c r="B23" s="646"/>
      <c r="C23" s="646"/>
      <c r="D23" s="646"/>
      <c r="E23" s="121"/>
      <c r="F23" s="121"/>
      <c r="G23" s="121"/>
      <c r="H23" s="121"/>
      <c r="I23" s="121"/>
    </row>
    <row r="24" spans="1:36" ht="14.25">
      <c r="A24" s="3340" t="s">
        <v>1299</v>
      </c>
      <c r="B24" s="1631" t="s">
        <v>1291</v>
      </c>
      <c r="C24" s="128">
        <f>IF(B30=0,0,D30)</f>
        <v>0</v>
      </c>
      <c r="D24" s="1637"/>
      <c r="E24" s="121"/>
      <c r="F24" s="121"/>
      <c r="G24" s="121"/>
      <c r="H24" s="121"/>
      <c r="I24" s="121"/>
      <c r="L24" s="3153" t="s">
        <v>3422</v>
      </c>
    </row>
    <row r="25" spans="1:36" ht="14.25">
      <c r="A25" s="3341"/>
      <c r="B25" s="43" t="s">
        <v>1295</v>
      </c>
      <c r="C25" s="133">
        <f>IF(B30=0,0,C30)</f>
        <v>0</v>
      </c>
      <c r="D25" s="1638"/>
      <c r="E25" s="121"/>
      <c r="F25" s="121"/>
      <c r="G25" s="121"/>
      <c r="H25" s="121"/>
      <c r="I25" s="121"/>
      <c r="L25" s="684">
        <v>100000</v>
      </c>
    </row>
    <row r="26" spans="1:36" ht="13.5" customHeight="1">
      <c r="A26" s="1639" t="s">
        <v>1300</v>
      </c>
      <c r="B26" s="134" t="s">
        <v>1301</v>
      </c>
      <c r="C26" s="134" t="s">
        <v>1302</v>
      </c>
      <c r="D26" s="135" t="s">
        <v>1303</v>
      </c>
      <c r="E26" s="121"/>
      <c r="F26" s="121"/>
      <c r="G26" s="121"/>
      <c r="H26" s="121"/>
      <c r="I26" s="121"/>
      <c r="L26" s="684">
        <f>ROUND(L25/系统读取表!B14,0)</f>
        <v>1098</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8187</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7" t="s">
        <v>1312</v>
      </c>
      <c r="B36" s="1652" t="s">
        <v>1313</v>
      </c>
      <c r="C36" s="137"/>
      <c r="D36" s="1653"/>
      <c r="E36" s="1567"/>
      <c r="F36" s="1654"/>
      <c r="G36" s="121"/>
      <c r="H36" s="121"/>
      <c r="I36" s="121"/>
    </row>
    <row r="37" spans="1:15" ht="15.75" thickBot="1">
      <c r="A37" s="3318"/>
      <c r="B37" s="1555" t="s">
        <v>1314</v>
      </c>
      <c r="C37" s="139"/>
      <c r="D37" s="1071"/>
      <c r="E37" s="1071"/>
      <c r="F37" s="1654"/>
      <c r="G37" s="121"/>
      <c r="H37" s="121"/>
      <c r="I37" s="121"/>
    </row>
    <row r="38" spans="1:15" ht="15.75" thickBot="1">
      <c r="A38" s="331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39801</v>
      </c>
      <c r="N47" s="3260"/>
      <c r="O47" s="3260"/>
    </row>
    <row r="48" spans="1:15" ht="25.5">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抵押担保权已注销时的房地产抵押价值</v>
      </c>
      <c r="L49" s="3258"/>
      <c r="M49" s="3261" t="str">
        <f>IF(项目基本情况!E8="房地产抵押价值",H107,H109)</f>
        <v>——</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45"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3"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3"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4.75">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2.75">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4" t="e">
        <f ca="1">N57/M49</f>
        <v>#VALUE!</v>
      </c>
    </row>
    <row r="58" spans="1:35" ht="24.75">
      <c r="A58" s="2153"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75"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5"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2.75">
      <c r="A62" s="3302" t="s">
        <v>1375</v>
      </c>
      <c r="B62" s="3303"/>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6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ROUND(SUM(M63:M68),0)</f>
        <v>#VALUE!</v>
      </c>
      <c r="N69" s="2331" t="e">
        <f>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70" t="str">
        <f>C4</f>
        <v>成本法 (元)</v>
      </c>
      <c r="D101" s="2371" t="str">
        <f>D4</f>
        <v>比较法-住宅</v>
      </c>
      <c r="E101" s="3262" t="s">
        <v>1431</v>
      </c>
      <c r="F101" s="3263"/>
      <c r="G101" s="1687" t="s">
        <v>1432</v>
      </c>
      <c r="H101" s="2380" t="e">
        <f ca="1">H118</f>
        <v>#REF!</v>
      </c>
      <c r="I101" s="121"/>
    </row>
    <row r="102" spans="1:35" ht="18.75" customHeight="1">
      <c r="A102" s="3294" t="s">
        <v>1433</v>
      </c>
      <c r="B102" s="2369" t="s">
        <v>1432</v>
      </c>
      <c r="C102" s="2370">
        <f ca="1">IF(D32="楼面单价",ROUND(C19,0),C19)</f>
        <v>62.033700000000003</v>
      </c>
      <c r="D102" s="2371">
        <f ca="1">IF(D32="楼面单价",ROUND(D19,0),D19)</f>
        <v>74.575400000000002</v>
      </c>
      <c r="E102" s="3262"/>
      <c r="F102" s="3263"/>
      <c r="G102" s="1687" t="s">
        <v>1434</v>
      </c>
      <c r="H102" s="2340" t="e">
        <f ca="1">I118</f>
        <v>#REF!</v>
      </c>
      <c r="I102" s="121"/>
    </row>
    <row r="103" spans="1:35" ht="42.75" customHeight="1">
      <c r="A103" s="3294"/>
      <c r="B103" s="2369" t="s">
        <v>1434</v>
      </c>
      <c r="C103" s="2372">
        <f ca="1">C20</f>
        <v>6810</v>
      </c>
      <c r="D103" s="2373">
        <f ca="1">D20</f>
        <v>8187</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91.09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91.09</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91.09</v>
      </c>
      <c r="E19" s="203">
        <f>'数据-取费表'!B31</f>
        <v>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5.67E-2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0.03</v>
      </c>
      <c r="G36" s="252" t="s">
        <v>1530</v>
      </c>
    </row>
    <row r="37" spans="1:7" s="250" customFormat="1" ht="13.5" customHeight="1">
      <c r="A37" s="734" t="s">
        <v>353</v>
      </c>
      <c r="B37" s="207" t="s">
        <v>1531</v>
      </c>
      <c r="C37" s="241">
        <f ca="1">ROUND(E37*D37*F34/10000,0)</f>
        <v>1</v>
      </c>
      <c r="D37" s="209">
        <f ca="1">D19</f>
        <v>91.09</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3</v>
      </c>
      <c r="D45" s="227">
        <f ca="1">C47</f>
        <v>1E-3</v>
      </c>
      <c r="E45" s="228" t="s">
        <v>1539</v>
      </c>
      <c r="F45" s="238">
        <f ca="1">F27</f>
        <v>0.1</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36</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34</v>
      </c>
      <c r="D51" s="224"/>
      <c r="E51" s="224"/>
      <c r="F51" s="256"/>
      <c r="G51" s="226" t="s">
        <v>1560</v>
      </c>
    </row>
    <row r="52" spans="1:7" s="200" customFormat="1" ht="16.5" thickBot="1">
      <c r="A52" s="257" t="s">
        <v>1561</v>
      </c>
      <c r="B52" s="258"/>
      <c r="C52" s="259">
        <f ca="1">C31+C51</f>
        <v>34</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北京市房地产市场价值预评估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3" zoomScaleNormal="60" zoomScaleSheetLayoutView="100" workbookViewId="0">
      <selection activeCell="G73" sqref="G7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74.575400000000002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8187</v>
      </c>
      <c r="C3" s="344" t="s">
        <v>1665</v>
      </c>
      <c r="D3" s="343">
        <f>IF(D1="",'数据-汇总表'!E3,SUMIF('数据-汇总表'!$C19:$C33,D1,'数据-汇总表'!$E19:$E33))</f>
        <v>91.09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70" t="s">
        <v>1667</v>
      </c>
      <c r="D4" s="3371"/>
      <c r="E4" s="3372" t="s">
        <v>1668</v>
      </c>
      <c r="F4" s="3373"/>
      <c r="G4" s="3370" t="s">
        <v>1669</v>
      </c>
      <c r="H4" s="3371"/>
      <c r="I4" s="3370" t="s">
        <v>1670</v>
      </c>
      <c r="J4" s="3371"/>
      <c r="K4" s="1744" t="s">
        <v>1671</v>
      </c>
      <c r="L4" s="2486"/>
      <c r="M4" s="2487"/>
      <c r="N4" s="2487"/>
      <c r="O4" s="2487"/>
      <c r="P4" s="3374" t="s">
        <v>1672</v>
      </c>
      <c r="Q4" s="3375"/>
      <c r="R4" s="3357" t="s">
        <v>1668</v>
      </c>
      <c r="S4" s="3358"/>
      <c r="T4" s="3357" t="s">
        <v>1669</v>
      </c>
      <c r="U4" s="3358"/>
      <c r="V4" s="3382" t="s">
        <v>1670</v>
      </c>
      <c r="W4" s="3382"/>
      <c r="X4" s="1265"/>
      <c r="Y4" s="3357" t="s">
        <v>1672</v>
      </c>
      <c r="Z4" s="3358"/>
      <c r="AA4" s="3352" t="s">
        <v>1668</v>
      </c>
      <c r="AB4" s="3352" t="s">
        <v>1669</v>
      </c>
      <c r="AC4" s="3352" t="s">
        <v>1670</v>
      </c>
    </row>
    <row r="5" spans="1:29" ht="15">
      <c r="A5" s="348"/>
      <c r="B5" s="349"/>
      <c r="C5" s="3363" t="s">
        <v>3549</v>
      </c>
      <c r="D5" s="3364"/>
      <c r="E5" s="3361" t="str">
        <f>案例!G8</f>
        <v>望园东里</v>
      </c>
      <c r="F5" s="3362"/>
      <c r="G5" s="3361" t="str">
        <f>案例!G11</f>
        <v>望园东里</v>
      </c>
      <c r="H5" s="3362"/>
      <c r="I5" s="3361" t="str">
        <f>案例!G29</f>
        <v>望园东里</v>
      </c>
      <c r="J5" s="3362"/>
      <c r="K5" s="1745"/>
      <c r="L5" s="2486"/>
      <c r="M5" s="2487"/>
      <c r="N5" s="2487"/>
      <c r="O5" s="2487"/>
      <c r="P5" s="3376"/>
      <c r="Q5" s="3377"/>
      <c r="R5" s="3359"/>
      <c r="S5" s="3360"/>
      <c r="T5" s="3359"/>
      <c r="U5" s="3360"/>
      <c r="V5" s="3382"/>
      <c r="W5" s="3382"/>
      <c r="X5" s="1265"/>
      <c r="Y5" s="3359"/>
      <c r="Z5" s="3360"/>
      <c r="AA5" s="3353"/>
      <c r="AB5" s="3353"/>
      <c r="AC5" s="3353"/>
    </row>
    <row r="6" spans="1:29" ht="15.75" thickBot="1">
      <c r="A6" s="350"/>
      <c r="B6" s="351"/>
      <c r="C6" s="3365" t="s">
        <v>1677</v>
      </c>
      <c r="D6" s="3366"/>
      <c r="E6" s="3367" t="s">
        <v>1677</v>
      </c>
      <c r="F6" s="3368"/>
      <c r="G6" s="3365" t="s">
        <v>1677</v>
      </c>
      <c r="H6" s="3366"/>
      <c r="I6" s="3365" t="s">
        <v>1677</v>
      </c>
      <c r="J6" s="3366"/>
      <c r="K6" s="1745" t="s">
        <v>1678</v>
      </c>
      <c r="L6" s="2486"/>
      <c r="M6" s="2487"/>
      <c r="N6" s="2487"/>
      <c r="O6" s="2487"/>
      <c r="P6" s="3378"/>
      <c r="Q6" s="3379"/>
      <c r="R6" s="3359"/>
      <c r="S6" s="3360"/>
      <c r="T6" s="3380"/>
      <c r="U6" s="3381"/>
      <c r="V6" s="3382"/>
      <c r="W6" s="3382"/>
      <c r="X6" s="1265"/>
      <c r="Y6" s="3380"/>
      <c r="Z6" s="3381"/>
      <c r="AA6" s="3354"/>
      <c r="AB6" s="3354"/>
      <c r="AC6" s="3354"/>
    </row>
    <row r="7" spans="1:29" s="102" customFormat="1" ht="15.75" thickBot="1">
      <c r="A7" s="352" t="s">
        <v>1679</v>
      </c>
      <c r="B7" s="353"/>
      <c r="C7" s="354">
        <f>'数据-取费表'!B2</f>
        <v>39801</v>
      </c>
      <c r="D7" s="355">
        <v>100</v>
      </c>
      <c r="E7" s="356">
        <f>案例!U8</f>
        <v>39624</v>
      </c>
      <c r="F7" s="357">
        <f>SUMIF(58:58,YEAR(E7)&amp;"-"&amp;MONTH(E7),59:59)</f>
        <v>99</v>
      </c>
      <c r="G7" s="356">
        <f>案例!U12</f>
        <v>39696</v>
      </c>
      <c r="H7" s="355">
        <f>SUMIF(58:58,YEAR(G7)&amp;"-"&amp;MONTH(G7),59:59)</f>
        <v>99.5</v>
      </c>
      <c r="I7" s="356">
        <f>案例!U29</f>
        <v>39755</v>
      </c>
      <c r="J7" s="355">
        <f>SUMIF(58:58,YEAR(I7)&amp;"-"&amp;MONTH(I7),59:59)</f>
        <v>100</v>
      </c>
      <c r="K7" s="1746"/>
      <c r="L7" s="2488"/>
      <c r="M7" s="2439"/>
      <c r="N7" s="2439"/>
      <c r="O7" s="2439"/>
      <c r="P7" s="3355" t="s">
        <v>1680</v>
      </c>
      <c r="Q7" s="3383"/>
      <c r="R7" s="664" t="s">
        <v>20</v>
      </c>
      <c r="S7" s="665">
        <f t="shared" ref="S7:S15" si="0">F7</f>
        <v>99</v>
      </c>
      <c r="T7" s="664" t="s">
        <v>20</v>
      </c>
      <c r="U7" s="665">
        <f t="shared" ref="U7:U15" si="1">H7</f>
        <v>99.5</v>
      </c>
      <c r="V7" s="664" t="s">
        <v>20</v>
      </c>
      <c r="W7" s="665">
        <f t="shared" ref="W7:W15" si="2">J7</f>
        <v>100</v>
      </c>
      <c r="X7" s="666"/>
      <c r="Y7" s="3355" t="s">
        <v>1680</v>
      </c>
      <c r="Z7" s="3356"/>
      <c r="AA7" s="50">
        <f>D7/F7</f>
        <v>1.0101010101010102</v>
      </c>
      <c r="AB7" s="50">
        <f>D7/H7</f>
        <v>1.0050251256281406</v>
      </c>
      <c r="AC7" s="50">
        <f>D7/J7</f>
        <v>1</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8"/>
      <c r="M8" s="2439"/>
      <c r="N8" s="2439"/>
      <c r="O8" s="2439"/>
      <c r="P8" s="3355" t="s">
        <v>1683</v>
      </c>
      <c r="Q8" s="3356"/>
      <c r="R8" s="664" t="s">
        <v>20</v>
      </c>
      <c r="S8" s="665">
        <f t="shared" si="0"/>
        <v>100</v>
      </c>
      <c r="T8" s="664" t="s">
        <v>20</v>
      </c>
      <c r="U8" s="665">
        <f t="shared" si="1"/>
        <v>100</v>
      </c>
      <c r="V8" s="664" t="s">
        <v>20</v>
      </c>
      <c r="W8" s="665">
        <f t="shared" si="2"/>
        <v>100</v>
      </c>
      <c r="X8" s="666"/>
      <c r="Y8" s="3355" t="s">
        <v>1683</v>
      </c>
      <c r="Z8" s="3356"/>
      <c r="AA8" s="50">
        <f t="shared" ref="AA8:AA19" si="3">D8/F8</f>
        <v>1</v>
      </c>
      <c r="AB8" s="50">
        <f t="shared" ref="AB8:AB19" si="4">D8/H8</f>
        <v>1</v>
      </c>
      <c r="AC8" s="50">
        <f t="shared" ref="AC8:AC19" si="5">D8/J8</f>
        <v>1</v>
      </c>
    </row>
    <row r="9" spans="1:29" s="102" customFormat="1">
      <c r="A9" s="359" t="s">
        <v>1684</v>
      </c>
      <c r="B9" s="60" t="s">
        <v>1685</v>
      </c>
      <c r="C9" s="3144" t="s">
        <v>3399</v>
      </c>
      <c r="D9" s="59">
        <v>100</v>
      </c>
      <c r="E9" s="361" t="s">
        <v>3390</v>
      </c>
      <c r="F9" s="60">
        <f>SUMIF(63:63,E9,64:64)-SUMIF(63:63,C9,64:64)+100</f>
        <v>100</v>
      </c>
      <c r="G9" s="362" t="s">
        <v>3390</v>
      </c>
      <c r="H9" s="59">
        <f>SUMIF(63:63,G9,64:64)-SUMIF(63:63,C9,64:64)+100</f>
        <v>100</v>
      </c>
      <c r="I9" s="362" t="s">
        <v>3390</v>
      </c>
      <c r="J9" s="59">
        <f>SUMIF(63:63,I9,64:64)-SUMIF(63:63,C9,64:64)+100</f>
        <v>100</v>
      </c>
      <c r="K9" s="1746"/>
      <c r="L9" s="2488"/>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69"/>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69"/>
      <c r="Q11" s="530" t="str">
        <f t="shared" si="6"/>
        <v>容积率</v>
      </c>
      <c r="R11" s="664" t="s">
        <v>18</v>
      </c>
      <c r="S11" s="665">
        <f t="shared" si="0"/>
        <v>100</v>
      </c>
      <c r="T11" s="664" t="s">
        <v>18</v>
      </c>
      <c r="U11" s="665">
        <f t="shared" si="1"/>
        <v>100</v>
      </c>
      <c r="V11" s="664" t="s">
        <v>18</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154" t="s">
        <v>3423</v>
      </c>
      <c r="D12" s="372">
        <v>100</v>
      </c>
      <c r="E12" s="3154" t="s">
        <v>3423</v>
      </c>
      <c r="F12" s="364">
        <f>SUMIF(70:70,E12,71:71)-SUMIF(70:70,C12,71:71)+100</f>
        <v>100</v>
      </c>
      <c r="G12" s="3154" t="s">
        <v>3423</v>
      </c>
      <c r="H12" s="119">
        <f>SUMIF(70:70,G12,71:71)-SUMIF(70:70,C12,71:71)+100</f>
        <v>100</v>
      </c>
      <c r="I12" s="3154" t="s">
        <v>3423</v>
      </c>
      <c r="J12" s="119">
        <f>SUMIF(70:70,I12,71:71)-SUMIF(70:70,C12,71:71)+100</f>
        <v>100</v>
      </c>
      <c r="K12" s="1748"/>
      <c r="L12" s="2488"/>
      <c r="M12" s="2439"/>
      <c r="N12" s="2439"/>
      <c r="O12" s="2439"/>
      <c r="P12" s="3369"/>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69"/>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69"/>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2"/>
      <c r="M15" s="2487"/>
      <c r="N15" s="2487"/>
      <c r="O15" s="2487"/>
      <c r="P15" s="3395" t="s">
        <v>1691</v>
      </c>
      <c r="Q15" s="1263" t="str">
        <f t="shared" si="6"/>
        <v>居住社区成熟度</v>
      </c>
      <c r="R15" s="667" t="s">
        <v>18</v>
      </c>
      <c r="S15" s="668">
        <f t="shared" si="0"/>
        <v>100</v>
      </c>
      <c r="T15" s="667" t="s">
        <v>18</v>
      </c>
      <c r="U15" s="668">
        <f t="shared" si="1"/>
        <v>100</v>
      </c>
      <c r="V15" s="667" t="s">
        <v>18</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t="s">
        <v>3561</v>
      </c>
      <c r="D16" s="387"/>
      <c r="E16" s="386" t="s">
        <v>3561</v>
      </c>
      <c r="F16" s="387"/>
      <c r="G16" s="386" t="s">
        <v>3561</v>
      </c>
      <c r="H16" s="389"/>
      <c r="I16" s="386" t="s">
        <v>3561</v>
      </c>
      <c r="J16" s="387"/>
      <c r="K16" s="1753"/>
      <c r="L16" s="2492"/>
      <c r="M16" s="2487"/>
      <c r="N16" s="2487"/>
      <c r="O16" s="2487"/>
      <c r="P16" s="3396"/>
      <c r="Q16" s="1263"/>
      <c r="R16" s="667"/>
      <c r="S16" s="668"/>
      <c r="T16" s="667"/>
      <c r="U16" s="668"/>
      <c r="V16" s="667"/>
      <c r="W16" s="668"/>
      <c r="X16" s="1265"/>
      <c r="Y16" s="3389"/>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6"/>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6"/>
      <c r="Q18" s="1263"/>
      <c r="R18" s="667"/>
      <c r="S18" s="668"/>
      <c r="T18" s="667"/>
      <c r="U18" s="668"/>
      <c r="V18" s="667"/>
      <c r="W18" s="668"/>
      <c r="X18" s="1265"/>
      <c r="Y18" s="3389"/>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103</v>
      </c>
      <c r="G19" s="396"/>
      <c r="H19" s="389">
        <f>SUMIF(80:80,G20,81:81)-SUMIF(80:80,C20,81:81)+100</f>
        <v>103</v>
      </c>
      <c r="I19" s="396"/>
      <c r="J19" s="389">
        <f>SUMIF(80:80,I20,81:81)-SUMIF(80:80,C20,81:81)+100</f>
        <v>103</v>
      </c>
      <c r="K19" s="384">
        <v>3</v>
      </c>
      <c r="L19" s="2492"/>
      <c r="M19" s="2487"/>
      <c r="N19" s="2487"/>
      <c r="O19" s="2487"/>
      <c r="P19" s="3396"/>
      <c r="Q19" s="1263" t="str">
        <f>B19</f>
        <v>公共配套设施</v>
      </c>
      <c r="R19" s="667" t="s">
        <v>18</v>
      </c>
      <c r="S19" s="668">
        <f>F19</f>
        <v>103</v>
      </c>
      <c r="T19" s="667" t="s">
        <v>18</v>
      </c>
      <c r="U19" s="668">
        <f>H19</f>
        <v>103</v>
      </c>
      <c r="V19" s="667" t="s">
        <v>18</v>
      </c>
      <c r="W19" s="668">
        <f>J19</f>
        <v>103</v>
      </c>
      <c r="X19" s="1265"/>
      <c r="Y19" s="3389"/>
      <c r="Z19" s="1264" t="str">
        <f>Q19</f>
        <v>公共配套设施</v>
      </c>
      <c r="AA19" s="1264">
        <f t="shared" si="3"/>
        <v>0.970873786407767</v>
      </c>
      <c r="AB19" s="1264">
        <f t="shared" si="4"/>
        <v>0.970873786407767</v>
      </c>
      <c r="AC19" s="1264">
        <f t="shared" si="5"/>
        <v>0.970873786407767</v>
      </c>
    </row>
    <row r="20" spans="1:29" ht="15">
      <c r="A20" s="367"/>
      <c r="B20" s="395"/>
      <c r="C20" s="386" t="s">
        <v>3560</v>
      </c>
      <c r="D20" s="387"/>
      <c r="E20" s="1751" t="s">
        <v>3561</v>
      </c>
      <c r="F20" s="387"/>
      <c r="G20" s="1751" t="s">
        <v>3561</v>
      </c>
      <c r="H20" s="387"/>
      <c r="I20" s="1751" t="s">
        <v>3561</v>
      </c>
      <c r="J20" s="387"/>
      <c r="K20" s="1753"/>
      <c r="L20" s="2492"/>
      <c r="M20" s="2487"/>
      <c r="N20" s="2487"/>
      <c r="O20" s="2487"/>
      <c r="P20" s="3396"/>
      <c r="Q20" s="1263"/>
      <c r="R20" s="667"/>
      <c r="S20" s="668"/>
      <c r="T20" s="667"/>
      <c r="U20" s="668"/>
      <c r="V20" s="667"/>
      <c r="W20" s="668"/>
      <c r="X20" s="1265"/>
      <c r="Y20" s="338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6"/>
      <c r="Q22" s="1263"/>
      <c r="R22" s="667"/>
      <c r="S22" s="668"/>
      <c r="T22" s="667"/>
      <c r="U22" s="668"/>
      <c r="V22" s="667"/>
      <c r="W22" s="668"/>
      <c r="X22" s="1265"/>
      <c r="Y22" s="338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6"/>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t="s">
        <v>3561</v>
      </c>
      <c r="D24" s="387"/>
      <c r="E24" s="386" t="s">
        <v>3561</v>
      </c>
      <c r="F24" s="387"/>
      <c r="G24" s="386" t="s">
        <v>3561</v>
      </c>
      <c r="H24" s="387"/>
      <c r="I24" s="386" t="s">
        <v>3561</v>
      </c>
      <c r="J24" s="387"/>
      <c r="K24" s="1753"/>
      <c r="L24" s="2492"/>
      <c r="M24" s="2487"/>
      <c r="N24" s="2487"/>
      <c r="O24" s="2487"/>
      <c r="P24" s="3396"/>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t="s">
        <v>3550</v>
      </c>
      <c r="D26" s="374">
        <v>100</v>
      </c>
      <c r="E26" s="1760" t="s">
        <v>3410</v>
      </c>
      <c r="F26" s="374">
        <f>SUMIF(88:88,E26,89:89)-SUMIF(88:88,C26,89:89)+100</f>
        <v>106</v>
      </c>
      <c r="G26" s="1761" t="s">
        <v>3564</v>
      </c>
      <c r="H26" s="374">
        <f>SUMIF(88:88,G26,89:89)-SUMIF(88:88,C26,89:89)+100</f>
        <v>98</v>
      </c>
      <c r="I26" s="1761" t="s">
        <v>3551</v>
      </c>
      <c r="J26" s="374">
        <f>SUMIF(88:88,I26,89:89)-SUMIF(88:88,C26,89:89)+100</f>
        <v>104</v>
      </c>
      <c r="K26" s="365">
        <v>2</v>
      </c>
      <c r="L26" s="2492"/>
      <c r="M26" s="2487"/>
      <c r="N26" s="2487"/>
      <c r="O26" s="2487"/>
      <c r="P26" s="3396"/>
      <c r="Q26" s="1263" t="str">
        <f t="shared" si="11"/>
        <v>朝向</v>
      </c>
      <c r="R26" s="667" t="s">
        <v>18</v>
      </c>
      <c r="S26" s="668">
        <f t="shared" si="12"/>
        <v>106</v>
      </c>
      <c r="T26" s="667" t="s">
        <v>18</v>
      </c>
      <c r="U26" s="668">
        <f t="shared" si="13"/>
        <v>98</v>
      </c>
      <c r="V26" s="667" t="s">
        <v>18</v>
      </c>
      <c r="W26" s="668">
        <f t="shared" si="14"/>
        <v>104</v>
      </c>
      <c r="X26" s="1265"/>
      <c r="Y26" s="3389"/>
      <c r="Z26" s="1264" t="str">
        <f>Q26</f>
        <v>朝向</v>
      </c>
      <c r="AA26" s="1264">
        <f t="shared" si="15"/>
        <v>0.94339622641509435</v>
      </c>
      <c r="AB26" s="1264">
        <f t="shared" si="16"/>
        <v>1.0204081632653061</v>
      </c>
      <c r="AC26" s="1264">
        <f t="shared" si="17"/>
        <v>0.96153846153846156</v>
      </c>
    </row>
    <row r="27" spans="1:29" s="102" customFormat="1" ht="15">
      <c r="A27" s="370"/>
      <c r="B27" s="3148" t="s">
        <v>3419</v>
      </c>
      <c r="C27" s="403" t="s">
        <v>3556</v>
      </c>
      <c r="D27" s="401">
        <v>100</v>
      </c>
      <c r="E27" s="403" t="str">
        <f>案例!W8</f>
        <v>2/24</v>
      </c>
      <c r="F27" s="401">
        <f>SUMIF(90:90,E27,91:91)-SUMIF(90:90,C27,91:91)+100</f>
        <v>100</v>
      </c>
      <c r="G27" s="402" t="str">
        <f>案例!W12</f>
        <v>19/24</v>
      </c>
      <c r="H27" s="401">
        <f>SUMIF(90:90,G27,91:91)-SUMIF(90:90,C27,91:91)+100</f>
        <v>102</v>
      </c>
      <c r="I27" s="402" t="str">
        <f>案例!W29</f>
        <v>21/24</v>
      </c>
      <c r="J27" s="401">
        <f>SUMIF(90:90,I27,91:91)-SUMIF(90:90,C27,91:91)+100</f>
        <v>102</v>
      </c>
      <c r="K27" s="1748"/>
      <c r="L27" s="2488"/>
      <c r="M27" s="2439"/>
      <c r="N27" s="2439"/>
      <c r="O27" s="2439"/>
      <c r="P27" s="3396"/>
      <c r="Q27" s="530" t="str">
        <f t="shared" si="11"/>
        <v>楼层</v>
      </c>
      <c r="R27" s="664" t="s">
        <v>18</v>
      </c>
      <c r="S27" s="665">
        <f t="shared" si="12"/>
        <v>100</v>
      </c>
      <c r="T27" s="664" t="s">
        <v>18</v>
      </c>
      <c r="U27" s="665">
        <f t="shared" si="13"/>
        <v>102</v>
      </c>
      <c r="V27" s="664" t="s">
        <v>18</v>
      </c>
      <c r="W27" s="665">
        <f t="shared" si="14"/>
        <v>102</v>
      </c>
      <c r="X27" s="666"/>
      <c r="Y27" s="3389"/>
      <c r="Z27" s="50" t="str">
        <f>Q27</f>
        <v>楼层</v>
      </c>
      <c r="AA27" s="1264">
        <f t="shared" si="15"/>
        <v>1</v>
      </c>
      <c r="AB27" s="1264">
        <f t="shared" si="16"/>
        <v>0.98039215686274506</v>
      </c>
      <c r="AC27" s="1264">
        <f t="shared" si="17"/>
        <v>0.98039215686274506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6"/>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6"/>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6"/>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6"/>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t="s">
        <v>3420</v>
      </c>
      <c r="D32" s="405">
        <v>100</v>
      </c>
      <c r="E32" s="1765" t="s">
        <v>3420</v>
      </c>
      <c r="F32" s="400">
        <f>SUMIF(100:100,E32,101:101)-SUMIF(100:100,C32,101:101)+100</f>
        <v>100</v>
      </c>
      <c r="G32" s="1764" t="s">
        <v>3420</v>
      </c>
      <c r="H32" s="405">
        <f>SUMIF(100:100,G32,101:101)-SUMIF(100:100,C32,101:101)+100</f>
        <v>100</v>
      </c>
      <c r="I32" s="1764" t="s">
        <v>3420</v>
      </c>
      <c r="J32" s="374">
        <f>SUMIF(100:100,I32,101:101)-SUMIF(100:100,C32,101:101)+100</f>
        <v>100</v>
      </c>
      <c r="K32" s="365">
        <v>1</v>
      </c>
      <c r="L32" s="2492"/>
      <c r="M32" s="2487"/>
      <c r="N32" s="2487"/>
      <c r="O32" s="2487"/>
      <c r="P32" s="3390" t="s">
        <v>1696</v>
      </c>
      <c r="Q32" s="1263" t="str">
        <f t="shared" si="11"/>
        <v>建筑类型</v>
      </c>
      <c r="R32" s="667" t="s">
        <v>18</v>
      </c>
      <c r="S32" s="668">
        <f t="shared" si="12"/>
        <v>100</v>
      </c>
      <c r="T32" s="667" t="s">
        <v>18</v>
      </c>
      <c r="U32" s="668">
        <f t="shared" si="13"/>
        <v>100</v>
      </c>
      <c r="V32" s="667" t="s">
        <v>18</v>
      </c>
      <c r="W32" s="668">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f>项目基本情况!C17</f>
        <v>91.09</v>
      </c>
      <c r="D33" s="119">
        <v>100</v>
      </c>
      <c r="E33" s="407">
        <f>案例!L8</f>
        <v>99.4</v>
      </c>
      <c r="F33" s="119">
        <f>LOOKUP(E33,103:103,104:104)-LOOKUP(C33,103:103,104:104)+100</f>
        <v>100</v>
      </c>
      <c r="G33" s="407">
        <f>案例!L10</f>
        <v>64.010000000000005</v>
      </c>
      <c r="H33" s="119">
        <f>LOOKUP(G33,103:103,104:104)-LOOKUP(C33,103:103,104:104)+100</f>
        <v>101</v>
      </c>
      <c r="I33" s="369">
        <f>案例!L29</f>
        <v>83.42</v>
      </c>
      <c r="J33" s="119">
        <f>LOOKUP(I33,103:103,104:104)-LOOKUP(C33,103:103,104:104)+100</f>
        <v>101</v>
      </c>
      <c r="K33" s="1748"/>
      <c r="L33" s="2491"/>
      <c r="M33" s="2493"/>
      <c r="N33" s="2493"/>
      <c r="O33" s="2493"/>
      <c r="P33" s="3391"/>
      <c r="Q33" s="531" t="str">
        <f t="shared" si="11"/>
        <v>项目建筑规模</v>
      </c>
      <c r="R33" s="669" t="s">
        <v>18</v>
      </c>
      <c r="S33" s="670">
        <f t="shared" si="12"/>
        <v>100</v>
      </c>
      <c r="T33" s="669" t="s">
        <v>18</v>
      </c>
      <c r="U33" s="670">
        <f t="shared" si="13"/>
        <v>101</v>
      </c>
      <c r="V33" s="669" t="s">
        <v>18</v>
      </c>
      <c r="W33" s="670">
        <f t="shared" si="14"/>
        <v>101</v>
      </c>
      <c r="X33" s="671"/>
      <c r="Y33" s="3393"/>
      <c r="Z33" s="672" t="str">
        <f t="shared" si="18"/>
        <v>项目建筑规模</v>
      </c>
      <c r="AA33" s="1264">
        <f t="shared" si="15"/>
        <v>1</v>
      </c>
      <c r="AB33" s="1264">
        <f t="shared" si="16"/>
        <v>0.99009900990099009</v>
      </c>
      <c r="AC33" s="1264">
        <f t="shared" si="17"/>
        <v>0.99009900990099009</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91"/>
      <c r="Q34" s="1263" t="str">
        <f t="shared" si="11"/>
        <v>建筑结构</v>
      </c>
      <c r="R34" s="667" t="s">
        <v>18</v>
      </c>
      <c r="S34" s="668">
        <f t="shared" si="12"/>
        <v>100</v>
      </c>
      <c r="T34" s="667" t="s">
        <v>18</v>
      </c>
      <c r="U34" s="668">
        <f t="shared" si="13"/>
        <v>100</v>
      </c>
      <c r="V34" s="667" t="s">
        <v>18</v>
      </c>
      <c r="W34" s="668">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91"/>
      <c r="Q35" s="1263" t="str">
        <f t="shared" si="11"/>
        <v>建筑品质</v>
      </c>
      <c r="R35" s="667" t="s">
        <v>18</v>
      </c>
      <c r="S35" s="668">
        <f t="shared" si="12"/>
        <v>100</v>
      </c>
      <c r="T35" s="667" t="s">
        <v>18</v>
      </c>
      <c r="U35" s="668">
        <f t="shared" si="13"/>
        <v>100</v>
      </c>
      <c r="V35" s="667" t="s">
        <v>18</v>
      </c>
      <c r="W35" s="668">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91"/>
      <c r="Q36" s="1263" t="str">
        <f t="shared" si="11"/>
        <v>公共部分装修</v>
      </c>
      <c r="R36" s="667" t="s">
        <v>18</v>
      </c>
      <c r="S36" s="668">
        <f t="shared" si="12"/>
        <v>100</v>
      </c>
      <c r="T36" s="667" t="s">
        <v>18</v>
      </c>
      <c r="U36" s="668">
        <f t="shared" si="13"/>
        <v>100</v>
      </c>
      <c r="V36" s="667" t="s">
        <v>18</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v>0.95</v>
      </c>
      <c r="D37" s="119">
        <v>100</v>
      </c>
      <c r="E37" s="411">
        <v>0.87</v>
      </c>
      <c r="F37" s="364">
        <f>LOOKUP(E37,112:112,113:113)-LOOKUP(C37,112:112,113:113)+100</f>
        <v>99</v>
      </c>
      <c r="G37" s="413">
        <v>0.87</v>
      </c>
      <c r="H37" s="119">
        <f>LOOKUP(G37,112:112,113:113)-LOOKUP(C37,112:112,113:113)+100</f>
        <v>99</v>
      </c>
      <c r="I37" s="412">
        <v>0.87</v>
      </c>
      <c r="J37" s="119">
        <f>LOOKUP(I37,112:112,113:113)-LOOKUP(C37,112:112,113:113)+100</f>
        <v>99</v>
      </c>
      <c r="K37" s="365">
        <v>1</v>
      </c>
      <c r="L37" s="2488"/>
      <c r="M37" s="2439"/>
      <c r="N37" s="2439"/>
      <c r="O37" s="2439"/>
      <c r="P37" s="3391"/>
      <c r="Q37" s="530" t="str">
        <f t="shared" si="11"/>
        <v>成新度</v>
      </c>
      <c r="R37" s="664" t="s">
        <v>18</v>
      </c>
      <c r="S37" s="665">
        <f t="shared" si="12"/>
        <v>99</v>
      </c>
      <c r="T37" s="664" t="s">
        <v>18</v>
      </c>
      <c r="U37" s="665">
        <f t="shared" si="13"/>
        <v>99</v>
      </c>
      <c r="V37" s="664" t="s">
        <v>18</v>
      </c>
      <c r="W37" s="665">
        <f t="shared" si="14"/>
        <v>99</v>
      </c>
      <c r="X37" s="666"/>
      <c r="Y37" s="3393"/>
      <c r="Z37" s="50" t="str">
        <f t="shared" si="18"/>
        <v>成新度</v>
      </c>
      <c r="AA37" s="50">
        <f t="shared" si="15"/>
        <v>1.0101010101010102</v>
      </c>
      <c r="AB37" s="50">
        <f t="shared" si="16"/>
        <v>1.0101010101010102</v>
      </c>
      <c r="AC37" s="50">
        <f t="shared" si="17"/>
        <v>1.0101010101010102</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91" t="s">
        <v>1696</v>
      </c>
      <c r="Q38" s="1263" t="str">
        <f t="shared" si="11"/>
        <v>物业管理</v>
      </c>
      <c r="R38" s="667" t="s">
        <v>18</v>
      </c>
      <c r="S38" s="668">
        <f t="shared" si="12"/>
        <v>100</v>
      </c>
      <c r="T38" s="667" t="s">
        <v>18</v>
      </c>
      <c r="U38" s="668">
        <f t="shared" si="13"/>
        <v>100</v>
      </c>
      <c r="V38" s="667" t="s">
        <v>18</v>
      </c>
      <c r="W38" s="668">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91"/>
      <c r="Q39" s="1263" t="str">
        <f t="shared" si="11"/>
        <v>市政基础设施</v>
      </c>
      <c r="R39" s="667" t="s">
        <v>18</v>
      </c>
      <c r="S39" s="668">
        <f t="shared" si="12"/>
        <v>100</v>
      </c>
      <c r="T39" s="667" t="s">
        <v>18</v>
      </c>
      <c r="U39" s="668">
        <f t="shared" si="13"/>
        <v>100</v>
      </c>
      <c r="V39" s="667" t="s">
        <v>18</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91"/>
      <c r="Q40" s="1263" t="str">
        <f t="shared" si="11"/>
        <v>房型</v>
      </c>
      <c r="R40" s="667" t="s">
        <v>18</v>
      </c>
      <c r="S40" s="668">
        <f t="shared" si="12"/>
        <v>100</v>
      </c>
      <c r="T40" s="667" t="s">
        <v>18</v>
      </c>
      <c r="U40" s="668">
        <f t="shared" si="13"/>
        <v>100</v>
      </c>
      <c r="V40" s="667" t="s">
        <v>18</v>
      </c>
      <c r="W40" s="668">
        <f t="shared" si="14"/>
        <v>100</v>
      </c>
      <c r="X40" s="1265"/>
      <c r="Y40" s="339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48">
        <f>ROUND(1-(2008-2000)/60,2)</f>
        <v>0.87</v>
      </c>
      <c r="N41" s="2493"/>
      <c r="O41" s="2493"/>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1706</v>
      </c>
      <c r="C42" s="3149" t="s">
        <v>3404</v>
      </c>
      <c r="D42" s="374">
        <v>100</v>
      </c>
      <c r="E42" s="1761" t="s">
        <v>3402</v>
      </c>
      <c r="F42" s="400">
        <f>SUMIF(122:122,E42,123:123)-SUMIF(122:122,C42,123:123)+100</f>
        <v>103</v>
      </c>
      <c r="G42" s="1760" t="s">
        <v>3402</v>
      </c>
      <c r="H42" s="374">
        <f>SUMIF(122:122,G42,123:123)-SUMIF(122:122,C42,123:123)+100</f>
        <v>103</v>
      </c>
      <c r="I42" s="1761" t="s">
        <v>3402</v>
      </c>
      <c r="J42" s="374">
        <f>SUMIF(122:122,I42,123:123)-SUMIF(122:122,C42,123:123)+100</f>
        <v>103</v>
      </c>
      <c r="K42" s="365">
        <v>3</v>
      </c>
      <c r="L42" s="2492"/>
      <c r="M42" s="2487"/>
      <c r="N42" s="2487"/>
      <c r="O42" s="2487"/>
      <c r="P42" s="3391"/>
      <c r="Q42" s="1263" t="str">
        <f t="shared" si="11"/>
        <v>内部装修</v>
      </c>
      <c r="R42" s="667" t="s">
        <v>18</v>
      </c>
      <c r="S42" s="668">
        <f t="shared" si="12"/>
        <v>103</v>
      </c>
      <c r="T42" s="667" t="s">
        <v>18</v>
      </c>
      <c r="U42" s="668">
        <f t="shared" si="13"/>
        <v>103</v>
      </c>
      <c r="V42" s="667" t="s">
        <v>18</v>
      </c>
      <c r="W42" s="668">
        <f t="shared" si="14"/>
        <v>103</v>
      </c>
      <c r="X42" s="1265"/>
      <c r="Y42" s="3393"/>
      <c r="Z42" s="1264" t="str">
        <f t="shared" si="18"/>
        <v>内部装修</v>
      </c>
      <c r="AA42" s="1264">
        <f t="shared" si="15"/>
        <v>0.970873786407767</v>
      </c>
      <c r="AB42" s="1264">
        <f t="shared" si="16"/>
        <v>0.970873786407767</v>
      </c>
      <c r="AC42" s="1264">
        <f t="shared" si="17"/>
        <v>0.970873786407767</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91"/>
      <c r="Q43" s="1263" t="str">
        <f t="shared" si="11"/>
        <v>内部装修维护情况</v>
      </c>
      <c r="R43" s="667" t="s">
        <v>18</v>
      </c>
      <c r="S43" s="668">
        <f t="shared" si="12"/>
        <v>100</v>
      </c>
      <c r="T43" s="667" t="s">
        <v>18</v>
      </c>
      <c r="U43" s="668">
        <f t="shared" si="13"/>
        <v>100</v>
      </c>
      <c r="V43" s="667" t="s">
        <v>18</v>
      </c>
      <c r="W43" s="668">
        <f t="shared" si="14"/>
        <v>100</v>
      </c>
      <c r="X43" s="1265"/>
      <c r="Y43" s="3393"/>
      <c r="Z43" s="1264" t="str">
        <f t="shared" si="18"/>
        <v>内部装修维护情况</v>
      </c>
      <c r="AA43" s="1264">
        <f t="shared" si="15"/>
        <v>1</v>
      </c>
      <c r="AB43" s="1264">
        <f t="shared" si="16"/>
        <v>1</v>
      </c>
      <c r="AC43" s="1264">
        <f t="shared" si="17"/>
        <v>1</v>
      </c>
    </row>
    <row r="44" spans="1:29" s="102" customFormat="1" ht="15" hidden="1">
      <c r="A44" s="410"/>
      <c r="B44" s="3148"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8"/>
      <c r="L44" s="2488"/>
      <c r="M44" s="2439"/>
      <c r="N44" s="2439"/>
      <c r="O44" s="2439"/>
      <c r="P44" s="3391"/>
      <c r="Q44" s="530" t="str">
        <f t="shared" si="11"/>
        <v>建成年代</v>
      </c>
      <c r="R44" s="664" t="s">
        <v>18</v>
      </c>
      <c r="S44" s="665">
        <f t="shared" si="12"/>
        <v>100</v>
      </c>
      <c r="T44" s="664" t="s">
        <v>18</v>
      </c>
      <c r="U44" s="665">
        <f t="shared" si="13"/>
        <v>100</v>
      </c>
      <c r="V44" s="664" t="s">
        <v>18</v>
      </c>
      <c r="W44" s="665">
        <f t="shared" si="14"/>
        <v>100</v>
      </c>
      <c r="X44" s="666"/>
      <c r="Y44" s="3393"/>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91"/>
      <c r="Q45" s="1263">
        <f t="shared" si="11"/>
        <v>111</v>
      </c>
      <c r="R45" s="667" t="s">
        <v>18</v>
      </c>
      <c r="S45" s="668">
        <f t="shared" si="12"/>
        <v>100</v>
      </c>
      <c r="T45" s="667" t="s">
        <v>18</v>
      </c>
      <c r="U45" s="668">
        <f t="shared" si="13"/>
        <v>100</v>
      </c>
      <c r="V45" s="667" t="s">
        <v>18</v>
      </c>
      <c r="W45" s="668">
        <f t="shared" si="14"/>
        <v>100</v>
      </c>
      <c r="X45" s="1265"/>
      <c r="Y45" s="339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92"/>
      <c r="Q46" s="1263">
        <f t="shared" si="11"/>
        <v>111</v>
      </c>
      <c r="R46" s="667" t="s">
        <v>17</v>
      </c>
      <c r="S46" s="668">
        <f t="shared" si="12"/>
        <v>100</v>
      </c>
      <c r="T46" s="667" t="s">
        <v>17</v>
      </c>
      <c r="U46" s="668">
        <f t="shared" si="13"/>
        <v>100</v>
      </c>
      <c r="V46" s="667" t="s">
        <v>17</v>
      </c>
      <c r="W46" s="668">
        <f t="shared" si="14"/>
        <v>100</v>
      </c>
      <c r="X46" s="1265"/>
      <c r="Y46" s="3394"/>
      <c r="Z46" s="1264">
        <f t="shared" si="18"/>
        <v>111</v>
      </c>
      <c r="AA46" s="1264">
        <f t="shared" si="15"/>
        <v>1</v>
      </c>
      <c r="AB46" s="1264">
        <f t="shared" si="16"/>
        <v>1</v>
      </c>
      <c r="AC46" s="1264">
        <f t="shared" si="17"/>
        <v>1</v>
      </c>
    </row>
    <row r="47" spans="1:29" ht="15">
      <c r="A47" s="416" t="s">
        <v>1708</v>
      </c>
      <c r="B47" s="417"/>
      <c r="C47" s="1081" t="s">
        <v>16</v>
      </c>
      <c r="D47" s="418"/>
      <c r="E47" s="419">
        <f>案例!P8</f>
        <v>8652</v>
      </c>
      <c r="F47" s="420"/>
      <c r="G47" s="421">
        <f>案例!R12</f>
        <v>9201</v>
      </c>
      <c r="H47" s="422"/>
      <c r="I47" s="419">
        <f>案例!P29</f>
        <v>8991</v>
      </c>
      <c r="J47" s="422"/>
      <c r="K47" s="1767"/>
      <c r="L47" s="2494"/>
      <c r="M47" s="2487"/>
      <c r="N47" s="2487"/>
      <c r="O47" s="2487"/>
      <c r="P47" s="3387" t="str">
        <f>A47</f>
        <v>成交单价（元/平方米）</v>
      </c>
      <c r="Q47" s="3387"/>
      <c r="R47" s="3382">
        <f>E47</f>
        <v>8652</v>
      </c>
      <c r="S47" s="3382"/>
      <c r="T47" s="3382">
        <f>G47</f>
        <v>9201</v>
      </c>
      <c r="U47" s="3382"/>
      <c r="V47" s="3382">
        <f>I47</f>
        <v>8991</v>
      </c>
      <c r="W47" s="3382"/>
      <c r="X47" s="385"/>
      <c r="Y47" s="673"/>
      <c r="Z47" s="385"/>
      <c r="AA47" s="385"/>
      <c r="AB47" s="385"/>
      <c r="AC47" s="385"/>
    </row>
    <row r="48" spans="1:29" ht="15.75" thickBot="1">
      <c r="A48" s="423" t="s">
        <v>1709</v>
      </c>
      <c r="B48" s="424"/>
      <c r="C48" s="1082">
        <f>R49</f>
        <v>8187</v>
      </c>
      <c r="D48" s="2141" t="s">
        <v>2138</v>
      </c>
      <c r="E48" s="1083">
        <f>R48</f>
        <v>7850</v>
      </c>
      <c r="F48" s="2142"/>
      <c r="G48" s="1082">
        <f>T48</f>
        <v>8721</v>
      </c>
      <c r="H48" s="2142"/>
      <c r="I48" s="1083">
        <f>V48</f>
        <v>7990</v>
      </c>
      <c r="J48" s="2142"/>
      <c r="K48" s="2143">
        <f>F48+H48+J48</f>
        <v>0</v>
      </c>
      <c r="L48" s="2494"/>
      <c r="M48" s="2487"/>
      <c r="N48" s="2487"/>
      <c r="O48" s="2487"/>
      <c r="P48" s="3387" t="str">
        <f>A48</f>
        <v>比较价值（元/平方米）</v>
      </c>
      <c r="Q48" s="3387"/>
      <c r="R48" s="3382">
        <f>IF(F1="售价",ROUND(PRODUCT(R47,AA7:AA46),0),ROUND(PRODUCT(R47,AA7:AA46),1))</f>
        <v>7850</v>
      </c>
      <c r="S48" s="3382"/>
      <c r="T48" s="3382">
        <f>IF(F1="售价",ROUND(PRODUCT(T47,AB7:AB46),0),ROUND(PRODUCT(T47,AB7:AB46),1))</f>
        <v>8721</v>
      </c>
      <c r="U48" s="3382"/>
      <c r="V48" s="3382">
        <f>IF(F1="售价",ROUND(PRODUCT(V47,AC7:AC46),0),ROUND(PRODUCT(V47,AC7:AC46),1))</f>
        <v>7990</v>
      </c>
      <c r="W48" s="3382"/>
      <c r="X48" s="385"/>
      <c r="Y48" s="385"/>
      <c r="Z48" s="385"/>
      <c r="AA48" s="385"/>
      <c r="AB48" s="385"/>
      <c r="AC48" s="385"/>
    </row>
    <row r="49" spans="1:29" ht="15.75" thickBot="1">
      <c r="A49" s="427" t="s">
        <v>1710</v>
      </c>
      <c r="B49" s="428"/>
      <c r="C49" s="1084">
        <f>R49</f>
        <v>8187</v>
      </c>
      <c r="D49" s="351"/>
      <c r="E49" s="351"/>
      <c r="F49" s="351"/>
      <c r="G49" s="351"/>
      <c r="H49" s="351"/>
      <c r="I49" s="351"/>
      <c r="J49" s="351"/>
      <c r="K49" s="1768"/>
      <c r="L49" s="2494"/>
      <c r="M49" s="2487"/>
      <c r="N49" s="2487"/>
      <c r="O49" s="2487"/>
      <c r="P49" s="3384" t="str">
        <f>A49</f>
        <v>估价对象XX用房的比较价值（楼面单价，元/平方米）</v>
      </c>
      <c r="Q49" s="3385"/>
      <c r="R49" s="3386">
        <f>IF(F1="售价",ROUND(IF(D48="简单平均",AVERAGE(R48:V48),R48*F48+T48*H48+V48*J48),0),ROUND(IF(D48="简单平均",AVERAGE(R48:V48),R48*F48+T48*H48+V48*J48),1))</f>
        <v>8187</v>
      </c>
      <c r="S49" s="3386"/>
      <c r="T49" s="3386"/>
      <c r="U49" s="3386"/>
      <c r="V49" s="3386"/>
      <c r="W49" s="3386"/>
      <c r="X49" s="385"/>
      <c r="Y49" s="385"/>
      <c r="Z49" s="385"/>
      <c r="AA49" s="385"/>
      <c r="AB49" s="385"/>
      <c r="AC49" s="385"/>
    </row>
    <row r="50" spans="1:29">
      <c r="A50" s="2487"/>
      <c r="B50" s="2487"/>
      <c r="C50" s="2487"/>
      <c r="D50" s="2487"/>
      <c r="E50" s="2487">
        <v>2000</v>
      </c>
      <c r="F50" s="2487"/>
      <c r="G50" s="2498">
        <v>20</v>
      </c>
      <c r="H50" s="2487"/>
      <c r="I50" s="2487">
        <v>2000</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0.10216560509554151</v>
      </c>
      <c r="F52" s="435" t="str">
        <f>IF(OR(E52&gt;=0.3,E52&lt;=-0.3),"超过30%","")</f>
        <v/>
      </c>
      <c r="G52" s="434">
        <f>IF(G47&lt;G48,G48/G47-1,G47/G48-1)</f>
        <v>5.5039559683522477E-2</v>
      </c>
      <c r="H52" s="435" t="str">
        <f>IF(OR(G52&gt;=0.3,G52&lt;=-0.3),"超过30%","")</f>
        <v/>
      </c>
      <c r="I52" s="434">
        <f>IF(I47&lt;I48,I48/I47-1,I47/I48-1)</f>
        <v>0.12528160200250316</v>
      </c>
      <c r="J52" s="435" t="str">
        <f>IF(OR(I52&gt;=0.3,I52&lt;=-0.3),"超过30%","")</f>
        <v/>
      </c>
      <c r="K52" s="2499"/>
      <c r="L52" s="2495"/>
      <c r="M52" s="2487"/>
      <c r="N52" s="2487"/>
      <c r="O52" s="2487"/>
    </row>
    <row r="53" spans="1:29" ht="13.5" customHeight="1">
      <c r="A53" s="2487"/>
      <c r="B53" s="2487"/>
      <c r="C53" s="432" t="s">
        <v>1712</v>
      </c>
      <c r="D53" s="436"/>
      <c r="E53" s="434">
        <f>IF(E48&lt;G48,G48/E48-1,E48/G48-1)</f>
        <v>0.1109554140127389</v>
      </c>
      <c r="F53" s="435" t="str">
        <f>IF(OR(E53&gt;=0.2,E53&lt;=-0.2),"超过20%","")</f>
        <v/>
      </c>
      <c r="G53" s="434">
        <f>IF(G48&lt;I48,I48/G48-1,G48/I48-1)</f>
        <v>9.1489361702127736E-2</v>
      </c>
      <c r="H53" s="435" t="str">
        <f>IF(OR(G53&gt;=0.2,G53&lt;=-0.2),"超过20%","")</f>
        <v/>
      </c>
      <c r="I53" s="434">
        <f>IF(I48&lt;E48,E48/I48-1,I48/E48-1)</f>
        <v>1.7834394904458595E-2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6.3453536754507711E-2</v>
      </c>
      <c r="F54" s="435" t="str">
        <f>IF(OR(E54&gt;=0.3,E54&lt;=-0.3),"超过30%","")</f>
        <v/>
      </c>
      <c r="G54" s="434">
        <f>IF(G47&lt;I47,I47/G47-1,G47/I47-1)</f>
        <v>2.3356690023356608E-2</v>
      </c>
      <c r="H54" s="435" t="str">
        <f>IF(OR(G54&gt;=0.3,G54&lt;=-0.3),"超过30%","")</f>
        <v/>
      </c>
      <c r="I54" s="434">
        <f>IF(I47&lt;E47,E47/I47-1,I47/E47-1)</f>
        <v>3.9181692094313547E-2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2008-12</v>
      </c>
      <c r="D58" s="1104">
        <f>EDATE(C58,-1)</f>
        <v>39753</v>
      </c>
      <c r="E58" s="1104">
        <f>EDATE(D58,-1)</f>
        <v>39722</v>
      </c>
      <c r="F58" s="1104">
        <f t="shared" ref="F58:O58" si="19">EDATE(E58,-1)</f>
        <v>39692</v>
      </c>
      <c r="G58" s="1104">
        <f t="shared" si="19"/>
        <v>39661</v>
      </c>
      <c r="H58" s="1104">
        <f t="shared" si="19"/>
        <v>39630</v>
      </c>
      <c r="I58" s="1104">
        <f t="shared" si="19"/>
        <v>39600</v>
      </c>
      <c r="J58" s="1104">
        <f t="shared" si="19"/>
        <v>39569</v>
      </c>
      <c r="K58" s="1104">
        <f t="shared" si="19"/>
        <v>39539</v>
      </c>
      <c r="L58" s="1104">
        <f t="shared" si="19"/>
        <v>39508</v>
      </c>
      <c r="M58" s="1104">
        <f t="shared" si="19"/>
        <v>39479</v>
      </c>
      <c r="N58" s="1104">
        <f t="shared" si="19"/>
        <v>39448</v>
      </c>
      <c r="O58" s="1104">
        <f t="shared" si="19"/>
        <v>39417</v>
      </c>
      <c r="P58" s="1100"/>
    </row>
    <row r="59" spans="1:29" s="102" customFormat="1" ht="15">
      <c r="A59" s="443"/>
      <c r="B59" s="1772"/>
      <c r="C59" s="1102">
        <v>100</v>
      </c>
      <c r="D59" s="445">
        <v>100</v>
      </c>
      <c r="E59" s="446">
        <v>99.5</v>
      </c>
      <c r="F59" s="446">
        <f>E59</f>
        <v>99.5</v>
      </c>
      <c r="G59" s="446">
        <f>E59</f>
        <v>99.5</v>
      </c>
      <c r="H59" s="446">
        <v>99</v>
      </c>
      <c r="I59" s="446">
        <f>H59</f>
        <v>99</v>
      </c>
      <c r="J59" s="446">
        <f>H59</f>
        <v>99</v>
      </c>
      <c r="K59" s="446">
        <v>98.5</v>
      </c>
      <c r="L59" s="446">
        <f>K59</f>
        <v>98.5</v>
      </c>
      <c r="M59" s="447">
        <f>K59</f>
        <v>98.5</v>
      </c>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3145" t="s">
        <v>3424</v>
      </c>
      <c r="D70" s="3145" t="s">
        <v>3423</v>
      </c>
      <c r="E70" s="485"/>
      <c r="F70" s="485"/>
      <c r="G70" s="485"/>
      <c r="H70" s="486"/>
      <c r="I70" s="486"/>
      <c r="J70" s="486"/>
      <c r="K70" s="486"/>
      <c r="L70" s="487"/>
      <c r="M70" s="488"/>
      <c r="N70" s="881"/>
      <c r="O70" s="881"/>
      <c r="P70" s="1776"/>
      <c r="Q70" s="490"/>
    </row>
    <row r="71" spans="1:17" s="408" customFormat="1" ht="15.75" thickBot="1">
      <c r="A71" s="484"/>
      <c r="B71" s="474"/>
      <c r="C71" s="491">
        <v>100</v>
      </c>
      <c r="D71" s="467">
        <v>98</v>
      </c>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5" t="s">
        <v>3411</v>
      </c>
      <c r="D88" s="3145" t="s">
        <v>3555</v>
      </c>
      <c r="E88" s="3145" t="s">
        <v>3563</v>
      </c>
      <c r="F88" s="3151" t="s">
        <v>3416</v>
      </c>
      <c r="G88" s="3145" t="s">
        <v>3567</v>
      </c>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152" t="str">
        <f>C27</f>
        <v>8/28</v>
      </c>
      <c r="D90" s="3152" t="str">
        <f>E27</f>
        <v>2/24</v>
      </c>
      <c r="E90" s="3152" t="str">
        <f>G27</f>
        <v>19/24</v>
      </c>
      <c r="F90" s="3152" t="str">
        <f>I27</f>
        <v>21/24</v>
      </c>
      <c r="G90" s="3152"/>
      <c r="H90" s="486"/>
      <c r="I90" s="486"/>
      <c r="J90" s="486"/>
      <c r="K90" s="486"/>
      <c r="L90" s="487"/>
      <c r="M90" s="488"/>
      <c r="N90" s="881"/>
      <c r="O90" s="881"/>
      <c r="P90" s="1776"/>
      <c r="Q90" s="490"/>
    </row>
    <row r="91" spans="1:17" s="408" customFormat="1" ht="15.75" thickBot="1">
      <c r="A91" s="484"/>
      <c r="B91" s="474"/>
      <c r="C91" s="491">
        <v>100</v>
      </c>
      <c r="D91" s="491">
        <v>100</v>
      </c>
      <c r="E91" s="491">
        <v>102</v>
      </c>
      <c r="F91" s="491">
        <v>102</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47" t="s">
        <v>3407</v>
      </c>
      <c r="D100" s="3147" t="s">
        <v>3421</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75" thickTop="1">
      <c r="A102" s="367"/>
      <c r="B102" s="469" t="s">
        <v>1737</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60</v>
      </c>
      <c r="E103" s="6">
        <v>90</v>
      </c>
      <c r="F103" s="6">
        <v>120</v>
      </c>
      <c r="G103" s="6"/>
      <c r="H103" s="6"/>
      <c r="I103" s="6"/>
      <c r="J103" s="524"/>
      <c r="K103" s="524"/>
      <c r="L103" s="525"/>
      <c r="M103" s="526"/>
      <c r="N103" s="881"/>
      <c r="O103" s="881"/>
      <c r="P103" s="1776"/>
      <c r="Q103" s="490"/>
    </row>
    <row r="104" spans="1:17" s="408" customFormat="1" ht="15.75" thickBot="1">
      <c r="A104" s="484"/>
      <c r="B104" s="474"/>
      <c r="C104" s="491">
        <v>100</v>
      </c>
      <c r="D104" s="467">
        <f>C104-$G$104</f>
        <v>99</v>
      </c>
      <c r="E104" s="467">
        <f t="shared" ref="E104:F104" si="27">D104-$G$104</f>
        <v>98</v>
      </c>
      <c r="F104" s="467">
        <f t="shared" si="27"/>
        <v>97</v>
      </c>
      <c r="G104" s="467">
        <v>1</v>
      </c>
      <c r="H104" s="467"/>
      <c r="I104" s="467"/>
      <c r="J104" s="467"/>
      <c r="K104" s="467"/>
      <c r="L104" s="467"/>
      <c r="M104" s="467"/>
      <c r="N104" s="880"/>
      <c r="O104" s="880"/>
      <c r="P104" s="1776"/>
      <c r="Q104" s="490"/>
    </row>
    <row r="105" spans="1:17" ht="15" thickTop="1">
      <c r="A105" s="409"/>
      <c r="B105" s="469" t="s">
        <v>1738</v>
      </c>
      <c r="C105" s="3145" t="s">
        <v>3408</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6" t="s">
        <v>3406</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5" t="s">
        <v>3400</v>
      </c>
      <c r="D122" s="3145" t="s">
        <v>3401</v>
      </c>
      <c r="E122" s="3145" t="s">
        <v>3403</v>
      </c>
      <c r="F122" s="3146" t="s">
        <v>3405</v>
      </c>
      <c r="G122" s="513"/>
      <c r="H122" s="513"/>
      <c r="I122" s="513"/>
      <c r="J122" s="513"/>
      <c r="K122" s="514"/>
      <c r="L122" s="515"/>
      <c r="M122" s="516"/>
      <c r="N122" s="879"/>
      <c r="O122" s="879"/>
      <c r="P122" s="1775"/>
      <c r="Q122" s="439"/>
    </row>
    <row r="123" spans="1:17" ht="15.75" thickBot="1">
      <c r="A123" s="367"/>
      <c r="B123" s="474"/>
      <c r="C123" s="475">
        <v>100</v>
      </c>
      <c r="D123" s="475">
        <f t="shared" ref="D123:M123" si="33">C123-$K42</f>
        <v>97</v>
      </c>
      <c r="E123" s="475">
        <f t="shared" si="33"/>
        <v>94</v>
      </c>
      <c r="F123" s="475">
        <f t="shared" si="33"/>
        <v>91</v>
      </c>
      <c r="G123" s="475">
        <f t="shared" si="33"/>
        <v>88</v>
      </c>
      <c r="H123" s="475">
        <f t="shared" si="33"/>
        <v>85</v>
      </c>
      <c r="I123" s="475">
        <f t="shared" si="33"/>
        <v>82</v>
      </c>
      <c r="J123" s="475">
        <f t="shared" si="33"/>
        <v>79</v>
      </c>
      <c r="K123" s="475">
        <f t="shared" si="33"/>
        <v>76</v>
      </c>
      <c r="L123" s="475">
        <f t="shared" si="33"/>
        <v>73</v>
      </c>
      <c r="M123" s="475">
        <f t="shared" si="33"/>
        <v>70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32 J7:J46 F34:F46 H34:H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62.033700000000003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6810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210828</v>
      </c>
      <c r="D5" s="203" t="s">
        <v>1469</v>
      </c>
      <c r="E5" s="204" t="s">
        <v>1470</v>
      </c>
      <c r="F5" s="204" t="s">
        <v>1471</v>
      </c>
      <c r="G5" s="205"/>
    </row>
    <row r="6" spans="1:8" s="206" customFormat="1" ht="13.5" customHeight="1">
      <c r="A6" s="732" t="s">
        <v>1472</v>
      </c>
      <c r="B6" s="207" t="s">
        <v>1473</v>
      </c>
      <c r="C6" s="208">
        <f>'[2]2002基准地价'!$E$18</f>
        <v>204588</v>
      </c>
      <c r="D6" s="209"/>
      <c r="E6" s="210"/>
      <c r="F6" s="210"/>
      <c r="G6" s="211"/>
    </row>
    <row r="7" spans="1:8" s="206" customFormat="1" ht="13.5" customHeight="1">
      <c r="A7" s="732" t="s">
        <v>1474</v>
      </c>
      <c r="B7" s="207" t="s">
        <v>1475</v>
      </c>
      <c r="C7" s="212">
        <f>ROUND(C6*F7,0)</f>
        <v>6240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91.09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91.09</v>
      </c>
      <c r="E19" s="203">
        <f>'数据-取费表'!B31</f>
        <v>0</v>
      </c>
      <c r="F19" s="223"/>
      <c r="G19" s="1714" t="s">
        <v>3412</v>
      </c>
    </row>
    <row r="20" spans="1:7" s="206" customFormat="1" ht="13.5" customHeight="1">
      <c r="A20" s="247" t="s">
        <v>1574</v>
      </c>
      <c r="B20" s="202" t="s">
        <v>1575</v>
      </c>
      <c r="C20" s="224">
        <f>ROUND((C5+C19)*F20,0)</f>
        <v>2108</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24706</v>
      </c>
      <c r="D22" s="227">
        <f ca="1">C26</f>
        <v>5.9999999999999995E-4</v>
      </c>
      <c r="E22" s="228" t="s">
        <v>1579</v>
      </c>
      <c r="F22" s="229">
        <f ca="1">'数据-取费表'!B40</f>
        <v>5.67E-2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24586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21294</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21294</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277709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287846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255052</v>
      </c>
      <c r="D34" s="209"/>
      <c r="E34" s="212"/>
      <c r="F34" s="249"/>
      <c r="G34" s="211"/>
    </row>
    <row r="35" spans="1:7" ht="13.5" customHeight="1">
      <c r="A35" s="734" t="s">
        <v>351</v>
      </c>
      <c r="B35" s="207" t="s">
        <v>1527</v>
      </c>
      <c r="C35" s="212">
        <f ca="1">ROUND(C34*F35,0)</f>
        <v>7652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7652</v>
      </c>
      <c r="D36" s="212"/>
      <c r="E36" s="212"/>
      <c r="F36" s="251">
        <f>'数据-取费表'!B34</f>
        <v>0.03</v>
      </c>
      <c r="G36" s="252" t="s">
        <v>1530</v>
      </c>
    </row>
    <row r="37" spans="1:7" s="250" customFormat="1" ht="13.5" customHeight="1">
      <c r="A37" s="734" t="s">
        <v>353</v>
      </c>
      <c r="B37" s="207" t="s">
        <v>1531</v>
      </c>
      <c r="C37" s="241">
        <f ca="1">ROUND(E37*D37,0)</f>
        <v>13664</v>
      </c>
      <c r="D37" s="209">
        <f ca="1">D19</f>
        <v>91.09</v>
      </c>
      <c r="E37" s="241">
        <f>'数据-取费表'!B35</f>
        <v>150</v>
      </c>
      <c r="F37" s="251"/>
      <c r="G37" s="253"/>
    </row>
    <row r="38" spans="1:7" ht="13.5" customHeight="1">
      <c r="A38" s="734" t="s">
        <v>354</v>
      </c>
      <c r="B38" s="207" t="s">
        <v>1533</v>
      </c>
      <c r="C38" s="212">
        <f ca="1">ROUND(C34*F38,0)</f>
        <v>3826</v>
      </c>
      <c r="D38" s="212"/>
      <c r="E38" s="212"/>
      <c r="F38" s="251">
        <f>'数据-取费表'!B36</f>
        <v>1.4999999999999999E-2</v>
      </c>
      <c r="G38" s="211" t="s">
        <v>1528</v>
      </c>
    </row>
    <row r="39" spans="1:7" s="206" customFormat="1" ht="13.5" customHeight="1">
      <c r="A39" s="247" t="s">
        <v>1534</v>
      </c>
      <c r="B39" s="202" t="s">
        <v>1535</v>
      </c>
      <c r="C39" s="224">
        <f ca="1">ROUND(C33*F20,0)</f>
        <v>2878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16484</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16321</v>
      </c>
      <c r="D42" s="230"/>
      <c r="E42" s="230"/>
      <c r="F42" s="231"/>
      <c r="G42" s="3349" t="s">
        <v>1591</v>
      </c>
    </row>
    <row r="43" spans="1:7" ht="13.5" customHeight="1">
      <c r="A43" s="734" t="s">
        <v>347</v>
      </c>
      <c r="B43" s="207" t="s">
        <v>1545</v>
      </c>
      <c r="C43" s="230">
        <f ca="1">ROUND(IF('数据-取费表'!B22&lt;=1,C39*F22*'数据-取费表'!B20/2,C39*(POWER((1+F22),'数据-取费表'!B20/2)-1)),0)</f>
        <v>163</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29072</v>
      </c>
      <c r="D45" s="227">
        <f ca="1">C47</f>
        <v>1E-3</v>
      </c>
      <c r="E45" s="228" t="s">
        <v>1539</v>
      </c>
      <c r="F45" s="238">
        <f ca="1">F27</f>
        <v>0.1</v>
      </c>
      <c r="G45" s="239" t="s">
        <v>1548</v>
      </c>
    </row>
    <row r="46" spans="1:7" s="206" customFormat="1" ht="13.5" customHeight="1">
      <c r="A46" s="734" t="s">
        <v>346</v>
      </c>
      <c r="B46" s="240" t="s">
        <v>1549</v>
      </c>
      <c r="C46" s="241">
        <f ca="1">ROUND((C33+C39)*F27,0)</f>
        <v>29072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360661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342628</v>
      </c>
      <c r="D51" s="224"/>
      <c r="E51" s="224"/>
      <c r="F51" s="256"/>
      <c r="G51" s="226" t="s">
        <v>1560</v>
      </c>
    </row>
    <row r="52" spans="1:7" s="200" customFormat="1" ht="16.5" thickBot="1">
      <c r="A52" s="257" t="s">
        <v>1561</v>
      </c>
      <c r="B52" s="258"/>
      <c r="C52" s="259">
        <f ca="1">C31+C51</f>
        <v>620337</v>
      </c>
      <c r="D52" s="258"/>
      <c r="E52" s="258"/>
      <c r="F52" s="258"/>
      <c r="G52" s="260"/>
    </row>
    <row r="55" spans="1:7" ht="15">
      <c r="B55" s="262" t="s">
        <v>1562</v>
      </c>
      <c r="C55" s="263"/>
    </row>
    <row r="56" spans="1:7">
      <c r="B56" s="265" t="s">
        <v>802</v>
      </c>
      <c r="C56" s="267">
        <f ca="1">1-C57</f>
        <v>0.44799999999999995</v>
      </c>
    </row>
    <row r="57" spans="1:7">
      <c r="B57" s="265" t="s">
        <v>803</v>
      </c>
      <c r="C57" s="266">
        <f ca="1">ROUND(C51/C52,3)</f>
        <v>0.55200000000000005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91.09</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91.09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91.09</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5.67E-2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9" t="s">
        <v>694</v>
      </c>
      <c r="C6" s="1011">
        <f ca="1">ROUND(F6*F8*F7*(1-F9)/10000,0)</f>
        <v>0</v>
      </c>
      <c r="D6" s="147" t="s">
        <v>2109</v>
      </c>
      <c r="E6" s="294" t="s">
        <v>696</v>
      </c>
      <c r="F6" s="295">
        <f ca="1">INDIRECT("'数据-取费表'!u"&amp;$G$1)</f>
        <v>0</v>
      </c>
      <c r="G6" s="1292"/>
      <c r="H6" s="1006" t="s">
        <v>398</v>
      </c>
      <c r="I6" s="3399" t="s">
        <v>694</v>
      </c>
      <c r="J6" s="293">
        <f ca="1">ROUND(M6*M8*M7*(1-M9)/10000,0)</f>
        <v>0</v>
      </c>
      <c r="K6" s="147" t="s">
        <v>2108</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0</v>
      </c>
      <c r="G7" s="1292"/>
      <c r="H7" s="296"/>
      <c r="I7" s="3400"/>
      <c r="J7" s="298"/>
      <c r="K7" s="299"/>
      <c r="L7" s="294" t="s">
        <v>697</v>
      </c>
      <c r="M7" s="295">
        <f ca="1">F7</f>
        <v>0</v>
      </c>
    </row>
    <row r="8" spans="1:37" ht="18" customHeight="1">
      <c r="A8" s="296"/>
      <c r="B8" s="3400"/>
      <c r="C8" s="298"/>
      <c r="D8" s="299"/>
      <c r="E8" s="294" t="s">
        <v>698</v>
      </c>
      <c r="F8" s="295">
        <f ca="1">INDIRECT("'数据-取费表'!ai"&amp;$G$1)</f>
        <v>0</v>
      </c>
      <c r="G8" s="1292"/>
      <c r="H8" s="296"/>
      <c r="I8" s="3400"/>
      <c r="J8" s="298"/>
      <c r="K8" s="299"/>
      <c r="L8" s="294" t="s">
        <v>698</v>
      </c>
      <c r="M8" s="295">
        <f ca="1">INDIRECT("'数据-取费表'!ai"&amp;$G$1)</f>
        <v>0</v>
      </c>
    </row>
    <row r="9" spans="1:37" ht="18" customHeight="1">
      <c r="A9" s="296"/>
      <c r="B9" s="3401"/>
      <c r="C9" s="298"/>
      <c r="D9" s="299"/>
      <c r="E9" s="294" t="s">
        <v>699</v>
      </c>
      <c r="F9" s="304">
        <f ca="1">INDIRECT("'数据-取费表'!w"&amp;$G$1)</f>
        <v>0</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2.52E-2</v>
      </c>
      <c r="G11" s="1292"/>
      <c r="H11" s="1014"/>
      <c r="I11" s="1275" t="s">
        <v>679</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150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97" t="s">
        <v>837</v>
      </c>
      <c r="L53" s="339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9" t="s">
        <v>694</v>
      </c>
      <c r="C6" s="1011">
        <f ca="1">ROUND(F6*F8*F7*(1-F9),0)</f>
        <v>0</v>
      </c>
      <c r="D6" s="147" t="s">
        <v>2106</v>
      </c>
      <c r="E6" s="294" t="s">
        <v>696</v>
      </c>
      <c r="F6" s="295">
        <f ca="1">INDIRECT("'数据-取费表'!u"&amp;$G$1)</f>
        <v>0</v>
      </c>
      <c r="G6" s="1292"/>
      <c r="H6" s="1006" t="s">
        <v>398</v>
      </c>
      <c r="I6" s="3399" t="s">
        <v>694</v>
      </c>
      <c r="J6" s="293">
        <f ca="1">ROUND(M6*M8*M7*(1-M9),0)</f>
        <v>0</v>
      </c>
      <c r="K6" s="1284" t="s">
        <v>2107</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0</v>
      </c>
      <c r="G7" s="1292"/>
      <c r="H7" s="296"/>
      <c r="I7" s="3400"/>
      <c r="J7" s="298"/>
      <c r="K7" s="299"/>
      <c r="L7" s="294" t="s">
        <v>697</v>
      </c>
      <c r="M7" s="295">
        <f ca="1">F7</f>
        <v>0</v>
      </c>
    </row>
    <row r="8" spans="1:37" ht="18" customHeight="1">
      <c r="A8" s="296"/>
      <c r="B8" s="3400"/>
      <c r="C8" s="298"/>
      <c r="D8" s="299"/>
      <c r="E8" s="294" t="s">
        <v>698</v>
      </c>
      <c r="F8" s="295">
        <f ca="1">INDIRECT("'数据-取费表'!ai"&amp;$G$1)</f>
        <v>0</v>
      </c>
      <c r="G8" s="1292"/>
      <c r="H8" s="296"/>
      <c r="I8" s="3400"/>
      <c r="J8" s="298"/>
      <c r="K8" s="299"/>
      <c r="L8" s="294" t="s">
        <v>698</v>
      </c>
      <c r="M8" s="295">
        <f ca="1">INDIRECT("'数据-取费表'!ai"&amp;$G$1)</f>
        <v>0</v>
      </c>
    </row>
    <row r="9" spans="1:37" ht="18" customHeight="1">
      <c r="A9" s="296"/>
      <c r="B9" s="3401"/>
      <c r="C9" s="298"/>
      <c r="D9" s="299"/>
      <c r="E9" s="294" t="s">
        <v>699</v>
      </c>
      <c r="F9" s="304">
        <f ca="1">INDIRECT("'数据-取费表'!w"&amp;$G$1)</f>
        <v>0</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2.52E-2</v>
      </c>
      <c r="G11" s="1292"/>
      <c r="H11" s="1014"/>
      <c r="I11" s="1275" t="s">
        <v>891</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150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t="e">
        <f ca="1">ROUND((C68-C40)/10000,4)</f>
        <v>#DIV/0!</v>
      </c>
      <c r="D45" s="3130"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7" t="s">
        <v>837</v>
      </c>
      <c r="L53" s="339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402" t="s">
        <v>2319</v>
      </c>
      <c r="K2" s="3403"/>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404" t="s">
        <v>2329</v>
      </c>
      <c r="K3" s="3405"/>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404" t="s">
        <v>2331</v>
      </c>
      <c r="K4" s="3405"/>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406" t="s">
        <v>2335</v>
      </c>
      <c r="B6" s="3407"/>
      <c r="C6" s="3408"/>
      <c r="D6" s="2621"/>
      <c r="E6" s="2622"/>
      <c r="F6" s="2623"/>
      <c r="G6" s="2624"/>
      <c r="H6" s="2599"/>
      <c r="I6" s="2600"/>
      <c r="J6" s="3409">
        <v>1</v>
      </c>
      <c r="K6" s="3410"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409"/>
      <c r="K7" s="3411"/>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413" t="s">
        <v>2349</v>
      </c>
      <c r="C8" s="3414"/>
      <c r="D8" s="2640" t="s">
        <v>2350</v>
      </c>
      <c r="E8" s="2641" t="s">
        <v>2351</v>
      </c>
      <c r="F8" s="2642" t="s">
        <v>2352</v>
      </c>
      <c r="G8" s="2643"/>
      <c r="H8" s="2599"/>
      <c r="I8" s="2600"/>
      <c r="J8" s="3409"/>
      <c r="K8" s="3411"/>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413" t="s">
        <v>2355</v>
      </c>
      <c r="C9" s="3414"/>
      <c r="D9" s="2640">
        <f>ROUND(D6*E9,0)</f>
        <v>0</v>
      </c>
      <c r="E9" s="2644"/>
      <c r="F9" s="2645" t="s">
        <v>2356</v>
      </c>
      <c r="G9" s="2624"/>
      <c r="H9" s="2599"/>
      <c r="I9" s="2600"/>
      <c r="J9" s="3409"/>
      <c r="K9" s="3411"/>
      <c r="L9" s="2634" t="s">
        <v>2357</v>
      </c>
      <c r="M9" s="2635"/>
      <c r="N9" s="2611"/>
      <c r="O9" s="2636"/>
      <c r="P9" s="2636"/>
      <c r="Q9" s="2637">
        <v>365</v>
      </c>
      <c r="R9" s="2638">
        <f t="shared" si="0"/>
        <v>0</v>
      </c>
      <c r="S9" s="2592"/>
      <c r="T9" s="2592"/>
      <c r="U9" s="2592"/>
      <c r="V9" s="2600"/>
    </row>
    <row r="10" spans="1:22" s="2604" customFormat="1" ht="13.15" customHeight="1">
      <c r="A10" s="2639">
        <v>2</v>
      </c>
      <c r="B10" s="3413" t="s">
        <v>2358</v>
      </c>
      <c r="C10" s="3414"/>
      <c r="D10" s="2640">
        <f>ROUND(D6*E10,0)</f>
        <v>0</v>
      </c>
      <c r="E10" s="2644"/>
      <c r="F10" s="2645" t="s">
        <v>2359</v>
      </c>
      <c r="G10" s="2624"/>
      <c r="H10" s="2599"/>
      <c r="I10" s="2600"/>
      <c r="J10" s="3409"/>
      <c r="K10" s="3411"/>
      <c r="L10" s="2634" t="s">
        <v>2360</v>
      </c>
      <c r="M10" s="2635"/>
      <c r="N10" s="2611"/>
      <c r="O10" s="2636"/>
      <c r="P10" s="2636"/>
      <c r="Q10" s="2637">
        <v>365</v>
      </c>
      <c r="R10" s="2638">
        <f t="shared" si="0"/>
        <v>0</v>
      </c>
      <c r="S10" s="2592"/>
      <c r="T10" s="2592"/>
      <c r="U10" s="2592"/>
      <c r="V10" s="2600"/>
    </row>
    <row r="11" spans="1:22" s="2604" customFormat="1" ht="13.15" customHeight="1">
      <c r="A11" s="2639">
        <v>3</v>
      </c>
      <c r="B11" s="3413" t="s">
        <v>2361</v>
      </c>
      <c r="C11" s="3414"/>
      <c r="D11" s="2640">
        <f>D12+D14+D15+D16</f>
        <v>0</v>
      </c>
      <c r="E11" s="2646" t="e">
        <f>D11/D6</f>
        <v>#DIV/0!</v>
      </c>
      <c r="F11" s="2642"/>
      <c r="G11" s="2643"/>
      <c r="H11" s="2599"/>
      <c r="I11" s="2600"/>
      <c r="J11" s="3409"/>
      <c r="K11" s="3411"/>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415" t="s">
        <v>2364</v>
      </c>
      <c r="C12" s="3416"/>
      <c r="D12" s="2648">
        <f>ROUND(D13*1.2%*(1-30%),0)</f>
        <v>0</v>
      </c>
      <c r="E12" s="2649">
        <v>1.2E-2</v>
      </c>
      <c r="F12" s="2642" t="s">
        <v>2365</v>
      </c>
      <c r="G12" s="2643"/>
      <c r="H12" s="2599"/>
      <c r="I12" s="2600"/>
      <c r="J12" s="3409"/>
      <c r="K12" s="3411"/>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409"/>
      <c r="K13" s="3411"/>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415" t="s">
        <v>2370</v>
      </c>
      <c r="C14" s="3416"/>
      <c r="D14" s="2648">
        <f>ROUND(E14*B5/10000,0)</f>
        <v>0</v>
      </c>
      <c r="E14" s="2637"/>
      <c r="F14" s="2642" t="s">
        <v>2371</v>
      </c>
      <c r="G14" s="2643"/>
      <c r="H14" s="2599"/>
      <c r="I14" s="2600"/>
      <c r="J14" s="3409"/>
      <c r="K14" s="3412"/>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415" t="s">
        <v>2374</v>
      </c>
      <c r="C15" s="3416"/>
      <c r="D15" s="2648">
        <f>ROUND(D6*E15,0)</f>
        <v>0</v>
      </c>
      <c r="E15" s="2649">
        <v>5.5E-2</v>
      </c>
      <c r="F15" s="2642" t="s">
        <v>2375</v>
      </c>
      <c r="G15" s="2624"/>
      <c r="H15" s="2599"/>
      <c r="I15" s="2600"/>
      <c r="J15" s="3409">
        <v>2</v>
      </c>
      <c r="K15" s="3410"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415" t="s">
        <v>2383</v>
      </c>
      <c r="C16" s="3416"/>
      <c r="D16" s="2659">
        <f>D6*E16</f>
        <v>0</v>
      </c>
      <c r="E16" s="2660"/>
      <c r="F16" s="2645" t="s">
        <v>2384</v>
      </c>
      <c r="G16" s="2624"/>
      <c r="H16" s="2599"/>
      <c r="I16" s="2600"/>
      <c r="J16" s="3409"/>
      <c r="K16" s="3411"/>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417" t="s">
        <v>2386</v>
      </c>
      <c r="C17" s="3418"/>
      <c r="D17" s="2662">
        <f>ROUND(D6*E17,0)</f>
        <v>0</v>
      </c>
      <c r="E17" s="2663"/>
      <c r="F17" s="2664" t="s">
        <v>2387</v>
      </c>
      <c r="G17" s="2624"/>
      <c r="H17" s="2599"/>
      <c r="I17" s="2600"/>
      <c r="J17" s="3409"/>
      <c r="K17" s="3411"/>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409"/>
      <c r="K18" s="3411"/>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409"/>
      <c r="K19" s="3412"/>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9">
        <v>3</v>
      </c>
      <c r="K20" s="3410"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409"/>
      <c r="K21" s="3411"/>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409"/>
      <c r="K22" s="3411"/>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409"/>
      <c r="K23" s="3411"/>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409"/>
      <c r="K24" s="3412"/>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419">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42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402" t="s">
        <v>2319</v>
      </c>
      <c r="K32" s="3403"/>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404" t="s">
        <v>2329</v>
      </c>
      <c r="K33" s="3405"/>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404" t="s">
        <v>2331</v>
      </c>
      <c r="K34" s="340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409">
        <v>1</v>
      </c>
      <c r="K36" s="3410"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409"/>
      <c r="K37" s="3411"/>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9"/>
      <c r="K38" s="3411"/>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409"/>
      <c r="K39" s="3411"/>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409"/>
      <c r="K40" s="3412"/>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9">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42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1" t="s">
        <v>1654</v>
      </c>
      <c r="C5" s="3422"/>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F4:AC34"/>
  <sheetViews>
    <sheetView workbookViewId="0">
      <selection activeCell="X38" sqref="X38"/>
    </sheetView>
  </sheetViews>
  <sheetFormatPr defaultRowHeight="13.5"/>
  <cols>
    <col min="10" max="10" width="22.25" bestFit="1" customWidth="1"/>
    <col min="11" max="11" width="8.5" bestFit="1" customWidth="1"/>
    <col min="12" max="12" width="12.25" bestFit="1" customWidth="1"/>
    <col min="13" max="13" width="8.5" bestFit="1" customWidth="1"/>
    <col min="14" max="14" width="15" style="3163" bestFit="1" customWidth="1"/>
    <col min="15" max="15" width="19.75" bestFit="1" customWidth="1"/>
    <col min="16" max="16" width="9.375" style="3155" bestFit="1" customWidth="1"/>
    <col min="20" max="20" width="13.75" customWidth="1"/>
    <col min="21" max="21" width="10.25" bestFit="1" customWidth="1"/>
  </cols>
  <sheetData>
    <row r="4" spans="6:29">
      <c r="F4" t="s">
        <v>3425</v>
      </c>
      <c r="G4" t="s">
        <v>3426</v>
      </c>
      <c r="H4" t="s">
        <v>3427</v>
      </c>
      <c r="I4" t="s">
        <v>3428</v>
      </c>
      <c r="J4" t="s">
        <v>3429</v>
      </c>
      <c r="K4" t="s">
        <v>3430</v>
      </c>
      <c r="L4" t="s">
        <v>3431</v>
      </c>
      <c r="M4" t="s">
        <v>3432</v>
      </c>
      <c r="N4" s="3163" t="s">
        <v>3433</v>
      </c>
      <c r="O4" t="s">
        <v>3434</v>
      </c>
      <c r="P4" s="3155" t="s">
        <v>3435</v>
      </c>
      <c r="Q4" t="s">
        <v>3436</v>
      </c>
      <c r="R4" t="s">
        <v>3437</v>
      </c>
      <c r="S4" t="s">
        <v>3438</v>
      </c>
      <c r="T4" t="s">
        <v>3439</v>
      </c>
      <c r="U4" t="s">
        <v>3440</v>
      </c>
      <c r="V4" t="s">
        <v>3441</v>
      </c>
      <c r="W4" t="s">
        <v>3417</v>
      </c>
      <c r="X4" t="s">
        <v>3442</v>
      </c>
      <c r="Y4" t="s">
        <v>3418</v>
      </c>
      <c r="Z4" t="s">
        <v>3443</v>
      </c>
      <c r="AA4" t="s">
        <v>3444</v>
      </c>
      <c r="AB4" t="s">
        <v>3445</v>
      </c>
      <c r="AC4" t="s">
        <v>3446</v>
      </c>
    </row>
    <row r="5" spans="6:29">
      <c r="F5" t="s">
        <v>3447</v>
      </c>
      <c r="G5" t="s">
        <v>3448</v>
      </c>
      <c r="I5" t="s">
        <v>3449</v>
      </c>
      <c r="K5" t="s">
        <v>3450</v>
      </c>
      <c r="L5">
        <v>65.239999999999995</v>
      </c>
      <c r="N5" s="3163">
        <v>5</v>
      </c>
      <c r="O5" t="s">
        <v>3451</v>
      </c>
      <c r="P5" s="3155">
        <v>7664</v>
      </c>
      <c r="Q5">
        <v>500000</v>
      </c>
      <c r="R5">
        <v>9728</v>
      </c>
      <c r="S5">
        <v>634600</v>
      </c>
      <c r="T5" t="s">
        <v>3452</v>
      </c>
      <c r="U5" s="3156">
        <v>39528</v>
      </c>
    </row>
    <row r="6" spans="6:29">
      <c r="F6" t="s">
        <v>3447</v>
      </c>
      <c r="G6" t="s">
        <v>3448</v>
      </c>
      <c r="I6" t="s">
        <v>3457</v>
      </c>
      <c r="K6" t="s">
        <v>3458</v>
      </c>
      <c r="L6">
        <v>83.42</v>
      </c>
      <c r="N6" s="3163">
        <v>17</v>
      </c>
      <c r="O6" t="s">
        <v>3451</v>
      </c>
      <c r="P6" s="3155">
        <v>6234</v>
      </c>
      <c r="Q6">
        <v>520000</v>
      </c>
      <c r="R6">
        <v>9351</v>
      </c>
      <c r="S6">
        <v>780000</v>
      </c>
      <c r="T6" t="s">
        <v>3459</v>
      </c>
      <c r="U6" s="3156">
        <v>39605</v>
      </c>
    </row>
    <row r="7" spans="6:29">
      <c r="F7" t="s">
        <v>3447</v>
      </c>
      <c r="G7" t="s">
        <v>3453</v>
      </c>
      <c r="I7" t="s">
        <v>3454</v>
      </c>
      <c r="K7" t="s">
        <v>3460</v>
      </c>
      <c r="L7">
        <v>64.010000000000005</v>
      </c>
      <c r="N7" s="3163">
        <v>3</v>
      </c>
      <c r="O7" t="s">
        <v>3451</v>
      </c>
      <c r="P7" s="3155">
        <v>4999</v>
      </c>
      <c r="Q7">
        <v>320000</v>
      </c>
      <c r="R7">
        <v>9350</v>
      </c>
      <c r="S7">
        <v>598400</v>
      </c>
      <c r="T7" t="s">
        <v>3461</v>
      </c>
      <c r="U7" s="3156">
        <v>39608</v>
      </c>
    </row>
    <row r="8" spans="6:29">
      <c r="F8" s="3161" t="s">
        <v>3447</v>
      </c>
      <c r="G8" s="3161" t="s">
        <v>3448</v>
      </c>
      <c r="H8" s="3161"/>
      <c r="I8" s="3161" t="s">
        <v>3462</v>
      </c>
      <c r="J8" s="3161" t="s">
        <v>3463</v>
      </c>
      <c r="K8" s="3161" t="s">
        <v>3464</v>
      </c>
      <c r="L8" s="3161">
        <v>99.4</v>
      </c>
      <c r="M8" s="3161"/>
      <c r="N8" s="3164">
        <v>2</v>
      </c>
      <c r="O8" s="3161" t="s">
        <v>3415</v>
      </c>
      <c r="P8" s="3162">
        <v>8652</v>
      </c>
      <c r="Q8" s="3161">
        <v>860000</v>
      </c>
      <c r="R8" s="3161">
        <v>9969</v>
      </c>
      <c r="S8" s="3161">
        <v>990900</v>
      </c>
      <c r="T8" s="3161" t="s">
        <v>3465</v>
      </c>
      <c r="U8" s="3157">
        <v>39624</v>
      </c>
      <c r="V8" s="1405" t="s">
        <v>3554</v>
      </c>
      <c r="W8" s="3166" t="s">
        <v>3557</v>
      </c>
    </row>
    <row r="9" spans="6:29" hidden="1">
      <c r="F9" t="s">
        <v>3447</v>
      </c>
      <c r="G9" t="s">
        <v>3466</v>
      </c>
      <c r="I9" t="s">
        <v>3457</v>
      </c>
      <c r="K9" t="s">
        <v>3467</v>
      </c>
      <c r="L9">
        <v>54.5</v>
      </c>
      <c r="N9" s="3163">
        <v>3</v>
      </c>
      <c r="O9" t="s">
        <v>3451</v>
      </c>
      <c r="P9" s="3155">
        <v>11193</v>
      </c>
      <c r="Q9">
        <v>610000</v>
      </c>
      <c r="R9">
        <v>9187</v>
      </c>
      <c r="S9">
        <v>500600</v>
      </c>
      <c r="T9" t="s">
        <v>3468</v>
      </c>
      <c r="U9" s="3156">
        <v>39661</v>
      </c>
      <c r="W9" s="3165"/>
    </row>
    <row r="10" spans="6:29" hidden="1">
      <c r="F10" t="s">
        <v>3447</v>
      </c>
      <c r="G10" s="1405" t="s">
        <v>3562</v>
      </c>
      <c r="I10" t="s">
        <v>3454</v>
      </c>
      <c r="K10" t="s">
        <v>3455</v>
      </c>
      <c r="L10">
        <v>64.010000000000005</v>
      </c>
      <c r="N10" s="3163">
        <v>4</v>
      </c>
      <c r="O10" t="s">
        <v>3451</v>
      </c>
      <c r="P10" s="3155">
        <v>9842</v>
      </c>
      <c r="Q10">
        <v>630000</v>
      </c>
      <c r="R10">
        <v>9771</v>
      </c>
      <c r="S10">
        <v>625400</v>
      </c>
      <c r="T10" t="s">
        <v>3456</v>
      </c>
      <c r="U10" s="3156">
        <v>39574</v>
      </c>
    </row>
    <row r="11" spans="6:29" hidden="1">
      <c r="F11" s="3161" t="s">
        <v>3447</v>
      </c>
      <c r="G11" s="3161" t="s">
        <v>3448</v>
      </c>
      <c r="H11" s="3161"/>
      <c r="I11" s="3161" t="s">
        <v>3469</v>
      </c>
      <c r="J11" s="3161"/>
      <c r="K11" s="3161" t="s">
        <v>3470</v>
      </c>
      <c r="L11" s="3161">
        <v>121.2</v>
      </c>
      <c r="M11" s="3161"/>
      <c r="N11" s="3164">
        <v>20</v>
      </c>
      <c r="O11" s="3161" t="s">
        <v>3471</v>
      </c>
      <c r="P11" s="3162">
        <v>7096</v>
      </c>
      <c r="Q11" s="3161">
        <v>860000</v>
      </c>
      <c r="R11" s="3161">
        <v>9655</v>
      </c>
      <c r="S11" s="3161">
        <v>1170100</v>
      </c>
      <c r="T11" s="3161" t="s">
        <v>3472</v>
      </c>
      <c r="U11" s="3160">
        <v>39663</v>
      </c>
      <c r="V11" s="1405" t="s">
        <v>3553</v>
      </c>
      <c r="W11" s="3166" t="s">
        <v>3558</v>
      </c>
    </row>
    <row r="12" spans="6:29">
      <c r="F12" s="3161" t="s">
        <v>3447</v>
      </c>
      <c r="G12" s="3161" t="s">
        <v>3448</v>
      </c>
      <c r="H12" s="3161"/>
      <c r="I12" s="3161" t="s">
        <v>3473</v>
      </c>
      <c r="J12" s="3161" t="s">
        <v>3474</v>
      </c>
      <c r="K12" s="3161" t="s">
        <v>3475</v>
      </c>
      <c r="L12" s="3161">
        <v>96.85</v>
      </c>
      <c r="M12" s="3161"/>
      <c r="N12" s="3164">
        <v>19</v>
      </c>
      <c r="O12" s="3161" t="s">
        <v>3476</v>
      </c>
      <c r="P12" s="3162">
        <v>8880</v>
      </c>
      <c r="Q12" s="3161">
        <v>860000</v>
      </c>
      <c r="R12" s="3161">
        <v>9201</v>
      </c>
      <c r="S12" s="3161">
        <v>891100</v>
      </c>
      <c r="T12" s="3161" t="s">
        <v>3477</v>
      </c>
      <c r="U12" s="3160">
        <v>39696</v>
      </c>
      <c r="V12" s="1405" t="s">
        <v>3565</v>
      </c>
      <c r="W12" s="3166" t="s">
        <v>3566</v>
      </c>
    </row>
    <row r="13" spans="6:29" hidden="1">
      <c r="F13" t="s">
        <v>3447</v>
      </c>
      <c r="G13" t="s">
        <v>3478</v>
      </c>
      <c r="I13" t="s">
        <v>3479</v>
      </c>
      <c r="K13" t="s">
        <v>3480</v>
      </c>
      <c r="L13">
        <v>98.69</v>
      </c>
      <c r="N13" s="3163">
        <v>1</v>
      </c>
      <c r="O13" t="s">
        <v>3481</v>
      </c>
      <c r="P13" s="3155">
        <v>5573</v>
      </c>
      <c r="Q13">
        <v>550000</v>
      </c>
      <c r="R13">
        <v>9205</v>
      </c>
      <c r="S13">
        <v>908400</v>
      </c>
      <c r="T13" t="s">
        <v>3482</v>
      </c>
      <c r="U13" s="3158"/>
      <c r="W13" s="3165"/>
    </row>
    <row r="14" spans="6:29" hidden="1">
      <c r="F14" t="s">
        <v>3447</v>
      </c>
      <c r="G14" t="s">
        <v>3483</v>
      </c>
      <c r="I14" t="s">
        <v>3413</v>
      </c>
      <c r="K14" t="s">
        <v>3484</v>
      </c>
      <c r="L14">
        <v>64.33</v>
      </c>
      <c r="N14" s="3163">
        <v>2</v>
      </c>
      <c r="O14" t="s">
        <v>3485</v>
      </c>
      <c r="P14" s="3155">
        <v>3553</v>
      </c>
      <c r="Q14">
        <v>228562</v>
      </c>
      <c r="R14">
        <v>3553</v>
      </c>
      <c r="S14">
        <v>228500</v>
      </c>
      <c r="T14" t="s">
        <v>3486</v>
      </c>
      <c r="U14" s="3158"/>
      <c r="W14" s="3165"/>
    </row>
    <row r="15" spans="6:29" hidden="1">
      <c r="F15" t="s">
        <v>3447</v>
      </c>
      <c r="G15" t="s">
        <v>3487</v>
      </c>
      <c r="I15" t="s">
        <v>3488</v>
      </c>
      <c r="K15" t="s">
        <v>3489</v>
      </c>
      <c r="L15">
        <v>109.02</v>
      </c>
      <c r="N15" s="3163">
        <v>17</v>
      </c>
      <c r="O15" t="s">
        <v>3451</v>
      </c>
      <c r="P15" s="3155">
        <v>6421</v>
      </c>
      <c r="Q15">
        <v>700000</v>
      </c>
      <c r="R15">
        <v>8950</v>
      </c>
      <c r="S15">
        <v>975699.99999999988</v>
      </c>
      <c r="T15" t="s">
        <v>3490</v>
      </c>
      <c r="U15" s="3158"/>
      <c r="W15" s="3165"/>
    </row>
    <row r="16" spans="6:29" hidden="1">
      <c r="F16" t="s">
        <v>3447</v>
      </c>
      <c r="G16" t="s">
        <v>3487</v>
      </c>
      <c r="I16" t="s">
        <v>3488</v>
      </c>
      <c r="K16" t="s">
        <v>3491</v>
      </c>
      <c r="L16">
        <v>109.02</v>
      </c>
      <c r="N16" s="3163">
        <v>20</v>
      </c>
      <c r="O16" t="s">
        <v>3451</v>
      </c>
      <c r="P16" s="3155">
        <v>7155</v>
      </c>
      <c r="Q16">
        <v>780000</v>
      </c>
      <c r="R16">
        <v>9537</v>
      </c>
      <c r="S16">
        <v>1039700</v>
      </c>
      <c r="T16" t="s">
        <v>3492</v>
      </c>
      <c r="U16" s="3158"/>
      <c r="W16" s="3165"/>
    </row>
    <row r="17" spans="6:23" hidden="1">
      <c r="F17" t="s">
        <v>3447</v>
      </c>
      <c r="G17" t="s">
        <v>3478</v>
      </c>
      <c r="I17" t="s">
        <v>3493</v>
      </c>
      <c r="K17" t="s">
        <v>3494</v>
      </c>
      <c r="L17">
        <v>89.21</v>
      </c>
      <c r="N17" s="3163">
        <v>2</v>
      </c>
      <c r="O17" t="s">
        <v>3451</v>
      </c>
      <c r="P17" s="3155">
        <v>5504</v>
      </c>
      <c r="Q17">
        <v>491000</v>
      </c>
      <c r="R17">
        <v>9715</v>
      </c>
      <c r="S17">
        <v>866600</v>
      </c>
      <c r="T17" t="s">
        <v>3495</v>
      </c>
      <c r="U17" s="3156"/>
      <c r="W17" s="3165"/>
    </row>
    <row r="18" spans="6:23" hidden="1">
      <c r="F18" t="s">
        <v>3447</v>
      </c>
      <c r="G18" t="s">
        <v>3478</v>
      </c>
      <c r="I18" t="s">
        <v>3479</v>
      </c>
      <c r="K18" t="s">
        <v>3496</v>
      </c>
      <c r="L18">
        <v>77.52</v>
      </c>
      <c r="N18" s="3163">
        <v>25</v>
      </c>
      <c r="O18" t="s">
        <v>3485</v>
      </c>
      <c r="P18" s="3155">
        <v>5418</v>
      </c>
      <c r="Q18">
        <v>420000</v>
      </c>
      <c r="R18">
        <v>9870</v>
      </c>
      <c r="S18">
        <v>765100</v>
      </c>
      <c r="T18" t="s">
        <v>3497</v>
      </c>
      <c r="U18" s="3156">
        <v>39546</v>
      </c>
      <c r="W18" s="3165"/>
    </row>
    <row r="19" spans="6:23" hidden="1">
      <c r="F19" t="s">
        <v>3447</v>
      </c>
      <c r="G19" t="s">
        <v>3498</v>
      </c>
      <c r="I19" t="s">
        <v>3499</v>
      </c>
      <c r="K19" t="s">
        <v>3500</v>
      </c>
      <c r="L19">
        <v>132.88999999999999</v>
      </c>
      <c r="N19" s="3163">
        <v>5</v>
      </c>
      <c r="O19" t="s">
        <v>3471</v>
      </c>
      <c r="P19" s="3155">
        <v>6773</v>
      </c>
      <c r="Q19">
        <v>900000</v>
      </c>
      <c r="R19">
        <v>10027</v>
      </c>
      <c r="S19">
        <v>1332400</v>
      </c>
      <c r="T19" t="s">
        <v>3501</v>
      </c>
      <c r="U19" s="3156"/>
      <c r="W19" s="3165"/>
    </row>
    <row r="20" spans="6:23" hidden="1">
      <c r="F20" t="s">
        <v>3447</v>
      </c>
      <c r="G20" t="s">
        <v>3478</v>
      </c>
      <c r="I20" t="s">
        <v>3479</v>
      </c>
      <c r="K20" t="s">
        <v>3502</v>
      </c>
      <c r="L20">
        <v>76.31</v>
      </c>
      <c r="N20" s="3163">
        <v>12</v>
      </c>
      <c r="O20" t="s">
        <v>3451</v>
      </c>
      <c r="P20" s="3155">
        <v>5897</v>
      </c>
      <c r="Q20">
        <v>450000</v>
      </c>
      <c r="R20">
        <v>9620</v>
      </c>
      <c r="S20">
        <v>734100</v>
      </c>
      <c r="T20" t="s">
        <v>3503</v>
      </c>
      <c r="U20" s="3156"/>
      <c r="W20" s="3165"/>
    </row>
    <row r="21" spans="6:23" hidden="1">
      <c r="F21" t="s">
        <v>3447</v>
      </c>
      <c r="G21" t="s">
        <v>3504</v>
      </c>
      <c r="I21" t="s">
        <v>3499</v>
      </c>
      <c r="J21" t="s">
        <v>3463</v>
      </c>
      <c r="K21" t="s">
        <v>3505</v>
      </c>
      <c r="L21">
        <v>53.41</v>
      </c>
      <c r="N21" s="3163">
        <v>4</v>
      </c>
      <c r="O21" t="s">
        <v>3451</v>
      </c>
      <c r="P21" s="3155">
        <v>10335</v>
      </c>
      <c r="Q21">
        <v>552000</v>
      </c>
      <c r="R21">
        <v>9565</v>
      </c>
      <c r="S21">
        <v>510800</v>
      </c>
      <c r="T21" t="s">
        <v>3506</v>
      </c>
      <c r="U21" s="3156"/>
      <c r="W21" s="3165"/>
    </row>
    <row r="22" spans="6:23" hidden="1">
      <c r="F22" t="s">
        <v>3447</v>
      </c>
      <c r="G22" t="s">
        <v>3507</v>
      </c>
      <c r="I22" t="s">
        <v>3508</v>
      </c>
      <c r="K22" t="s">
        <v>3509</v>
      </c>
      <c r="L22">
        <v>85.79</v>
      </c>
      <c r="N22" s="3163">
        <v>19</v>
      </c>
      <c r="O22" t="s">
        <v>3451</v>
      </c>
      <c r="P22" s="3155">
        <v>7169</v>
      </c>
      <c r="Q22">
        <v>615000</v>
      </c>
      <c r="R22">
        <v>10214</v>
      </c>
      <c r="S22">
        <v>876200</v>
      </c>
      <c r="T22" t="s">
        <v>3510</v>
      </c>
      <c r="U22" s="3156" t="s">
        <v>2420</v>
      </c>
      <c r="W22" s="3165"/>
    </row>
    <row r="23" spans="6:23" hidden="1">
      <c r="F23" t="s">
        <v>3447</v>
      </c>
      <c r="G23" t="s">
        <v>3511</v>
      </c>
      <c r="I23" t="s">
        <v>3413</v>
      </c>
      <c r="K23" t="s">
        <v>3512</v>
      </c>
      <c r="L23">
        <v>50.5</v>
      </c>
      <c r="O23" t="s">
        <v>3451</v>
      </c>
      <c r="P23" s="3155">
        <v>10396</v>
      </c>
      <c r="Q23">
        <v>525000</v>
      </c>
      <c r="R23">
        <v>9096</v>
      </c>
      <c r="S23">
        <v>459300</v>
      </c>
      <c r="T23" t="s">
        <v>3468</v>
      </c>
      <c r="U23" s="3156"/>
      <c r="W23" s="3165"/>
    </row>
    <row r="24" spans="6:23" hidden="1">
      <c r="F24" t="s">
        <v>3447</v>
      </c>
      <c r="G24" t="s">
        <v>3513</v>
      </c>
      <c r="I24" t="s">
        <v>3514</v>
      </c>
      <c r="J24" t="s">
        <v>3515</v>
      </c>
      <c r="K24" t="s">
        <v>3516</v>
      </c>
      <c r="L24">
        <v>132.91</v>
      </c>
      <c r="N24" s="3163">
        <v>14</v>
      </c>
      <c r="O24" t="s">
        <v>3471</v>
      </c>
      <c r="P24" s="3155">
        <v>7524</v>
      </c>
      <c r="Q24">
        <v>1000000</v>
      </c>
      <c r="R24">
        <v>9684</v>
      </c>
      <c r="S24">
        <v>1287100</v>
      </c>
      <c r="T24" t="s">
        <v>3517</v>
      </c>
      <c r="U24" s="3158">
        <v>39661</v>
      </c>
      <c r="W24" s="3165"/>
    </row>
    <row r="25" spans="6:23" hidden="1">
      <c r="F25" t="s">
        <v>3447</v>
      </c>
      <c r="G25" t="s">
        <v>3448</v>
      </c>
      <c r="I25" t="s">
        <v>3473</v>
      </c>
      <c r="J25" t="s">
        <v>3414</v>
      </c>
      <c r="K25" t="s">
        <v>3518</v>
      </c>
      <c r="L25">
        <v>99.57</v>
      </c>
      <c r="N25" s="3163">
        <v>5</v>
      </c>
      <c r="O25" t="s">
        <v>3476</v>
      </c>
      <c r="P25" s="3155">
        <v>6026</v>
      </c>
      <c r="Q25">
        <v>600000</v>
      </c>
      <c r="R25">
        <v>9590</v>
      </c>
      <c r="S25">
        <v>954800</v>
      </c>
      <c r="T25" t="s">
        <v>3519</v>
      </c>
      <c r="U25" s="3159">
        <v>39709</v>
      </c>
      <c r="W25" s="3165"/>
    </row>
    <row r="26" spans="6:23" hidden="1">
      <c r="F26" t="s">
        <v>3447</v>
      </c>
      <c r="G26" t="s">
        <v>3448</v>
      </c>
      <c r="I26" t="s">
        <v>3473</v>
      </c>
      <c r="K26" t="s">
        <v>3520</v>
      </c>
      <c r="L26">
        <v>96.85</v>
      </c>
      <c r="N26" s="3163">
        <v>13</v>
      </c>
      <c r="O26" t="s">
        <v>3476</v>
      </c>
      <c r="P26" s="3155">
        <v>9189</v>
      </c>
      <c r="Q26">
        <v>890000</v>
      </c>
      <c r="R26">
        <v>9269</v>
      </c>
      <c r="S26">
        <v>897700</v>
      </c>
      <c r="T26" t="s">
        <v>3521</v>
      </c>
      <c r="U26" s="3158"/>
      <c r="W26" s="3165"/>
    </row>
    <row r="27" spans="6:23" hidden="1">
      <c r="F27" t="s">
        <v>3447</v>
      </c>
      <c r="G27" t="s">
        <v>3453</v>
      </c>
      <c r="I27" t="s">
        <v>3522</v>
      </c>
      <c r="K27" t="s">
        <v>3523</v>
      </c>
      <c r="L27">
        <v>59.81</v>
      </c>
      <c r="N27" s="3163">
        <v>3</v>
      </c>
      <c r="O27" t="s">
        <v>3451</v>
      </c>
      <c r="P27" s="3155">
        <v>10951</v>
      </c>
      <c r="Q27">
        <v>655000</v>
      </c>
      <c r="R27">
        <v>9888</v>
      </c>
      <c r="S27">
        <v>591400</v>
      </c>
      <c r="T27" t="s">
        <v>3524</v>
      </c>
      <c r="U27" s="3156">
        <v>39765</v>
      </c>
      <c r="W27" s="3165"/>
    </row>
    <row r="28" spans="6:23" hidden="1">
      <c r="F28" s="3161" t="s">
        <v>3447</v>
      </c>
      <c r="G28" s="3161" t="s">
        <v>3448</v>
      </c>
      <c r="H28" s="3161"/>
      <c r="I28" s="3161" t="s">
        <v>3525</v>
      </c>
      <c r="J28" s="3161"/>
      <c r="K28" s="3161" t="s">
        <v>3526</v>
      </c>
      <c r="L28" s="3161">
        <v>67.64</v>
      </c>
      <c r="M28" s="3161"/>
      <c r="N28" s="3164">
        <v>6</v>
      </c>
      <c r="O28" s="3161" t="s">
        <v>3451</v>
      </c>
      <c r="P28" s="3162">
        <v>9876</v>
      </c>
      <c r="Q28" s="3161">
        <v>668000</v>
      </c>
      <c r="R28" s="3161">
        <v>9660</v>
      </c>
      <c r="S28" s="3161">
        <v>653400</v>
      </c>
      <c r="T28" s="3161" t="s">
        <v>3527</v>
      </c>
      <c r="U28" s="3160">
        <v>39752</v>
      </c>
      <c r="W28" s="3165"/>
    </row>
    <row r="29" spans="6:23">
      <c r="F29" s="3161" t="s">
        <v>3447</v>
      </c>
      <c r="G29" s="3161" t="s">
        <v>3448</v>
      </c>
      <c r="H29" s="3161"/>
      <c r="I29" s="3161" t="s">
        <v>3457</v>
      </c>
      <c r="J29" s="3161"/>
      <c r="K29" s="3161" t="s">
        <v>3528</v>
      </c>
      <c r="L29" s="3161">
        <v>83.42</v>
      </c>
      <c r="M29" s="3161"/>
      <c r="N29" s="3164">
        <v>21</v>
      </c>
      <c r="O29" s="3161" t="s">
        <v>3451</v>
      </c>
      <c r="P29" s="3162">
        <v>8991</v>
      </c>
      <c r="Q29" s="3161">
        <v>750000</v>
      </c>
      <c r="R29" s="3161">
        <v>9690</v>
      </c>
      <c r="S29" s="3161">
        <v>808300</v>
      </c>
      <c r="T29" s="3161" t="s">
        <v>3529</v>
      </c>
      <c r="U29" s="3160">
        <v>39755</v>
      </c>
      <c r="V29" s="1405" t="s">
        <v>3552</v>
      </c>
      <c r="W29" s="3166" t="s">
        <v>3559</v>
      </c>
    </row>
    <row r="30" spans="6:23">
      <c r="F30" t="s">
        <v>3447</v>
      </c>
      <c r="G30" t="s">
        <v>3448</v>
      </c>
      <c r="I30" t="s">
        <v>3457</v>
      </c>
      <c r="K30" t="s">
        <v>3530</v>
      </c>
      <c r="L30">
        <v>69.05</v>
      </c>
      <c r="N30" s="3163">
        <v>13</v>
      </c>
      <c r="O30" t="s">
        <v>3485</v>
      </c>
      <c r="P30" s="3155">
        <v>10282</v>
      </c>
      <c r="Q30">
        <v>710000</v>
      </c>
      <c r="R30">
        <v>9000</v>
      </c>
      <c r="S30">
        <v>621400</v>
      </c>
      <c r="T30" t="s">
        <v>3531</v>
      </c>
      <c r="U30" s="3156">
        <v>39763</v>
      </c>
    </row>
    <row r="31" spans="6:23">
      <c r="F31" t="s">
        <v>3447</v>
      </c>
      <c r="G31" t="s">
        <v>3487</v>
      </c>
      <c r="I31" t="s">
        <v>3532</v>
      </c>
      <c r="J31" t="s">
        <v>3533</v>
      </c>
      <c r="K31" t="s">
        <v>3534</v>
      </c>
      <c r="L31">
        <v>86.31</v>
      </c>
      <c r="N31" s="3163" t="s">
        <v>3535</v>
      </c>
      <c r="O31" t="s">
        <v>3481</v>
      </c>
      <c r="P31" s="3155">
        <v>7068</v>
      </c>
      <c r="Q31">
        <v>610000</v>
      </c>
      <c r="R31">
        <v>9550</v>
      </c>
      <c r="S31">
        <v>824200</v>
      </c>
      <c r="T31" t="s">
        <v>3536</v>
      </c>
      <c r="U31" s="3158">
        <v>39791</v>
      </c>
    </row>
    <row r="32" spans="6:23">
      <c r="F32" t="s">
        <v>3447</v>
      </c>
      <c r="G32" t="s">
        <v>3537</v>
      </c>
      <c r="I32" t="s">
        <v>3413</v>
      </c>
      <c r="J32" t="s">
        <v>3538</v>
      </c>
      <c r="K32" t="s">
        <v>3539</v>
      </c>
      <c r="L32">
        <v>54.24</v>
      </c>
      <c r="N32" s="3163">
        <v>12</v>
      </c>
      <c r="O32" t="s">
        <v>3485</v>
      </c>
      <c r="P32" s="3155">
        <v>5531</v>
      </c>
      <c r="Q32">
        <v>300000</v>
      </c>
      <c r="R32">
        <v>9588</v>
      </c>
      <c r="S32">
        <v>520000</v>
      </c>
      <c r="T32" t="s">
        <v>3540</v>
      </c>
      <c r="U32" s="3158"/>
    </row>
    <row r="33" spans="6:21">
      <c r="F33" t="s">
        <v>3447</v>
      </c>
      <c r="G33" t="s">
        <v>3448</v>
      </c>
      <c r="I33" t="s">
        <v>3541</v>
      </c>
      <c r="J33" t="s">
        <v>3414</v>
      </c>
      <c r="K33" t="s">
        <v>3509</v>
      </c>
      <c r="L33" t="s">
        <v>3542</v>
      </c>
      <c r="N33" s="3163" t="s">
        <v>3543</v>
      </c>
      <c r="O33" t="s">
        <v>3451</v>
      </c>
      <c r="P33" s="3155">
        <v>2659</v>
      </c>
      <c r="Q33">
        <v>290000</v>
      </c>
      <c r="R33">
        <v>8500</v>
      </c>
      <c r="S33">
        <v>927000</v>
      </c>
      <c r="T33" t="s">
        <v>3544</v>
      </c>
      <c r="U33" s="3158" t="s">
        <v>2420</v>
      </c>
    </row>
    <row r="34" spans="6:21">
      <c r="F34" t="s">
        <v>3447</v>
      </c>
      <c r="G34" t="s">
        <v>3504</v>
      </c>
      <c r="I34" t="s">
        <v>3545</v>
      </c>
      <c r="J34" t="s">
        <v>3546</v>
      </c>
      <c r="K34" t="s">
        <v>3547</v>
      </c>
      <c r="L34">
        <v>53.19</v>
      </c>
      <c r="O34" t="s">
        <v>3451</v>
      </c>
      <c r="P34" s="3155">
        <v>7144</v>
      </c>
      <c r="Q34">
        <v>380000</v>
      </c>
      <c r="R34">
        <v>8938</v>
      </c>
      <c r="S34">
        <v>475400</v>
      </c>
      <c r="T34" t="s">
        <v>3548</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91.09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57" t="s">
        <v>1771</v>
      </c>
      <c r="S4" s="3358"/>
      <c r="T4" s="3357" t="s">
        <v>1772</v>
      </c>
      <c r="U4" s="3358"/>
      <c r="V4" s="3382" t="s">
        <v>1773</v>
      </c>
      <c r="W4" s="3382"/>
      <c r="X4" s="1265"/>
      <c r="Y4" s="3357" t="s">
        <v>1775</v>
      </c>
      <c r="Z4" s="3358"/>
      <c r="AA4" s="3352" t="s">
        <v>1771</v>
      </c>
      <c r="AB4" s="3382" t="s">
        <v>1772</v>
      </c>
      <c r="AC4" s="3352" t="s">
        <v>1773</v>
      </c>
    </row>
    <row r="5" spans="1:29" ht="15">
      <c r="A5" s="348"/>
      <c r="B5" s="349"/>
      <c r="C5" s="3424" t="s">
        <v>1673</v>
      </c>
      <c r="D5" s="3364"/>
      <c r="E5" s="3423" t="s">
        <v>1674</v>
      </c>
      <c r="F5" s="3362"/>
      <c r="G5" s="3424" t="s">
        <v>1675</v>
      </c>
      <c r="H5" s="3364"/>
      <c r="I5" s="3424" t="s">
        <v>1676</v>
      </c>
      <c r="J5" s="3364"/>
      <c r="K5" s="537"/>
      <c r="L5" s="2486"/>
      <c r="M5" s="2487"/>
      <c r="N5" s="2487"/>
      <c r="O5" s="2487"/>
      <c r="P5" s="3376"/>
      <c r="Q5" s="3377"/>
      <c r="R5" s="3359"/>
      <c r="S5" s="3360"/>
      <c r="T5" s="3359"/>
      <c r="U5" s="3360"/>
      <c r="V5" s="3382"/>
      <c r="W5" s="3382"/>
      <c r="X5" s="1265"/>
      <c r="Y5" s="3359"/>
      <c r="Z5" s="3360"/>
      <c r="AA5" s="3353"/>
      <c r="AB5" s="3382"/>
      <c r="AC5" s="3353"/>
    </row>
    <row r="6" spans="1:29" ht="15.75" thickBot="1">
      <c r="A6" s="350"/>
      <c r="B6" s="351"/>
      <c r="C6" s="3365" t="s">
        <v>1677</v>
      </c>
      <c r="D6" s="3366"/>
      <c r="E6" s="3367" t="s">
        <v>1677</v>
      </c>
      <c r="F6" s="3368"/>
      <c r="G6" s="3365" t="s">
        <v>1677</v>
      </c>
      <c r="H6" s="3366"/>
      <c r="I6" s="3365" t="s">
        <v>1677</v>
      </c>
      <c r="J6" s="3366"/>
      <c r="K6" s="537" t="s">
        <v>1678</v>
      </c>
      <c r="L6" s="2486"/>
      <c r="M6" s="2487"/>
      <c r="N6" s="2487"/>
      <c r="O6" s="2487"/>
      <c r="P6" s="3378"/>
      <c r="Q6" s="3379"/>
      <c r="R6" s="3359"/>
      <c r="S6" s="3360"/>
      <c r="T6" s="3380"/>
      <c r="U6" s="3381"/>
      <c r="V6" s="3382"/>
      <c r="W6" s="3382"/>
      <c r="X6" s="1265"/>
      <c r="Y6" s="3380"/>
      <c r="Z6" s="3381"/>
      <c r="AA6" s="3354"/>
      <c r="AB6" s="3382"/>
      <c r="AC6" s="3354"/>
    </row>
    <row r="7" spans="1:29" s="102" customFormat="1" ht="15.75" thickBot="1">
      <c r="A7" s="352" t="s">
        <v>1679</v>
      </c>
      <c r="B7" s="353"/>
      <c r="C7" s="354">
        <f>'数据-取费表'!B2</f>
        <v>39801</v>
      </c>
      <c r="D7" s="355">
        <v>100</v>
      </c>
      <c r="E7" s="356"/>
      <c r="F7" s="357">
        <f>SUMIF(58:58,YEAR(E7)&amp;"-"&amp;MONTH(E7),59:59)</f>
        <v>0</v>
      </c>
      <c r="G7" s="356"/>
      <c r="H7" s="355">
        <f>SUMIF(58:58,YEAR(G7)&amp;"-"&amp;MONTH(G7),59:59)</f>
        <v>0</v>
      </c>
      <c r="I7" s="356"/>
      <c r="J7" s="355">
        <f>SUMIF(58:58,YEAR(I7)&amp;"-"&amp;MONTH(I7),59:59)</f>
        <v>0</v>
      </c>
      <c r="K7" s="38"/>
      <c r="L7" s="2488"/>
      <c r="M7" s="2439"/>
      <c r="N7" s="2439"/>
      <c r="O7" s="2439"/>
      <c r="P7" s="3355" t="s">
        <v>1680</v>
      </c>
      <c r="Q7" s="3383"/>
      <c r="R7" s="664" t="s">
        <v>14</v>
      </c>
      <c r="S7" s="665">
        <f t="shared" ref="S7:S15" si="0">F7</f>
        <v>0</v>
      </c>
      <c r="T7" s="664" t="s">
        <v>14</v>
      </c>
      <c r="U7" s="665">
        <f t="shared" ref="U7:U15" si="1">H7</f>
        <v>0</v>
      </c>
      <c r="V7" s="664" t="s">
        <v>14</v>
      </c>
      <c r="W7" s="665">
        <f t="shared" ref="W7:W15" si="2">J7</f>
        <v>0</v>
      </c>
      <c r="X7" s="666"/>
      <c r="Y7" s="3355" t="s">
        <v>1680</v>
      </c>
      <c r="Z7" s="335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55" t="s">
        <v>1683</v>
      </c>
      <c r="Q8" s="3356"/>
      <c r="R8" s="664" t="s">
        <v>14</v>
      </c>
      <c r="S8" s="665">
        <f t="shared" si="0"/>
        <v>100</v>
      </c>
      <c r="T8" s="664" t="s">
        <v>14</v>
      </c>
      <c r="U8" s="665">
        <f t="shared" si="1"/>
        <v>100</v>
      </c>
      <c r="V8" s="664" t="s">
        <v>14</v>
      </c>
      <c r="W8" s="665">
        <f t="shared" si="2"/>
        <v>100</v>
      </c>
      <c r="X8" s="666"/>
      <c r="Y8" s="3355" t="s">
        <v>1683</v>
      </c>
      <c r="Z8" s="335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69"/>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69"/>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9"/>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9"/>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9"/>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5" t="s">
        <v>1691</v>
      </c>
      <c r="Q15" s="1263" t="str">
        <f t="shared" si="6"/>
        <v>商业繁华度</v>
      </c>
      <c r="R15" s="667" t="s">
        <v>14</v>
      </c>
      <c r="S15" s="668">
        <f t="shared" si="0"/>
        <v>100</v>
      </c>
      <c r="T15" s="667" t="s">
        <v>14</v>
      </c>
      <c r="U15" s="668">
        <f t="shared" si="1"/>
        <v>100</v>
      </c>
      <c r="V15" s="667" t="s">
        <v>14</v>
      </c>
      <c r="W15" s="668">
        <f t="shared" si="2"/>
        <v>100</v>
      </c>
      <c r="X15" s="1265"/>
      <c r="Y15" s="338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6"/>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6"/>
      <c r="Q18" s="1263"/>
      <c r="R18" s="667"/>
      <c r="S18" s="668"/>
      <c r="T18" s="667"/>
      <c r="U18" s="668"/>
      <c r="V18" s="667"/>
      <c r="W18" s="668"/>
      <c r="X18" s="1265"/>
      <c r="Y18" s="338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6"/>
      <c r="Q20" s="1263"/>
      <c r="R20" s="667"/>
      <c r="S20" s="668"/>
      <c r="T20" s="667"/>
      <c r="U20" s="668"/>
      <c r="V20" s="667"/>
      <c r="W20" s="668"/>
      <c r="X20" s="1265"/>
      <c r="Y20" s="338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6"/>
      <c r="Q22" s="1263"/>
      <c r="R22" s="667"/>
      <c r="S22" s="668"/>
      <c r="T22" s="667"/>
      <c r="U22" s="668"/>
      <c r="V22" s="667"/>
      <c r="W22" s="668"/>
      <c r="X22" s="1265"/>
      <c r="Y22" s="338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6"/>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6"/>
      <c r="Q24" s="1263"/>
      <c r="R24" s="667"/>
      <c r="S24" s="668"/>
      <c r="T24" s="667"/>
      <c r="U24" s="668"/>
      <c r="V24" s="667"/>
      <c r="W24" s="668"/>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6"/>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6"/>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6"/>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6"/>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90" t="s">
        <v>1696</v>
      </c>
      <c r="Q32" s="1263" t="str">
        <f t="shared" si="11"/>
        <v>商业类型</v>
      </c>
      <c r="R32" s="667" t="s">
        <v>14</v>
      </c>
      <c r="S32" s="668">
        <f t="shared" si="12"/>
        <v>100</v>
      </c>
      <c r="T32" s="667" t="s">
        <v>14</v>
      </c>
      <c r="U32" s="668">
        <f t="shared" si="13"/>
        <v>100</v>
      </c>
      <c r="V32" s="667" t="s">
        <v>14</v>
      </c>
      <c r="W32" s="668">
        <f t="shared" si="14"/>
        <v>100</v>
      </c>
      <c r="X32" s="1265"/>
      <c r="Y32" s="339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91"/>
      <c r="Q35" s="1263" t="str">
        <f t="shared" si="11"/>
        <v>公共部分装修</v>
      </c>
      <c r="R35" s="667" t="s">
        <v>14</v>
      </c>
      <c r="S35" s="668">
        <f t="shared" si="12"/>
        <v>100</v>
      </c>
      <c r="T35" s="667" t="s">
        <v>14</v>
      </c>
      <c r="U35" s="668">
        <f t="shared" si="13"/>
        <v>100</v>
      </c>
      <c r="V35" s="667" t="s">
        <v>14</v>
      </c>
      <c r="W35" s="668">
        <f t="shared" si="14"/>
        <v>100</v>
      </c>
      <c r="X35" s="1265"/>
      <c r="Y35" s="339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1"/>
      <c r="Q36" s="1263" t="str">
        <f t="shared" si="11"/>
        <v>成新度</v>
      </c>
      <c r="R36" s="667" t="s">
        <v>14</v>
      </c>
      <c r="S36" s="668" t="e">
        <f t="shared" si="12"/>
        <v>#N/A</v>
      </c>
      <c r="T36" s="667" t="s">
        <v>14</v>
      </c>
      <c r="U36" s="668" t="e">
        <f t="shared" si="13"/>
        <v>#N/A</v>
      </c>
      <c r="V36" s="667" t="s">
        <v>14</v>
      </c>
      <c r="W36" s="668" t="e">
        <f t="shared" si="14"/>
        <v>#N/A</v>
      </c>
      <c r="X36" s="1265"/>
      <c r="Y36" s="339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91" t="s">
        <v>1696</v>
      </c>
      <c r="Q38" s="1263" t="str">
        <f t="shared" si="11"/>
        <v>业态</v>
      </c>
      <c r="R38" s="667" t="s">
        <v>14</v>
      </c>
      <c r="S38" s="668">
        <f t="shared" si="12"/>
        <v>100</v>
      </c>
      <c r="T38" s="667" t="s">
        <v>14</v>
      </c>
      <c r="U38" s="668">
        <f t="shared" si="13"/>
        <v>100</v>
      </c>
      <c r="V38" s="667" t="s">
        <v>14</v>
      </c>
      <c r="W38" s="668">
        <f t="shared" si="14"/>
        <v>100</v>
      </c>
      <c r="X38" s="1265"/>
      <c r="Y38" s="339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91"/>
      <c r="Q39" s="1263" t="str">
        <f t="shared" si="11"/>
        <v>层高</v>
      </c>
      <c r="R39" s="667" t="s">
        <v>14</v>
      </c>
      <c r="S39" s="668">
        <f t="shared" si="12"/>
        <v>100</v>
      </c>
      <c r="T39" s="667" t="s">
        <v>14</v>
      </c>
      <c r="U39" s="668">
        <f t="shared" si="13"/>
        <v>100</v>
      </c>
      <c r="V39" s="667" t="s">
        <v>14</v>
      </c>
      <c r="W39" s="668">
        <f t="shared" si="14"/>
        <v>100</v>
      </c>
      <c r="X39" s="1265"/>
      <c r="Y39" s="339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1"/>
      <c r="Q40" s="1263" t="str">
        <f t="shared" si="11"/>
        <v>单套建筑面积</v>
      </c>
      <c r="R40" s="667" t="s">
        <v>14</v>
      </c>
      <c r="S40" s="668">
        <f t="shared" si="12"/>
        <v>100</v>
      </c>
      <c r="T40" s="667" t="s">
        <v>14</v>
      </c>
      <c r="U40" s="668">
        <f t="shared" si="13"/>
        <v>100</v>
      </c>
      <c r="V40" s="667" t="s">
        <v>14</v>
      </c>
      <c r="W40" s="668">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91"/>
      <c r="Q42" s="1263" t="str">
        <f t="shared" si="11"/>
        <v>内部装修</v>
      </c>
      <c r="R42" s="667" t="s">
        <v>14</v>
      </c>
      <c r="S42" s="668">
        <f t="shared" si="12"/>
        <v>100</v>
      </c>
      <c r="T42" s="667" t="s">
        <v>14</v>
      </c>
      <c r="U42" s="668">
        <f t="shared" si="13"/>
        <v>100</v>
      </c>
      <c r="V42" s="667" t="s">
        <v>14</v>
      </c>
      <c r="W42" s="668">
        <f t="shared" si="14"/>
        <v>100</v>
      </c>
      <c r="X42" s="1265"/>
      <c r="Y42" s="339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1"/>
      <c r="Q45" s="1263">
        <f t="shared" si="11"/>
        <v>111</v>
      </c>
      <c r="R45" s="667" t="s">
        <v>14</v>
      </c>
      <c r="S45" s="668">
        <f t="shared" si="12"/>
        <v>100</v>
      </c>
      <c r="T45" s="667" t="s">
        <v>14</v>
      </c>
      <c r="U45" s="668">
        <f t="shared" si="13"/>
        <v>100</v>
      </c>
      <c r="V45" s="667" t="s">
        <v>14</v>
      </c>
      <c r="W45" s="668">
        <f t="shared" si="14"/>
        <v>100</v>
      </c>
      <c r="X45" s="1265"/>
      <c r="Y45" s="339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87" t="str">
        <f>A47</f>
        <v>成交单价（元/平方米）</v>
      </c>
      <c r="Q47" s="3387"/>
      <c r="R47" s="3382">
        <f>E47</f>
        <v>0</v>
      </c>
      <c r="S47" s="3382"/>
      <c r="T47" s="3382">
        <f>G47</f>
        <v>0</v>
      </c>
      <c r="U47" s="3382"/>
      <c r="V47" s="3382">
        <f>I47</f>
        <v>0</v>
      </c>
      <c r="W47" s="338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7" t="str">
        <f>A48</f>
        <v>比较价值（元/平方米）</v>
      </c>
      <c r="Q48" s="3387"/>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2008-12</v>
      </c>
      <c r="D58" s="1104">
        <f>EDATE(C58,-1)</f>
        <v>39753</v>
      </c>
      <c r="E58" s="1104">
        <f t="shared" ref="E58:N58" si="16">EDATE(D58,-1)</f>
        <v>39722</v>
      </c>
      <c r="F58" s="1104">
        <f t="shared" si="16"/>
        <v>39692</v>
      </c>
      <c r="G58" s="1104">
        <f t="shared" si="16"/>
        <v>39661</v>
      </c>
      <c r="H58" s="1104">
        <f t="shared" si="16"/>
        <v>39630</v>
      </c>
      <c r="I58" s="1104">
        <f t="shared" si="16"/>
        <v>39600</v>
      </c>
      <c r="J58" s="1104">
        <f t="shared" si="16"/>
        <v>39569</v>
      </c>
      <c r="K58" s="1104">
        <f t="shared" si="16"/>
        <v>39539</v>
      </c>
      <c r="L58" s="1104">
        <f t="shared" si="16"/>
        <v>39508</v>
      </c>
      <c r="M58" s="1104">
        <f t="shared" si="16"/>
        <v>39479</v>
      </c>
      <c r="N58" s="1104">
        <f t="shared" si="16"/>
        <v>39448</v>
      </c>
      <c r="O58" s="1104">
        <f>EDATE(N58,-1)</f>
        <v>39417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91.09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31" t="s">
        <v>1775</v>
      </c>
      <c r="Q4" s="3432"/>
      <c r="R4" s="3426" t="s">
        <v>1771</v>
      </c>
      <c r="S4" s="3427"/>
      <c r="T4" s="3426" t="s">
        <v>1772</v>
      </c>
      <c r="U4" s="3427"/>
      <c r="V4" s="3435" t="s">
        <v>1773</v>
      </c>
      <c r="W4" s="3435"/>
      <c r="X4" s="1809"/>
      <c r="Y4" s="3426" t="s">
        <v>1775</v>
      </c>
      <c r="Z4" s="3427"/>
      <c r="AA4" s="3425" t="s">
        <v>1771</v>
      </c>
      <c r="AB4" s="3425" t="s">
        <v>1772</v>
      </c>
      <c r="AC4" s="3428" t="s">
        <v>1773</v>
      </c>
    </row>
    <row r="5" spans="1:29" ht="15">
      <c r="A5" s="348"/>
      <c r="B5" s="349"/>
      <c r="C5" s="3424" t="s">
        <v>1673</v>
      </c>
      <c r="D5" s="3364"/>
      <c r="E5" s="3423" t="s">
        <v>1674</v>
      </c>
      <c r="F5" s="3362"/>
      <c r="G5" s="3424" t="s">
        <v>1675</v>
      </c>
      <c r="H5" s="3364"/>
      <c r="I5" s="3424" t="s">
        <v>1676</v>
      </c>
      <c r="J5" s="3364"/>
      <c r="K5" s="537"/>
      <c r="L5" s="2486"/>
      <c r="M5" s="2487"/>
      <c r="N5" s="2487"/>
      <c r="O5" s="2487"/>
      <c r="P5" s="3433"/>
      <c r="Q5" s="3377"/>
      <c r="R5" s="3359"/>
      <c r="S5" s="3360"/>
      <c r="T5" s="3359"/>
      <c r="U5" s="3360"/>
      <c r="V5" s="3382"/>
      <c r="W5" s="3382"/>
      <c r="X5" s="1265"/>
      <c r="Y5" s="3359"/>
      <c r="Z5" s="3360"/>
      <c r="AA5" s="3353"/>
      <c r="AB5" s="3353"/>
      <c r="AC5" s="3429"/>
    </row>
    <row r="6" spans="1:29" ht="15.75" thickBot="1">
      <c r="A6" s="350"/>
      <c r="B6" s="351"/>
      <c r="C6" s="3365" t="s">
        <v>1677</v>
      </c>
      <c r="D6" s="3366"/>
      <c r="E6" s="3367" t="s">
        <v>1677</v>
      </c>
      <c r="F6" s="3368"/>
      <c r="G6" s="3365" t="s">
        <v>1677</v>
      </c>
      <c r="H6" s="3366"/>
      <c r="I6" s="3365" t="s">
        <v>1677</v>
      </c>
      <c r="J6" s="3366"/>
      <c r="K6" s="537" t="s">
        <v>1678</v>
      </c>
      <c r="L6" s="2486"/>
      <c r="M6" s="2487"/>
      <c r="N6" s="2487"/>
      <c r="O6" s="2487"/>
      <c r="P6" s="3434"/>
      <c r="Q6" s="3379"/>
      <c r="R6" s="3359"/>
      <c r="S6" s="3360"/>
      <c r="T6" s="3380"/>
      <c r="U6" s="3381"/>
      <c r="V6" s="3382"/>
      <c r="W6" s="3382"/>
      <c r="X6" s="1265"/>
      <c r="Y6" s="3380"/>
      <c r="Z6" s="3381"/>
      <c r="AA6" s="3354"/>
      <c r="AB6" s="3354"/>
      <c r="AC6" s="3430"/>
    </row>
    <row r="7" spans="1:29" s="102" customFormat="1" ht="15.75" thickBot="1">
      <c r="A7" s="352" t="s">
        <v>1679</v>
      </c>
      <c r="B7" s="353"/>
      <c r="C7" s="354">
        <f>'数据-取费表'!B2</f>
        <v>39801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383"/>
      <c r="R7" s="664" t="s">
        <v>14</v>
      </c>
      <c r="S7" s="665">
        <f t="shared" ref="S7:S15" si="0">F7</f>
        <v>0</v>
      </c>
      <c r="T7" s="664" t="s">
        <v>14</v>
      </c>
      <c r="U7" s="665">
        <f t="shared" ref="U7:U15" si="1">H7</f>
        <v>0</v>
      </c>
      <c r="V7" s="664" t="s">
        <v>14</v>
      </c>
      <c r="W7" s="665">
        <f t="shared" ref="W7:W15" si="2">J7</f>
        <v>0</v>
      </c>
      <c r="X7" s="666"/>
      <c r="Y7" s="3355" t="s">
        <v>1680</v>
      </c>
      <c r="Z7" s="335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356"/>
      <c r="R8" s="664" t="s">
        <v>14</v>
      </c>
      <c r="S8" s="665">
        <f t="shared" si="0"/>
        <v>100</v>
      </c>
      <c r="T8" s="664" t="s">
        <v>14</v>
      </c>
      <c r="U8" s="665">
        <f t="shared" si="1"/>
        <v>100</v>
      </c>
      <c r="V8" s="664" t="s">
        <v>14</v>
      </c>
      <c r="W8" s="665">
        <f t="shared" si="2"/>
        <v>100</v>
      </c>
      <c r="X8" s="666"/>
      <c r="Y8" s="3355" t="s">
        <v>1683</v>
      </c>
      <c r="Z8" s="335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69"/>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9"/>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69"/>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69"/>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69"/>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5" t="s">
        <v>1691</v>
      </c>
      <c r="Q15" s="1263" t="str">
        <f t="shared" si="6"/>
        <v>办公集聚程度</v>
      </c>
      <c r="R15" s="667" t="s">
        <v>14</v>
      </c>
      <c r="S15" s="668">
        <f t="shared" si="0"/>
        <v>100</v>
      </c>
      <c r="T15" s="667" t="s">
        <v>14</v>
      </c>
      <c r="U15" s="668">
        <f t="shared" si="1"/>
        <v>100</v>
      </c>
      <c r="V15" s="667" t="s">
        <v>14</v>
      </c>
      <c r="W15" s="668">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6"/>
      <c r="Q16" s="1263"/>
      <c r="R16" s="667"/>
      <c r="S16" s="668"/>
      <c r="T16" s="667"/>
      <c r="U16" s="668"/>
      <c r="V16" s="667"/>
      <c r="W16" s="668"/>
      <c r="X16" s="1265"/>
      <c r="Y16" s="338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6"/>
      <c r="Q18" s="1263"/>
      <c r="R18" s="667"/>
      <c r="S18" s="668"/>
      <c r="T18" s="667"/>
      <c r="U18" s="668"/>
      <c r="V18" s="667"/>
      <c r="W18" s="668"/>
      <c r="X18" s="1265"/>
      <c r="Y18" s="338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6"/>
      <c r="Q20" s="1263"/>
      <c r="R20" s="667"/>
      <c r="S20" s="668"/>
      <c r="T20" s="667"/>
      <c r="U20" s="668"/>
      <c r="V20" s="667"/>
      <c r="W20" s="668"/>
      <c r="X20" s="1265"/>
      <c r="Y20" s="338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6"/>
      <c r="Q22" s="1263"/>
      <c r="R22" s="667"/>
      <c r="S22" s="668"/>
      <c r="T22" s="667"/>
      <c r="U22" s="668"/>
      <c r="V22" s="667"/>
      <c r="W22" s="668"/>
      <c r="X22" s="1265"/>
      <c r="Y22" s="338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6"/>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6"/>
      <c r="Q24" s="1263"/>
      <c r="R24" s="667"/>
      <c r="S24" s="668"/>
      <c r="T24" s="667"/>
      <c r="U24" s="668"/>
      <c r="V24" s="667"/>
      <c r="W24" s="668"/>
      <c r="X24" s="1265"/>
      <c r="Y24" s="338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6"/>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6"/>
      <c r="Q26" s="1263"/>
      <c r="R26" s="667"/>
      <c r="S26" s="668"/>
      <c r="T26" s="667"/>
      <c r="U26" s="668"/>
      <c r="V26" s="667"/>
      <c r="W26" s="668"/>
      <c r="X26" s="1265"/>
      <c r="Y26" s="338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6"/>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6"/>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6"/>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6"/>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90" t="s">
        <v>1696</v>
      </c>
      <c r="Q33" s="1263" t="str">
        <f t="shared" si="11"/>
        <v>建筑类型</v>
      </c>
      <c r="R33" s="667" t="s">
        <v>14</v>
      </c>
      <c r="S33" s="668">
        <f t="shared" si="12"/>
        <v>100</v>
      </c>
      <c r="T33" s="667" t="s">
        <v>14</v>
      </c>
      <c r="U33" s="668">
        <f t="shared" si="13"/>
        <v>100</v>
      </c>
      <c r="V33" s="667" t="s">
        <v>14</v>
      </c>
      <c r="W33" s="668">
        <f t="shared" si="14"/>
        <v>100</v>
      </c>
      <c r="X33" s="1265"/>
      <c r="Y33" s="339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1"/>
      <c r="Q35" s="1263" t="str">
        <f t="shared" si="11"/>
        <v>建筑结构</v>
      </c>
      <c r="R35" s="667" t="s">
        <v>14</v>
      </c>
      <c r="S35" s="668">
        <f t="shared" si="12"/>
        <v>100</v>
      </c>
      <c r="T35" s="667" t="s">
        <v>14</v>
      </c>
      <c r="U35" s="668">
        <f t="shared" si="13"/>
        <v>100</v>
      </c>
      <c r="V35" s="667" t="s">
        <v>14</v>
      </c>
      <c r="W35" s="668">
        <f t="shared" si="14"/>
        <v>100</v>
      </c>
      <c r="X35" s="1265"/>
      <c r="Y35" s="339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1"/>
      <c r="Q37" s="1263" t="str">
        <f t="shared" si="11"/>
        <v>成新度</v>
      </c>
      <c r="R37" s="667" t="s">
        <v>14</v>
      </c>
      <c r="S37" s="668" t="e">
        <f t="shared" si="12"/>
        <v>#N/A</v>
      </c>
      <c r="T37" s="667" t="s">
        <v>14</v>
      </c>
      <c r="U37" s="668" t="e">
        <f t="shared" si="13"/>
        <v>#N/A</v>
      </c>
      <c r="V37" s="667" t="s">
        <v>14</v>
      </c>
      <c r="W37" s="668" t="e">
        <f t="shared" si="14"/>
        <v>#N/A</v>
      </c>
      <c r="X37" s="1265"/>
      <c r="Y37" s="339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1" t="s">
        <v>1696</v>
      </c>
      <c r="Q39" s="1263" t="str">
        <f t="shared" si="11"/>
        <v>物业管理</v>
      </c>
      <c r="R39" s="667" t="s">
        <v>14</v>
      </c>
      <c r="S39" s="668">
        <f t="shared" si="12"/>
        <v>100</v>
      </c>
      <c r="T39" s="667" t="s">
        <v>14</v>
      </c>
      <c r="U39" s="668">
        <f t="shared" si="13"/>
        <v>100</v>
      </c>
      <c r="V39" s="667" t="s">
        <v>14</v>
      </c>
      <c r="W39" s="668">
        <f t="shared" si="14"/>
        <v>100</v>
      </c>
      <c r="X39" s="1265"/>
      <c r="Y39" s="339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1"/>
      <c r="Q40" s="1263" t="str">
        <f t="shared" si="11"/>
        <v>市政基础设施</v>
      </c>
      <c r="R40" s="667" t="s">
        <v>14</v>
      </c>
      <c r="S40" s="668">
        <f t="shared" si="12"/>
        <v>100</v>
      </c>
      <c r="T40" s="667" t="s">
        <v>14</v>
      </c>
      <c r="U40" s="668">
        <f t="shared" si="13"/>
        <v>100</v>
      </c>
      <c r="V40" s="667" t="s">
        <v>14</v>
      </c>
      <c r="W40" s="668">
        <f t="shared" si="14"/>
        <v>100</v>
      </c>
      <c r="X40" s="1265"/>
      <c r="Y40" s="339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1"/>
      <c r="Q41" s="1263" t="str">
        <f t="shared" si="11"/>
        <v>层高</v>
      </c>
      <c r="R41" s="667" t="s">
        <v>14</v>
      </c>
      <c r="S41" s="668">
        <f t="shared" si="12"/>
        <v>100</v>
      </c>
      <c r="T41" s="667" t="s">
        <v>14</v>
      </c>
      <c r="U41" s="668">
        <f t="shared" si="13"/>
        <v>100</v>
      </c>
      <c r="V41" s="667" t="s">
        <v>14</v>
      </c>
      <c r="W41" s="668">
        <f t="shared" si="14"/>
        <v>100</v>
      </c>
      <c r="X41" s="1265"/>
      <c r="Y41" s="339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1"/>
      <c r="Q43" s="1263" t="str">
        <f t="shared" si="11"/>
        <v>内部装修</v>
      </c>
      <c r="R43" s="667" t="s">
        <v>14</v>
      </c>
      <c r="S43" s="668">
        <f t="shared" si="12"/>
        <v>100</v>
      </c>
      <c r="T43" s="667" t="s">
        <v>14</v>
      </c>
      <c r="U43" s="668">
        <f t="shared" si="13"/>
        <v>100</v>
      </c>
      <c r="V43" s="667" t="s">
        <v>14</v>
      </c>
      <c r="W43" s="668">
        <f t="shared" si="14"/>
        <v>100</v>
      </c>
      <c r="X43" s="1265"/>
      <c r="Y43" s="339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91"/>
      <c r="Q44" s="1263" t="str">
        <f t="shared" si="11"/>
        <v>内部装修维护情况</v>
      </c>
      <c r="R44" s="667" t="s">
        <v>14</v>
      </c>
      <c r="S44" s="668">
        <f t="shared" si="12"/>
        <v>100</v>
      </c>
      <c r="T44" s="667" t="s">
        <v>14</v>
      </c>
      <c r="U44" s="668">
        <f t="shared" si="13"/>
        <v>100</v>
      </c>
      <c r="V44" s="667" t="s">
        <v>14</v>
      </c>
      <c r="W44" s="668">
        <f t="shared" si="14"/>
        <v>100</v>
      </c>
      <c r="X44" s="1265"/>
      <c r="Y44" s="339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2"/>
      <c r="Q47" s="1263">
        <f t="shared" si="11"/>
        <v>111</v>
      </c>
      <c r="R47" s="667" t="s">
        <v>14</v>
      </c>
      <c r="S47" s="668">
        <f t="shared" si="12"/>
        <v>100</v>
      </c>
      <c r="T47" s="667" t="s">
        <v>14</v>
      </c>
      <c r="U47" s="668">
        <f t="shared" si="13"/>
        <v>100</v>
      </c>
      <c r="V47" s="667" t="s">
        <v>14</v>
      </c>
      <c r="W47" s="668">
        <f t="shared" si="14"/>
        <v>100</v>
      </c>
      <c r="X47" s="1265"/>
      <c r="Y47" s="339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69" t="str">
        <f>A48</f>
        <v>成交单价（元/平方米）</v>
      </c>
      <c r="Q48" s="3387"/>
      <c r="R48" s="3382">
        <f>E48</f>
        <v>0</v>
      </c>
      <c r="S48" s="3382"/>
      <c r="T48" s="3382">
        <f>G48</f>
        <v>0</v>
      </c>
      <c r="U48" s="3382"/>
      <c r="V48" s="3382">
        <f>I48</f>
        <v>0</v>
      </c>
      <c r="W48" s="338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69" t="str">
        <f>A49</f>
        <v>比较价值（元/平方米）</v>
      </c>
      <c r="Q49" s="3387"/>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2008-12</v>
      </c>
      <c r="D59" s="1104">
        <f>EDATE(C59,-1)</f>
        <v>39753</v>
      </c>
      <c r="E59" s="1104">
        <f>EDATE(D59,-1)</f>
        <v>39722</v>
      </c>
      <c r="F59" s="1104">
        <f t="shared" ref="F59:O59" si="16">EDATE(E59,-1)</f>
        <v>39692</v>
      </c>
      <c r="G59" s="1104">
        <f t="shared" si="16"/>
        <v>39661</v>
      </c>
      <c r="H59" s="1104">
        <f t="shared" si="16"/>
        <v>39630</v>
      </c>
      <c r="I59" s="1104">
        <f t="shared" si="16"/>
        <v>39600</v>
      </c>
      <c r="J59" s="1104">
        <f t="shared" si="16"/>
        <v>39569</v>
      </c>
      <c r="K59" s="1104">
        <f t="shared" si="16"/>
        <v>39539</v>
      </c>
      <c r="L59" s="1104">
        <f t="shared" si="16"/>
        <v>39508</v>
      </c>
      <c r="M59" s="1104">
        <f t="shared" si="16"/>
        <v>39479</v>
      </c>
      <c r="N59" s="1104">
        <f t="shared" si="16"/>
        <v>39448</v>
      </c>
      <c r="O59" s="1104">
        <f t="shared" si="16"/>
        <v>39417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估价对象为北京市房地产,属开发建设的，该项目尚在开发建设中。根据《国有土地使用证》[]，估价对象（分摊）出让国有建设用地使用权面积为0平方米，规划建筑面积为91.09平方米。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2008年12月19日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91.09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860"/>
      <c r="M4" s="861"/>
      <c r="N4" s="861"/>
      <c r="O4" s="861"/>
      <c r="P4" s="3374" t="s">
        <v>1775</v>
      </c>
      <c r="Q4" s="3375"/>
      <c r="R4" s="3357" t="s">
        <v>1771</v>
      </c>
      <c r="S4" s="3358"/>
      <c r="T4" s="3357" t="s">
        <v>1772</v>
      </c>
      <c r="U4" s="3358"/>
      <c r="V4" s="3382" t="s">
        <v>1773</v>
      </c>
      <c r="W4" s="3382"/>
      <c r="X4" s="1265"/>
      <c r="Y4" s="3357" t="s">
        <v>1775</v>
      </c>
      <c r="Z4" s="3358"/>
      <c r="AA4" s="3352" t="s">
        <v>1771</v>
      </c>
      <c r="AB4" s="3353" t="s">
        <v>1772</v>
      </c>
      <c r="AC4" s="3352" t="s">
        <v>1773</v>
      </c>
    </row>
    <row r="5" spans="1:29" ht="15">
      <c r="A5" s="348"/>
      <c r="B5" s="349"/>
      <c r="C5" s="3424" t="s">
        <v>1673</v>
      </c>
      <c r="D5" s="3364"/>
      <c r="E5" s="3423" t="s">
        <v>1674</v>
      </c>
      <c r="F5" s="3362"/>
      <c r="G5" s="3424" t="s">
        <v>1675</v>
      </c>
      <c r="H5" s="3364"/>
      <c r="I5" s="3424" t="s">
        <v>1676</v>
      </c>
      <c r="J5" s="3364"/>
      <c r="K5" s="537"/>
      <c r="L5" s="860"/>
      <c r="M5" s="861"/>
      <c r="N5" s="861"/>
      <c r="O5" s="861"/>
      <c r="P5" s="3376"/>
      <c r="Q5" s="3377"/>
      <c r="R5" s="3359"/>
      <c r="S5" s="3360"/>
      <c r="T5" s="3359"/>
      <c r="U5" s="3360"/>
      <c r="V5" s="3382"/>
      <c r="W5" s="3382"/>
      <c r="X5" s="1265"/>
      <c r="Y5" s="3359"/>
      <c r="Z5" s="3360"/>
      <c r="AA5" s="3353"/>
      <c r="AB5" s="3353"/>
      <c r="AC5" s="3353"/>
    </row>
    <row r="6" spans="1:29" ht="15.75" thickBot="1">
      <c r="A6" s="350"/>
      <c r="B6" s="351"/>
      <c r="C6" s="3365" t="s">
        <v>1677</v>
      </c>
      <c r="D6" s="3366"/>
      <c r="E6" s="3367" t="s">
        <v>1677</v>
      </c>
      <c r="F6" s="3368"/>
      <c r="G6" s="3365" t="s">
        <v>1677</v>
      </c>
      <c r="H6" s="3366"/>
      <c r="I6" s="3365" t="s">
        <v>1677</v>
      </c>
      <c r="J6" s="3366"/>
      <c r="K6" s="537" t="s">
        <v>1678</v>
      </c>
      <c r="L6" s="860"/>
      <c r="M6" s="861"/>
      <c r="N6" s="861"/>
      <c r="O6" s="861"/>
      <c r="P6" s="3378"/>
      <c r="Q6" s="3379"/>
      <c r="R6" s="3359"/>
      <c r="S6" s="3360"/>
      <c r="T6" s="3380"/>
      <c r="U6" s="3381"/>
      <c r="V6" s="3382"/>
      <c r="W6" s="3382"/>
      <c r="X6" s="1265"/>
      <c r="Y6" s="3380"/>
      <c r="Z6" s="3381"/>
      <c r="AA6" s="3354"/>
      <c r="AB6" s="3354"/>
      <c r="AC6" s="3354"/>
    </row>
    <row r="7" spans="1:29" s="102" customFormat="1" ht="15.75" thickBot="1">
      <c r="A7" s="352" t="s">
        <v>1679</v>
      </c>
      <c r="B7" s="353"/>
      <c r="C7" s="354">
        <f>'数据-取费表'!B2</f>
        <v>39801</v>
      </c>
      <c r="D7" s="355">
        <v>100</v>
      </c>
      <c r="E7" s="356"/>
      <c r="F7" s="357">
        <f>SUMIF(52:52,YEAR(E7)&amp;"-"&amp;MONTH(E7),53:53)</f>
        <v>0</v>
      </c>
      <c r="G7" s="356"/>
      <c r="H7" s="355">
        <f>SUMIF(52:52,YEAR(G7)&amp;"-"&amp;MONTH(G7),53:53)</f>
        <v>0</v>
      </c>
      <c r="I7" s="356"/>
      <c r="J7" s="355">
        <f>SUMIF(52:52,YEAR(I7)&amp;"-"&amp;MONTH(I7),53:53)</f>
        <v>0</v>
      </c>
      <c r="K7" s="38"/>
      <c r="L7" s="862"/>
      <c r="M7" s="863"/>
      <c r="N7" s="863"/>
      <c r="O7" s="863"/>
      <c r="P7" s="3355" t="s">
        <v>1680</v>
      </c>
      <c r="Q7" s="3383"/>
      <c r="R7" s="664" t="s">
        <v>14</v>
      </c>
      <c r="S7" s="665">
        <f t="shared" ref="S7:S15" si="0">F7</f>
        <v>0</v>
      </c>
      <c r="T7" s="664" t="s">
        <v>14</v>
      </c>
      <c r="U7" s="665">
        <f t="shared" ref="U7:U15" si="1">H7</f>
        <v>0</v>
      </c>
      <c r="V7" s="664" t="s">
        <v>14</v>
      </c>
      <c r="W7" s="665">
        <f t="shared" ref="W7:W15" si="2">J7</f>
        <v>0</v>
      </c>
      <c r="X7" s="666"/>
      <c r="Y7" s="3355" t="s">
        <v>1680</v>
      </c>
      <c r="Z7" s="335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5" t="s">
        <v>1683</v>
      </c>
      <c r="Q8" s="3356"/>
      <c r="R8" s="664" t="s">
        <v>14</v>
      </c>
      <c r="S8" s="665">
        <f t="shared" si="0"/>
        <v>100</v>
      </c>
      <c r="T8" s="664" t="s">
        <v>14</v>
      </c>
      <c r="U8" s="665">
        <f t="shared" si="1"/>
        <v>100</v>
      </c>
      <c r="V8" s="664" t="s">
        <v>14</v>
      </c>
      <c r="W8" s="665">
        <f t="shared" si="2"/>
        <v>100</v>
      </c>
      <c r="X8" s="666"/>
      <c r="Y8" s="3355" t="s">
        <v>1683</v>
      </c>
      <c r="Z8" s="335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39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3" t="str">
        <f t="shared" si="11"/>
        <v>建筑结构</v>
      </c>
      <c r="R31" s="667" t="s">
        <v>14</v>
      </c>
      <c r="S31" s="668">
        <f t="shared" si="12"/>
        <v>100</v>
      </c>
      <c r="T31" s="667" t="s">
        <v>14</v>
      </c>
      <c r="U31" s="668">
        <f t="shared" si="13"/>
        <v>100</v>
      </c>
      <c r="V31" s="667" t="s">
        <v>14</v>
      </c>
      <c r="W31" s="668">
        <f t="shared" si="14"/>
        <v>100</v>
      </c>
      <c r="X31" s="1265"/>
      <c r="Y31" s="339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3" t="str">
        <f t="shared" si="11"/>
        <v>公共部分装修</v>
      </c>
      <c r="R32" s="667" t="s">
        <v>14</v>
      </c>
      <c r="S32" s="668">
        <f t="shared" si="12"/>
        <v>100</v>
      </c>
      <c r="T32" s="667" t="s">
        <v>14</v>
      </c>
      <c r="U32" s="668">
        <f t="shared" si="13"/>
        <v>100</v>
      </c>
      <c r="V32" s="667" t="s">
        <v>14</v>
      </c>
      <c r="W32" s="668">
        <f t="shared" si="14"/>
        <v>100</v>
      </c>
      <c r="X32" s="1265"/>
      <c r="Y32" s="339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3" t="str">
        <f t="shared" si="11"/>
        <v>成新度</v>
      </c>
      <c r="R33" s="667" t="s">
        <v>14</v>
      </c>
      <c r="S33" s="668" t="e">
        <f t="shared" si="12"/>
        <v>#N/A</v>
      </c>
      <c r="T33" s="667" t="s">
        <v>14</v>
      </c>
      <c r="U33" s="668" t="e">
        <f t="shared" si="13"/>
        <v>#N/A</v>
      </c>
      <c r="V33" s="667" t="s">
        <v>14</v>
      </c>
      <c r="W33" s="668"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3" t="str">
        <f t="shared" si="11"/>
        <v>市政基础设施</v>
      </c>
      <c r="R35" s="667" t="s">
        <v>14</v>
      </c>
      <c r="S35" s="668">
        <f t="shared" si="12"/>
        <v>100</v>
      </c>
      <c r="T35" s="667" t="s">
        <v>14</v>
      </c>
      <c r="U35" s="668">
        <f t="shared" si="13"/>
        <v>100</v>
      </c>
      <c r="V35" s="667" t="s">
        <v>14</v>
      </c>
      <c r="W35" s="668">
        <f t="shared" si="14"/>
        <v>100</v>
      </c>
      <c r="X35" s="1265"/>
      <c r="Y35" s="339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3" t="str">
        <f t="shared" si="11"/>
        <v>内部装修</v>
      </c>
      <c r="R36" s="667" t="s">
        <v>14</v>
      </c>
      <c r="S36" s="668">
        <f t="shared" si="12"/>
        <v>100</v>
      </c>
      <c r="T36" s="667" t="s">
        <v>14</v>
      </c>
      <c r="U36" s="668">
        <f t="shared" si="13"/>
        <v>100</v>
      </c>
      <c r="V36" s="667" t="s">
        <v>14</v>
      </c>
      <c r="W36" s="668">
        <f t="shared" si="14"/>
        <v>100</v>
      </c>
      <c r="X36" s="1265"/>
      <c r="Y36" s="339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3" t="str">
        <f t="shared" si="11"/>
        <v>内部装修状况</v>
      </c>
      <c r="R37" s="667" t="s">
        <v>14</v>
      </c>
      <c r="S37" s="668">
        <f t="shared" si="12"/>
        <v>100</v>
      </c>
      <c r="T37" s="667" t="s">
        <v>14</v>
      </c>
      <c r="U37" s="668">
        <f t="shared" si="13"/>
        <v>100</v>
      </c>
      <c r="V37" s="667" t="s">
        <v>14</v>
      </c>
      <c r="W37" s="668">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3">
        <f t="shared" si="11"/>
        <v>111</v>
      </c>
      <c r="R39" s="667" t="s">
        <v>14</v>
      </c>
      <c r="S39" s="668">
        <f t="shared" si="12"/>
        <v>100</v>
      </c>
      <c r="T39" s="667" t="s">
        <v>14</v>
      </c>
      <c r="U39" s="668">
        <f t="shared" si="13"/>
        <v>100</v>
      </c>
      <c r="V39" s="667" t="s">
        <v>14</v>
      </c>
      <c r="W39" s="668">
        <f t="shared" si="14"/>
        <v>100</v>
      </c>
      <c r="X39" s="1265"/>
      <c r="Y39" s="339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3">
        <f t="shared" si="11"/>
        <v>111</v>
      </c>
      <c r="R40" s="667" t="s">
        <v>14</v>
      </c>
      <c r="S40" s="668">
        <f t="shared" si="12"/>
        <v>100</v>
      </c>
      <c r="T40" s="667" t="s">
        <v>14</v>
      </c>
      <c r="U40" s="668">
        <f t="shared" si="13"/>
        <v>100</v>
      </c>
      <c r="V40" s="667" t="s">
        <v>14</v>
      </c>
      <c r="W40" s="668">
        <f t="shared" si="14"/>
        <v>100</v>
      </c>
      <c r="X40" s="1265"/>
      <c r="Y40" s="339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2">
        <f>E41</f>
        <v>0</v>
      </c>
      <c r="S41" s="3382"/>
      <c r="T41" s="3382">
        <f>G41</f>
        <v>0</v>
      </c>
      <c r="U41" s="3382"/>
      <c r="V41" s="3382">
        <f>I41</f>
        <v>0</v>
      </c>
      <c r="W41" s="338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2008-12</v>
      </c>
      <c r="D52" s="1104">
        <f>EDATE(C52,-1)</f>
        <v>39753</v>
      </c>
      <c r="E52" s="1104">
        <f t="shared" ref="E52:O52" si="16">EDATE(D52,-1)</f>
        <v>39722</v>
      </c>
      <c r="F52" s="1104">
        <f t="shared" si="16"/>
        <v>39692</v>
      </c>
      <c r="G52" s="1104">
        <f t="shared" si="16"/>
        <v>39661</v>
      </c>
      <c r="H52" s="1104">
        <f t="shared" si="16"/>
        <v>39630</v>
      </c>
      <c r="I52" s="1104">
        <f t="shared" si="16"/>
        <v>39600</v>
      </c>
      <c r="J52" s="1104">
        <f t="shared" si="16"/>
        <v>39569</v>
      </c>
      <c r="K52" s="1104">
        <f t="shared" si="16"/>
        <v>39539</v>
      </c>
      <c r="L52" s="1104">
        <f t="shared" si="16"/>
        <v>39508</v>
      </c>
      <c r="M52" s="1104">
        <f t="shared" si="16"/>
        <v>39479</v>
      </c>
      <c r="N52" s="1104">
        <f t="shared" si="16"/>
        <v>39448</v>
      </c>
      <c r="O52" s="1104">
        <f t="shared" si="16"/>
        <v>39417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57" t="s">
        <v>1771</v>
      </c>
      <c r="S4" s="3358"/>
      <c r="T4" s="3357" t="s">
        <v>1772</v>
      </c>
      <c r="U4" s="3358"/>
      <c r="V4" s="3382" t="s">
        <v>1773</v>
      </c>
      <c r="W4" s="3382"/>
      <c r="X4" s="1265"/>
      <c r="Y4" s="3357" t="s">
        <v>1775</v>
      </c>
      <c r="Z4" s="3358"/>
      <c r="AA4" s="3352" t="s">
        <v>1771</v>
      </c>
      <c r="AB4" s="3353" t="s">
        <v>1772</v>
      </c>
      <c r="AC4" s="3352" t="s">
        <v>1773</v>
      </c>
    </row>
    <row r="5" spans="1:29" ht="15">
      <c r="A5" s="348"/>
      <c r="B5" s="349"/>
      <c r="C5" s="3424" t="s">
        <v>1673</v>
      </c>
      <c r="D5" s="3364"/>
      <c r="E5" s="3423" t="s">
        <v>1674</v>
      </c>
      <c r="F5" s="3362"/>
      <c r="G5" s="3424" t="s">
        <v>1675</v>
      </c>
      <c r="H5" s="3364"/>
      <c r="I5" s="3424" t="s">
        <v>1676</v>
      </c>
      <c r="J5" s="3364"/>
      <c r="K5" s="537"/>
      <c r="L5" s="2486"/>
      <c r="M5" s="2487"/>
      <c r="N5" s="2487"/>
      <c r="O5" s="2487"/>
      <c r="P5" s="3376"/>
      <c r="Q5" s="3377"/>
      <c r="R5" s="3359"/>
      <c r="S5" s="3360"/>
      <c r="T5" s="3359"/>
      <c r="U5" s="3360"/>
      <c r="V5" s="3382"/>
      <c r="W5" s="3382"/>
      <c r="X5" s="1265"/>
      <c r="Y5" s="3359"/>
      <c r="Z5" s="3360"/>
      <c r="AA5" s="3353"/>
      <c r="AB5" s="3353"/>
      <c r="AC5" s="3353"/>
    </row>
    <row r="6" spans="1:29" ht="15.75" thickBot="1">
      <c r="A6" s="350"/>
      <c r="B6" s="351"/>
      <c r="C6" s="3365" t="s">
        <v>1677</v>
      </c>
      <c r="D6" s="3366"/>
      <c r="E6" s="3367" t="s">
        <v>1677</v>
      </c>
      <c r="F6" s="3368"/>
      <c r="G6" s="3365" t="s">
        <v>1677</v>
      </c>
      <c r="H6" s="3366"/>
      <c r="I6" s="3365" t="s">
        <v>1677</v>
      </c>
      <c r="J6" s="3366"/>
      <c r="K6" s="537" t="s">
        <v>1678</v>
      </c>
      <c r="L6" s="2486"/>
      <c r="M6" s="2487"/>
      <c r="N6" s="2487"/>
      <c r="O6" s="2487"/>
      <c r="P6" s="3378"/>
      <c r="Q6" s="3379"/>
      <c r="R6" s="3359"/>
      <c r="S6" s="3360"/>
      <c r="T6" s="3380"/>
      <c r="U6" s="3381"/>
      <c r="V6" s="3382"/>
      <c r="W6" s="3382"/>
      <c r="X6" s="1265"/>
      <c r="Y6" s="3380"/>
      <c r="Z6" s="3381"/>
      <c r="AA6" s="3354"/>
      <c r="AB6" s="3354"/>
      <c r="AC6" s="3354"/>
    </row>
    <row r="7" spans="1:29" s="102" customFormat="1" ht="15.75" thickBot="1">
      <c r="A7" s="352" t="s">
        <v>1679</v>
      </c>
      <c r="B7" s="353"/>
      <c r="C7" s="354">
        <f>'数据-取费表'!B2</f>
        <v>39801</v>
      </c>
      <c r="D7" s="355">
        <v>100</v>
      </c>
      <c r="E7" s="356"/>
      <c r="F7" s="357">
        <f>SUMIF(48:48,YEAR(E7)&amp;"-"&amp;MONTH(E7),49:49)</f>
        <v>0</v>
      </c>
      <c r="G7" s="356"/>
      <c r="H7" s="355">
        <f>SUMIF(48:48,YEAR(G7)&amp;"-"&amp;MONTH(G7),49:49)</f>
        <v>0</v>
      </c>
      <c r="I7" s="356"/>
      <c r="J7" s="355">
        <f>SUMIF(48:48,YEAR(I7)&amp;"-"&amp;MONTH(I7),49:49)</f>
        <v>0</v>
      </c>
      <c r="K7" s="38"/>
      <c r="L7" s="2488"/>
      <c r="M7" s="2439"/>
      <c r="N7" s="2439"/>
      <c r="O7" s="2439"/>
      <c r="P7" s="3355" t="s">
        <v>1680</v>
      </c>
      <c r="Q7" s="3383"/>
      <c r="R7" s="664" t="s">
        <v>14</v>
      </c>
      <c r="S7" s="665">
        <f t="shared" ref="S7:S14" si="0">F7</f>
        <v>0</v>
      </c>
      <c r="T7" s="664" t="s">
        <v>14</v>
      </c>
      <c r="U7" s="665">
        <f t="shared" ref="U7:U14" si="1">H7</f>
        <v>0</v>
      </c>
      <c r="V7" s="664" t="s">
        <v>14</v>
      </c>
      <c r="W7" s="665">
        <f t="shared" ref="W7:W14" si="2">J7</f>
        <v>0</v>
      </c>
      <c r="X7" s="666"/>
      <c r="Y7" s="3355" t="s">
        <v>1680</v>
      </c>
      <c r="Z7" s="335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55" t="s">
        <v>1683</v>
      </c>
      <c r="Q8" s="3356"/>
      <c r="R8" s="664" t="s">
        <v>14</v>
      </c>
      <c r="S8" s="665">
        <f t="shared" si="0"/>
        <v>100</v>
      </c>
      <c r="T8" s="664" t="s">
        <v>14</v>
      </c>
      <c r="U8" s="665">
        <f t="shared" si="1"/>
        <v>100</v>
      </c>
      <c r="V8" s="664" t="s">
        <v>14</v>
      </c>
      <c r="W8" s="665">
        <f t="shared" si="2"/>
        <v>100</v>
      </c>
      <c r="X8" s="666"/>
      <c r="Y8" s="3355" t="s">
        <v>1683</v>
      </c>
      <c r="Z8" s="335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7"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7"/>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9"/>
      <c r="Q15" s="1263"/>
      <c r="R15" s="667"/>
      <c r="S15" s="668"/>
      <c r="T15" s="667"/>
      <c r="U15" s="668"/>
      <c r="V15" s="667"/>
      <c r="W15" s="668"/>
      <c r="X15" s="1265"/>
      <c r="Y15" s="338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9"/>
      <c r="Q17" s="1263"/>
      <c r="R17" s="667"/>
      <c r="S17" s="668"/>
      <c r="T17" s="667"/>
      <c r="U17" s="668"/>
      <c r="V17" s="667"/>
      <c r="W17" s="668"/>
      <c r="X17" s="1265"/>
      <c r="Y17" s="338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9"/>
      <c r="Q19" s="1263"/>
      <c r="R19" s="667"/>
      <c r="S19" s="668"/>
      <c r="T19" s="667"/>
      <c r="U19" s="668"/>
      <c r="V19" s="667"/>
      <c r="W19" s="668"/>
      <c r="X19" s="1265"/>
      <c r="Y19" s="338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9"/>
      <c r="Q21" s="1263"/>
      <c r="R21" s="667"/>
      <c r="S21" s="668"/>
      <c r="T21" s="667"/>
      <c r="U21" s="668"/>
      <c r="V21" s="667"/>
      <c r="W21" s="668"/>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3"/>
      <c r="Q28" s="1263" t="str">
        <f t="shared" si="11"/>
        <v>公共部分装修</v>
      </c>
      <c r="R28" s="667" t="s">
        <v>14</v>
      </c>
      <c r="S28" s="668">
        <f t="shared" si="12"/>
        <v>100</v>
      </c>
      <c r="T28" s="667" t="s">
        <v>14</v>
      </c>
      <c r="U28" s="668">
        <f t="shared" si="13"/>
        <v>100</v>
      </c>
      <c r="V28" s="667" t="s">
        <v>14</v>
      </c>
      <c r="W28" s="668">
        <f t="shared" si="14"/>
        <v>100</v>
      </c>
      <c r="X28" s="1265"/>
      <c r="Y28" s="339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3"/>
      <c r="Q29" s="1263" t="str">
        <f t="shared" si="11"/>
        <v>成新率</v>
      </c>
      <c r="R29" s="667" t="s">
        <v>14</v>
      </c>
      <c r="S29" s="668" t="e">
        <f t="shared" si="12"/>
        <v>#N/A</v>
      </c>
      <c r="T29" s="667" t="s">
        <v>14</v>
      </c>
      <c r="U29" s="668" t="e">
        <f t="shared" si="13"/>
        <v>#N/A</v>
      </c>
      <c r="V29" s="667" t="s">
        <v>14</v>
      </c>
      <c r="W29" s="668" t="e">
        <f t="shared" si="14"/>
        <v>#N/A</v>
      </c>
      <c r="X29" s="1265"/>
      <c r="Y29" s="339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3"/>
      <c r="Q30" s="1263" t="str">
        <f t="shared" si="11"/>
        <v>物业等级</v>
      </c>
      <c r="R30" s="667" t="s">
        <v>14</v>
      </c>
      <c r="S30" s="668">
        <f t="shared" si="12"/>
        <v>100</v>
      </c>
      <c r="T30" s="667" t="s">
        <v>14</v>
      </c>
      <c r="U30" s="668">
        <f t="shared" si="13"/>
        <v>100</v>
      </c>
      <c r="V30" s="667" t="s">
        <v>14</v>
      </c>
      <c r="W30" s="668">
        <f t="shared" si="14"/>
        <v>100</v>
      </c>
      <c r="X30" s="1265"/>
      <c r="Y30" s="339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3" t="s">
        <v>1696</v>
      </c>
      <c r="Q32" s="1263" t="str">
        <f t="shared" si="11"/>
        <v>车位类型</v>
      </c>
      <c r="R32" s="667" t="s">
        <v>14</v>
      </c>
      <c r="S32" s="668">
        <f t="shared" si="12"/>
        <v>100</v>
      </c>
      <c r="T32" s="667" t="s">
        <v>14</v>
      </c>
      <c r="U32" s="668">
        <f t="shared" si="13"/>
        <v>100</v>
      </c>
      <c r="V32" s="667" t="s">
        <v>14</v>
      </c>
      <c r="W32" s="668">
        <f t="shared" si="14"/>
        <v>100</v>
      </c>
      <c r="X32" s="1265"/>
      <c r="Y32" s="339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3"/>
      <c r="Q33" s="1263" t="str">
        <f t="shared" si="11"/>
        <v>是否直接入户</v>
      </c>
      <c r="R33" s="667" t="s">
        <v>14</v>
      </c>
      <c r="S33" s="668">
        <f t="shared" si="12"/>
        <v>100</v>
      </c>
      <c r="T33" s="667" t="s">
        <v>14</v>
      </c>
      <c r="U33" s="668">
        <f t="shared" si="13"/>
        <v>100</v>
      </c>
      <c r="V33" s="667" t="s">
        <v>14</v>
      </c>
      <c r="W33" s="668">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3"/>
      <c r="Q36" s="1263">
        <f t="shared" si="11"/>
        <v>111</v>
      </c>
      <c r="R36" s="667" t="s">
        <v>14</v>
      </c>
      <c r="S36" s="668">
        <f t="shared" si="12"/>
        <v>100</v>
      </c>
      <c r="T36" s="667" t="s">
        <v>14</v>
      </c>
      <c r="U36" s="668">
        <f t="shared" si="13"/>
        <v>100</v>
      </c>
      <c r="V36" s="667" t="s">
        <v>14</v>
      </c>
      <c r="W36" s="668">
        <f t="shared" si="14"/>
        <v>100</v>
      </c>
      <c r="X36" s="1265"/>
      <c r="Y36" s="3393"/>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387" t="str">
        <f>A37</f>
        <v>成交单价</v>
      </c>
      <c r="Q37" s="3387"/>
      <c r="R37" s="3382">
        <f>E37</f>
        <v>0</v>
      </c>
      <c r="S37" s="3382"/>
      <c r="T37" s="3382">
        <f>G37</f>
        <v>0</v>
      </c>
      <c r="U37" s="3382"/>
      <c r="V37" s="3382">
        <f>I37</f>
        <v>0</v>
      </c>
      <c r="W37" s="338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7" t="str">
        <f>A38</f>
        <v>比较价值（元/平方米）</v>
      </c>
      <c r="Q38" s="3387"/>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4" t="str">
        <f>A39</f>
        <v>估价对象XX用房的比较价值（楼面单价，元/平方米）</v>
      </c>
      <c r="Q39" s="3385"/>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2008-12</v>
      </c>
      <c r="D48" s="1104">
        <f>EDATE(C48,-1)</f>
        <v>39753</v>
      </c>
      <c r="E48" s="1104">
        <f t="shared" ref="E48:O48" si="16">EDATE(D48,-1)</f>
        <v>39722</v>
      </c>
      <c r="F48" s="1104">
        <f t="shared" si="16"/>
        <v>39692</v>
      </c>
      <c r="G48" s="1104">
        <f t="shared" si="16"/>
        <v>39661</v>
      </c>
      <c r="H48" s="1104">
        <f t="shared" si="16"/>
        <v>39630</v>
      </c>
      <c r="I48" s="1104">
        <f t="shared" si="16"/>
        <v>39600</v>
      </c>
      <c r="J48" s="1104">
        <f t="shared" si="16"/>
        <v>39569</v>
      </c>
      <c r="K48" s="1104">
        <f t="shared" si="16"/>
        <v>39539</v>
      </c>
      <c r="L48" s="1104">
        <f t="shared" si="16"/>
        <v>39508</v>
      </c>
      <c r="M48" s="1104">
        <f t="shared" si="16"/>
        <v>39479</v>
      </c>
      <c r="N48" s="1104">
        <f t="shared" si="16"/>
        <v>39448</v>
      </c>
      <c r="O48" s="1104">
        <f t="shared" si="16"/>
        <v>39417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57" t="s">
        <v>1771</v>
      </c>
      <c r="S4" s="3358"/>
      <c r="T4" s="3357" t="s">
        <v>1772</v>
      </c>
      <c r="U4" s="3358"/>
      <c r="V4" s="3382" t="s">
        <v>1773</v>
      </c>
      <c r="W4" s="3382"/>
      <c r="X4" s="1265"/>
      <c r="Y4" s="3357" t="s">
        <v>1775</v>
      </c>
      <c r="Z4" s="3358"/>
      <c r="AA4" s="3352" t="s">
        <v>1771</v>
      </c>
      <c r="AB4" s="3353" t="s">
        <v>1772</v>
      </c>
      <c r="AC4" s="3352" t="s">
        <v>1773</v>
      </c>
    </row>
    <row r="5" spans="1:29" ht="15">
      <c r="A5" s="348"/>
      <c r="B5" s="349"/>
      <c r="C5" s="3424" t="s">
        <v>1673</v>
      </c>
      <c r="D5" s="3364"/>
      <c r="E5" s="3423" t="s">
        <v>1674</v>
      </c>
      <c r="F5" s="3362"/>
      <c r="G5" s="3424" t="s">
        <v>1675</v>
      </c>
      <c r="H5" s="3364"/>
      <c r="I5" s="3424" t="s">
        <v>1676</v>
      </c>
      <c r="J5" s="3364"/>
      <c r="K5" s="537"/>
      <c r="L5" s="2486"/>
      <c r="M5" s="2487"/>
      <c r="N5" s="2487"/>
      <c r="O5" s="2487"/>
      <c r="P5" s="3376"/>
      <c r="Q5" s="3377"/>
      <c r="R5" s="3359"/>
      <c r="S5" s="3360"/>
      <c r="T5" s="3359"/>
      <c r="U5" s="3360"/>
      <c r="V5" s="3382"/>
      <c r="W5" s="3382"/>
      <c r="X5" s="1265"/>
      <c r="Y5" s="3359"/>
      <c r="Z5" s="3360"/>
      <c r="AA5" s="3353"/>
      <c r="AB5" s="3353"/>
      <c r="AC5" s="3353"/>
    </row>
    <row r="6" spans="1:29" ht="15.75" thickBot="1">
      <c r="A6" s="350"/>
      <c r="B6" s="351"/>
      <c r="C6" s="3365" t="s">
        <v>1677</v>
      </c>
      <c r="D6" s="3366"/>
      <c r="E6" s="3367" t="s">
        <v>1677</v>
      </c>
      <c r="F6" s="3368"/>
      <c r="G6" s="3365" t="s">
        <v>1677</v>
      </c>
      <c r="H6" s="3366"/>
      <c r="I6" s="3365" t="s">
        <v>1677</v>
      </c>
      <c r="J6" s="3366"/>
      <c r="K6" s="537" t="s">
        <v>1678</v>
      </c>
      <c r="L6" s="2486"/>
      <c r="M6" s="2487"/>
      <c r="N6" s="2487"/>
      <c r="O6" s="2487"/>
      <c r="P6" s="3378"/>
      <c r="Q6" s="3379"/>
      <c r="R6" s="3359"/>
      <c r="S6" s="3360"/>
      <c r="T6" s="3380"/>
      <c r="U6" s="3381"/>
      <c r="V6" s="3382"/>
      <c r="W6" s="3382"/>
      <c r="X6" s="1265"/>
      <c r="Y6" s="3380"/>
      <c r="Z6" s="3381"/>
      <c r="AA6" s="3354"/>
      <c r="AB6" s="3354"/>
      <c r="AC6" s="3354"/>
    </row>
    <row r="7" spans="1:29" s="102" customFormat="1" ht="15.75" thickBot="1">
      <c r="A7" s="352" t="s">
        <v>1679</v>
      </c>
      <c r="B7" s="353"/>
      <c r="C7" s="354">
        <f>'数据-取费表'!B2</f>
        <v>39801</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55" t="s">
        <v>1680</v>
      </c>
      <c r="Q7" s="3383"/>
      <c r="R7" s="664" t="s">
        <v>14</v>
      </c>
      <c r="S7" s="665">
        <f t="shared" ref="S7:S14" si="0">F7</f>
        <v>0</v>
      </c>
      <c r="T7" s="664" t="s">
        <v>14</v>
      </c>
      <c r="U7" s="665">
        <f t="shared" ref="U7:U14" si="1">H7</f>
        <v>0</v>
      </c>
      <c r="V7" s="664" t="s">
        <v>14</v>
      </c>
      <c r="W7" s="665">
        <f t="shared" ref="W7:W14" si="2">J7</f>
        <v>0</v>
      </c>
      <c r="X7" s="666"/>
      <c r="Y7" s="3355" t="s">
        <v>1680</v>
      </c>
      <c r="Z7" s="335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55" t="s">
        <v>1683</v>
      </c>
      <c r="Q8" s="3356"/>
      <c r="R8" s="664" t="s">
        <v>14</v>
      </c>
      <c r="S8" s="665">
        <f t="shared" si="0"/>
        <v>100</v>
      </c>
      <c r="T8" s="664" t="s">
        <v>14</v>
      </c>
      <c r="U8" s="665">
        <f t="shared" si="1"/>
        <v>100</v>
      </c>
      <c r="V8" s="664" t="s">
        <v>14</v>
      </c>
      <c r="W8" s="665">
        <f t="shared" si="2"/>
        <v>100</v>
      </c>
      <c r="X8" s="666"/>
      <c r="Y8" s="3355" t="s">
        <v>1683</v>
      </c>
      <c r="Z8" s="335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7"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7"/>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7"/>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7"/>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9"/>
      <c r="Q15" s="1263"/>
      <c r="R15" s="667"/>
      <c r="S15" s="668"/>
      <c r="T15" s="667"/>
      <c r="U15" s="668"/>
      <c r="V15" s="667"/>
      <c r="W15" s="668"/>
      <c r="X15" s="1265"/>
      <c r="Y15" s="338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9"/>
      <c r="Q17" s="1263"/>
      <c r="R17" s="667"/>
      <c r="S17" s="668"/>
      <c r="T17" s="667"/>
      <c r="U17" s="668"/>
      <c r="V17" s="667"/>
      <c r="W17" s="668"/>
      <c r="X17" s="1265"/>
      <c r="Y17" s="338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9"/>
      <c r="Q19" s="1263"/>
      <c r="R19" s="667"/>
      <c r="S19" s="668"/>
      <c r="T19" s="667"/>
      <c r="U19" s="668"/>
      <c r="V19" s="667"/>
      <c r="W19" s="668"/>
      <c r="X19" s="1265"/>
      <c r="Y19" s="338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9"/>
      <c r="Q21" s="1263"/>
      <c r="R21" s="667"/>
      <c r="S21" s="668"/>
      <c r="T21" s="667"/>
      <c r="U21" s="668"/>
      <c r="V21" s="667"/>
      <c r="W21" s="668"/>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3"/>
      <c r="Q28" s="1263" t="str">
        <f t="shared" si="11"/>
        <v>物业等级</v>
      </c>
      <c r="R28" s="667" t="s">
        <v>14</v>
      </c>
      <c r="S28" s="668">
        <f t="shared" si="12"/>
        <v>100</v>
      </c>
      <c r="T28" s="667" t="s">
        <v>14</v>
      </c>
      <c r="U28" s="668">
        <f t="shared" si="13"/>
        <v>100</v>
      </c>
      <c r="V28" s="667" t="s">
        <v>14</v>
      </c>
      <c r="W28" s="668">
        <f t="shared" si="14"/>
        <v>100</v>
      </c>
      <c r="X28" s="1265"/>
      <c r="Y28" s="339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3"/>
      <c r="Q29" s="1263" t="str">
        <f t="shared" si="11"/>
        <v>有无电梯</v>
      </c>
      <c r="R29" s="667" t="s">
        <v>14</v>
      </c>
      <c r="S29" s="668">
        <f t="shared" si="12"/>
        <v>100</v>
      </c>
      <c r="T29" s="667" t="s">
        <v>14</v>
      </c>
      <c r="U29" s="668">
        <f t="shared" si="13"/>
        <v>100</v>
      </c>
      <c r="V29" s="667" t="s">
        <v>14</v>
      </c>
      <c r="W29" s="668">
        <f t="shared" si="14"/>
        <v>100</v>
      </c>
      <c r="X29" s="1265"/>
      <c r="Y29" s="339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3"/>
      <c r="Q30" s="1263" t="str">
        <f t="shared" si="11"/>
        <v>建筑面积</v>
      </c>
      <c r="R30" s="667" t="s">
        <v>14</v>
      </c>
      <c r="S30" s="668" t="e">
        <f t="shared" si="12"/>
        <v>#N/A</v>
      </c>
      <c r="T30" s="667" t="s">
        <v>14</v>
      </c>
      <c r="U30" s="668" t="e">
        <f t="shared" si="13"/>
        <v>#N/A</v>
      </c>
      <c r="V30" s="667" t="s">
        <v>14</v>
      </c>
      <c r="W30" s="668"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3" t="s">
        <v>1696</v>
      </c>
      <c r="Q32" s="1263">
        <f t="shared" si="11"/>
        <v>111</v>
      </c>
      <c r="R32" s="667" t="s">
        <v>14</v>
      </c>
      <c r="S32" s="668">
        <f t="shared" si="12"/>
        <v>100</v>
      </c>
      <c r="T32" s="667" t="s">
        <v>14</v>
      </c>
      <c r="U32" s="668">
        <f t="shared" si="13"/>
        <v>100</v>
      </c>
      <c r="V32" s="667" t="s">
        <v>14</v>
      </c>
      <c r="W32" s="668">
        <f t="shared" si="14"/>
        <v>100</v>
      </c>
      <c r="X32" s="1265"/>
      <c r="Y32" s="339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3"/>
      <c r="Q33" s="1263">
        <f t="shared" si="11"/>
        <v>111</v>
      </c>
      <c r="R33" s="667" t="s">
        <v>14</v>
      </c>
      <c r="S33" s="668">
        <f t="shared" si="12"/>
        <v>100</v>
      </c>
      <c r="T33" s="667" t="s">
        <v>14</v>
      </c>
      <c r="U33" s="668">
        <f t="shared" si="13"/>
        <v>100</v>
      </c>
      <c r="V33" s="667" t="s">
        <v>14</v>
      </c>
      <c r="W33" s="668">
        <f t="shared" si="14"/>
        <v>100</v>
      </c>
      <c r="X33" s="1265"/>
      <c r="Y33" s="339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7" t="str">
        <f>A35</f>
        <v>成交单价（元/平方米）</v>
      </c>
      <c r="Q35" s="3387"/>
      <c r="R35" s="3382">
        <f>E35</f>
        <v>0</v>
      </c>
      <c r="S35" s="3382"/>
      <c r="T35" s="3382">
        <f>G35</f>
        <v>0</v>
      </c>
      <c r="U35" s="3382"/>
      <c r="V35" s="3382">
        <f>I35</f>
        <v>0</v>
      </c>
      <c r="W35" s="338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7" t="str">
        <f>A36</f>
        <v>比较价值（元/平方米）</v>
      </c>
      <c r="Q36" s="3387"/>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4" t="str">
        <f>A37</f>
        <v>估价对象XX用房的比较价值（楼面单价，元/平方米）</v>
      </c>
      <c r="Q37" s="3385"/>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2008-12</v>
      </c>
      <c r="D46" s="1104">
        <f>EDATE(C46,-1)</f>
        <v>39753</v>
      </c>
      <c r="E46" s="1104">
        <f t="shared" ref="E46:O46" si="16">EDATE(D46,-1)</f>
        <v>39722</v>
      </c>
      <c r="F46" s="1104">
        <f t="shared" si="16"/>
        <v>39692</v>
      </c>
      <c r="G46" s="1104">
        <f t="shared" si="16"/>
        <v>39661</v>
      </c>
      <c r="H46" s="1104">
        <f t="shared" si="16"/>
        <v>39630</v>
      </c>
      <c r="I46" s="1104">
        <f t="shared" si="16"/>
        <v>39600</v>
      </c>
      <c r="J46" s="1104">
        <f t="shared" si="16"/>
        <v>39569</v>
      </c>
      <c r="K46" s="1104">
        <f t="shared" si="16"/>
        <v>39539</v>
      </c>
      <c r="L46" s="1104">
        <f t="shared" si="16"/>
        <v>39508</v>
      </c>
      <c r="M46" s="1104">
        <f t="shared" si="16"/>
        <v>39479</v>
      </c>
      <c r="N46" s="1104">
        <f t="shared" si="16"/>
        <v>39448</v>
      </c>
      <c r="O46" s="1104">
        <f t="shared" si="16"/>
        <v>39417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57" t="s">
        <v>1771</v>
      </c>
      <c r="S4" s="3358"/>
      <c r="T4" s="3357" t="s">
        <v>1772</v>
      </c>
      <c r="U4" s="3358"/>
      <c r="V4" s="3382" t="s">
        <v>1773</v>
      </c>
      <c r="W4" s="3382"/>
      <c r="X4" s="1265"/>
      <c r="Y4" s="3357" t="s">
        <v>1775</v>
      </c>
      <c r="Z4" s="3358"/>
      <c r="AA4" s="3352" t="s">
        <v>1771</v>
      </c>
      <c r="AB4" s="3353" t="s">
        <v>1772</v>
      </c>
      <c r="AC4" s="3352" t="s">
        <v>1773</v>
      </c>
    </row>
    <row r="5" spans="1:29" ht="15">
      <c r="A5" s="348"/>
      <c r="B5" s="349"/>
      <c r="C5" s="3424" t="s">
        <v>1673</v>
      </c>
      <c r="D5" s="3364"/>
      <c r="E5" s="3423" t="s">
        <v>1674</v>
      </c>
      <c r="F5" s="3362"/>
      <c r="G5" s="3424" t="s">
        <v>1675</v>
      </c>
      <c r="H5" s="3364"/>
      <c r="I5" s="3424" t="s">
        <v>1676</v>
      </c>
      <c r="J5" s="3364"/>
      <c r="K5" s="537"/>
      <c r="L5" s="2486"/>
      <c r="M5" s="2487"/>
      <c r="N5" s="2487"/>
      <c r="O5" s="2487"/>
      <c r="P5" s="3376"/>
      <c r="Q5" s="3377"/>
      <c r="R5" s="3359"/>
      <c r="S5" s="3360"/>
      <c r="T5" s="3359"/>
      <c r="U5" s="3360"/>
      <c r="V5" s="3382"/>
      <c r="W5" s="3382"/>
      <c r="X5" s="1265"/>
      <c r="Y5" s="3359"/>
      <c r="Z5" s="3360"/>
      <c r="AA5" s="3353"/>
      <c r="AB5" s="3353"/>
      <c r="AC5" s="3353"/>
    </row>
    <row r="6" spans="1:29" ht="15.75" thickBot="1">
      <c r="A6" s="350"/>
      <c r="B6" s="351"/>
      <c r="C6" s="3365" t="s">
        <v>1677</v>
      </c>
      <c r="D6" s="3366"/>
      <c r="E6" s="3367" t="s">
        <v>1677</v>
      </c>
      <c r="F6" s="3368"/>
      <c r="G6" s="3365" t="s">
        <v>1677</v>
      </c>
      <c r="H6" s="3366"/>
      <c r="I6" s="3365" t="s">
        <v>1677</v>
      </c>
      <c r="J6" s="3366"/>
      <c r="K6" s="537" t="s">
        <v>1678</v>
      </c>
      <c r="L6" s="2486"/>
      <c r="M6" s="2487"/>
      <c r="N6" s="2487"/>
      <c r="O6" s="2487"/>
      <c r="P6" s="3378"/>
      <c r="Q6" s="3379"/>
      <c r="R6" s="3359"/>
      <c r="S6" s="3360"/>
      <c r="T6" s="3380"/>
      <c r="U6" s="3381"/>
      <c r="V6" s="3382"/>
      <c r="W6" s="3382"/>
      <c r="X6" s="1265"/>
      <c r="Y6" s="3380"/>
      <c r="Z6" s="3381"/>
      <c r="AA6" s="3354"/>
      <c r="AB6" s="3354"/>
      <c r="AC6" s="3354"/>
    </row>
    <row r="7" spans="1:29" s="102" customFormat="1" ht="15.75" thickBot="1">
      <c r="A7" s="352" t="s">
        <v>1679</v>
      </c>
      <c r="B7" s="353"/>
      <c r="C7" s="354">
        <f>'数据-取费表'!B2</f>
        <v>39801</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55" t="s">
        <v>1680</v>
      </c>
      <c r="Q7" s="3383"/>
      <c r="R7" s="664" t="s">
        <v>14</v>
      </c>
      <c r="S7" s="665">
        <f t="shared" ref="S7:S15" si="0">F7</f>
        <v>0</v>
      </c>
      <c r="T7" s="664" t="s">
        <v>14</v>
      </c>
      <c r="U7" s="665">
        <f t="shared" ref="U7:U15" si="1">H7</f>
        <v>0</v>
      </c>
      <c r="V7" s="664" t="s">
        <v>14</v>
      </c>
      <c r="W7" s="665">
        <f t="shared" ref="W7:W15" si="2">J7</f>
        <v>0</v>
      </c>
      <c r="X7" s="666"/>
      <c r="Y7" s="3355" t="s">
        <v>1680</v>
      </c>
      <c r="Z7" s="335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55" t="s">
        <v>1683</v>
      </c>
      <c r="Q8" s="3356"/>
      <c r="R8" s="664" t="s">
        <v>14</v>
      </c>
      <c r="S8" s="665">
        <f t="shared" si="0"/>
        <v>0</v>
      </c>
      <c r="T8" s="664" t="s">
        <v>14</v>
      </c>
      <c r="U8" s="665">
        <f t="shared" si="1"/>
        <v>0</v>
      </c>
      <c r="V8" s="664" t="s">
        <v>14</v>
      </c>
      <c r="W8" s="665">
        <f t="shared" si="2"/>
        <v>0</v>
      </c>
      <c r="X8" s="666"/>
      <c r="Y8" s="3355" t="s">
        <v>1683</v>
      </c>
      <c r="Z8" s="335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7"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7"/>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7"/>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8"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9"/>
      <c r="Q16" s="1263"/>
      <c r="R16" s="667"/>
      <c r="S16" s="668"/>
      <c r="T16" s="667"/>
      <c r="U16" s="668"/>
      <c r="V16" s="667"/>
      <c r="W16" s="668"/>
      <c r="X16" s="1265"/>
      <c r="Y16" s="338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9"/>
      <c r="Q18" s="1263"/>
      <c r="R18" s="667"/>
      <c r="S18" s="668"/>
      <c r="T18" s="667"/>
      <c r="U18" s="668"/>
      <c r="V18" s="667"/>
      <c r="W18" s="668"/>
      <c r="X18" s="1265"/>
      <c r="Y18" s="338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9"/>
      <c r="Q20" s="1263"/>
      <c r="R20" s="667"/>
      <c r="S20" s="668"/>
      <c r="T20" s="667"/>
      <c r="U20" s="668"/>
      <c r="V20" s="667"/>
      <c r="W20" s="668"/>
      <c r="X20" s="1265"/>
      <c r="Y20" s="338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9"/>
      <c r="Q22" s="1263"/>
      <c r="R22" s="667"/>
      <c r="S22" s="668"/>
      <c r="T22" s="667"/>
      <c r="U22" s="668"/>
      <c r="V22" s="667"/>
      <c r="W22" s="668"/>
      <c r="X22" s="1265"/>
      <c r="Y22" s="338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9"/>
      <c r="Q24" s="1263"/>
      <c r="R24" s="667"/>
      <c r="S24" s="668"/>
      <c r="T24" s="667"/>
      <c r="U24" s="668"/>
      <c r="V24" s="667"/>
      <c r="W24" s="668"/>
      <c r="X24" s="1265"/>
      <c r="Y24" s="338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9"/>
      <c r="Q26" s="1263"/>
      <c r="R26" s="667"/>
      <c r="S26" s="668"/>
      <c r="T26" s="667"/>
      <c r="U26" s="668"/>
      <c r="V26" s="667"/>
      <c r="W26" s="668"/>
      <c r="X26" s="1265"/>
      <c r="Y26" s="338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9"/>
      <c r="Q28" s="530"/>
      <c r="R28" s="664"/>
      <c r="S28" s="665"/>
      <c r="T28" s="664"/>
      <c r="U28" s="665"/>
      <c r="V28" s="664"/>
      <c r="W28" s="665"/>
      <c r="X28" s="666"/>
      <c r="Y28" s="338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9"/>
      <c r="Q30" s="530"/>
      <c r="R30" s="664"/>
      <c r="S30" s="665"/>
      <c r="T30" s="664"/>
      <c r="U30" s="665"/>
      <c r="V30" s="664"/>
      <c r="W30" s="665"/>
      <c r="X30" s="666"/>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9"/>
      <c r="Q33" s="1263"/>
      <c r="R33" s="667"/>
      <c r="S33" s="668"/>
      <c r="T33" s="667"/>
      <c r="U33" s="668"/>
      <c r="V33" s="667"/>
      <c r="W33" s="668"/>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0" t="s">
        <v>1696</v>
      </c>
      <c r="Q36" s="1263">
        <f t="shared" si="8"/>
        <v>111</v>
      </c>
      <c r="R36" s="667" t="s">
        <v>14</v>
      </c>
      <c r="S36" s="668">
        <f t="shared" si="10"/>
        <v>100</v>
      </c>
      <c r="T36" s="667" t="s">
        <v>14</v>
      </c>
      <c r="U36" s="668">
        <f t="shared" si="11"/>
        <v>100</v>
      </c>
      <c r="V36" s="667" t="s">
        <v>14</v>
      </c>
      <c r="W36" s="668">
        <f t="shared" si="12"/>
        <v>100</v>
      </c>
      <c r="X36" s="1265"/>
      <c r="Y36" s="339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3"/>
      <c r="Q37" s="1263">
        <f t="shared" si="8"/>
        <v>111</v>
      </c>
      <c r="R37" s="669" t="s">
        <v>14</v>
      </c>
      <c r="S37" s="670">
        <f t="shared" si="10"/>
        <v>100</v>
      </c>
      <c r="T37" s="669" t="s">
        <v>14</v>
      </c>
      <c r="U37" s="670">
        <f t="shared" si="11"/>
        <v>100</v>
      </c>
      <c r="V37" s="669" t="s">
        <v>14</v>
      </c>
      <c r="W37" s="670">
        <f t="shared" si="12"/>
        <v>100</v>
      </c>
      <c r="X37" s="671"/>
      <c r="Y37" s="339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3"/>
      <c r="Q38" s="1263" t="str">
        <f>B38</f>
        <v>宗地面积</v>
      </c>
      <c r="R38" s="667" t="s">
        <v>14</v>
      </c>
      <c r="S38" s="668" t="e">
        <f t="shared" si="10"/>
        <v>#N/A</v>
      </c>
      <c r="T38" s="667" t="s">
        <v>14</v>
      </c>
      <c r="U38" s="668" t="e">
        <f t="shared" si="11"/>
        <v>#N/A</v>
      </c>
      <c r="V38" s="667" t="s">
        <v>14</v>
      </c>
      <c r="W38" s="668" t="e">
        <f t="shared" si="12"/>
        <v>#N/A</v>
      </c>
      <c r="X38" s="1265"/>
      <c r="Y38" s="339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3"/>
      <c r="Q39" s="1263" t="str">
        <f t="shared" ref="Q39:Q45" si="14">B39</f>
        <v>宗地形状</v>
      </c>
      <c r="R39" s="667" t="s">
        <v>14</v>
      </c>
      <c r="S39" s="668">
        <f t="shared" si="10"/>
        <v>100</v>
      </c>
      <c r="T39" s="667" t="s">
        <v>14</v>
      </c>
      <c r="U39" s="668">
        <f t="shared" si="11"/>
        <v>100</v>
      </c>
      <c r="V39" s="667" t="s">
        <v>14</v>
      </c>
      <c r="W39" s="668">
        <f t="shared" si="12"/>
        <v>100</v>
      </c>
      <c r="X39" s="1265"/>
      <c r="Y39" s="339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3"/>
      <c r="Q40" s="1263" t="str">
        <f t="shared" si="14"/>
        <v>临街宽度及深度</v>
      </c>
      <c r="R40" s="667" t="s">
        <v>14</v>
      </c>
      <c r="S40" s="668">
        <f t="shared" si="10"/>
        <v>100</v>
      </c>
      <c r="T40" s="667" t="s">
        <v>14</v>
      </c>
      <c r="U40" s="668">
        <f t="shared" si="11"/>
        <v>100</v>
      </c>
      <c r="V40" s="667" t="s">
        <v>14</v>
      </c>
      <c r="W40" s="668">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93"/>
      <c r="Q41" s="1263"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3" t="s">
        <v>1696</v>
      </c>
      <c r="Q42" s="1263" t="str">
        <f t="shared" si="14"/>
        <v>工程地质条件</v>
      </c>
      <c r="R42" s="667" t="s">
        <v>14</v>
      </c>
      <c r="S42" s="668">
        <f t="shared" si="10"/>
        <v>100</v>
      </c>
      <c r="T42" s="667" t="s">
        <v>14</v>
      </c>
      <c r="U42" s="668">
        <f t="shared" si="11"/>
        <v>100</v>
      </c>
      <c r="V42" s="667" t="s">
        <v>14</v>
      </c>
      <c r="W42" s="668">
        <f t="shared" si="12"/>
        <v>100</v>
      </c>
      <c r="X42" s="1265"/>
      <c r="Y42" s="339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3"/>
      <c r="Q43" s="1263">
        <f t="shared" si="14"/>
        <v>111</v>
      </c>
      <c r="R43" s="667" t="s">
        <v>14</v>
      </c>
      <c r="S43" s="668">
        <f t="shared" si="10"/>
        <v>100</v>
      </c>
      <c r="T43" s="667" t="s">
        <v>14</v>
      </c>
      <c r="U43" s="668">
        <f t="shared" si="11"/>
        <v>100</v>
      </c>
      <c r="V43" s="667" t="s">
        <v>14</v>
      </c>
      <c r="W43" s="668">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3"/>
      <c r="Q44" s="1263">
        <f t="shared" si="14"/>
        <v>111</v>
      </c>
      <c r="R44" s="667" t="s">
        <v>14</v>
      </c>
      <c r="S44" s="668">
        <f t="shared" si="10"/>
        <v>100</v>
      </c>
      <c r="T44" s="667" t="s">
        <v>14</v>
      </c>
      <c r="U44" s="668">
        <f t="shared" si="11"/>
        <v>100</v>
      </c>
      <c r="V44" s="667" t="s">
        <v>14</v>
      </c>
      <c r="W44" s="668">
        <f t="shared" si="12"/>
        <v>100</v>
      </c>
      <c r="X44" s="1265"/>
      <c r="Y44" s="339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3"/>
      <c r="Q45" s="1263">
        <f t="shared" si="14"/>
        <v>111</v>
      </c>
      <c r="R45" s="669" t="s">
        <v>14</v>
      </c>
      <c r="S45" s="670">
        <f t="shared" si="10"/>
        <v>100</v>
      </c>
      <c r="T45" s="669" t="s">
        <v>14</v>
      </c>
      <c r="U45" s="670">
        <f t="shared" si="11"/>
        <v>100</v>
      </c>
      <c r="V45" s="669" t="s">
        <v>14</v>
      </c>
      <c r="W45" s="670">
        <f t="shared" si="12"/>
        <v>100</v>
      </c>
      <c r="X45" s="671"/>
      <c r="Y45" s="339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87" t="str">
        <f>A46</f>
        <v>成交单价</v>
      </c>
      <c r="Q46" s="3387"/>
      <c r="R46" s="3382">
        <f>E46</f>
        <v>0</v>
      </c>
      <c r="S46" s="3382"/>
      <c r="T46" s="3382">
        <f>G46</f>
        <v>0</v>
      </c>
      <c r="U46" s="3382"/>
      <c r="V46" s="3382">
        <f>I46</f>
        <v>0</v>
      </c>
      <c r="W46" s="338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7" t="str">
        <f>A47</f>
        <v>比较价值（元/平方米）</v>
      </c>
      <c r="Q47" s="3387"/>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4" t="str">
        <f>A48</f>
        <v>估价对象XX用房的比较价值（楼面单价，元/平方米）</v>
      </c>
      <c r="Q48" s="3385"/>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70" t="s">
        <v>1887</v>
      </c>
      <c r="H55" s="3444"/>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91.09</v>
      </c>
      <c r="F56" s="833" t="e">
        <f t="shared" ref="F56:F64" si="15">ROUND(B56*E56/10000,0)</f>
        <v>#DIV/0!</v>
      </c>
      <c r="G56" s="3369"/>
      <c r="H56" s="338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91.09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2008-12-1</v>
      </c>
      <c r="D67" s="656">
        <f>EDATE(C67,-3)</f>
        <v>39692</v>
      </c>
      <c r="E67" s="656">
        <f>EDATE(D67,-3)</f>
        <v>39600</v>
      </c>
      <c r="F67" s="656">
        <f t="shared" ref="F67:O67" si="18">EDATE(E67,-3)</f>
        <v>39508</v>
      </c>
      <c r="G67" s="656">
        <f t="shared" si="18"/>
        <v>39417</v>
      </c>
      <c r="H67" s="656">
        <f t="shared" si="18"/>
        <v>39326</v>
      </c>
      <c r="I67" s="656">
        <f t="shared" si="18"/>
        <v>39234</v>
      </c>
      <c r="J67" s="656">
        <f t="shared" si="18"/>
        <v>39142</v>
      </c>
      <c r="K67" s="656">
        <f t="shared" si="18"/>
        <v>39052</v>
      </c>
      <c r="L67" s="656">
        <f t="shared" si="18"/>
        <v>38961</v>
      </c>
      <c r="M67" s="656">
        <f t="shared" si="18"/>
        <v>38869</v>
      </c>
      <c r="N67" s="656">
        <f t="shared" si="18"/>
        <v>38777</v>
      </c>
      <c r="O67" s="656">
        <f t="shared" si="18"/>
        <v>38687</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2008-4</v>
      </c>
      <c r="D69" s="1101" t="str">
        <f>YEAR(D67)&amp;"-"&amp;ROUNDUP(MONTH(D67)/3,0)</f>
        <v>2008-3</v>
      </c>
      <c r="E69" s="1101" t="str">
        <f t="shared" ref="E69:O69" si="19">YEAR(E67)&amp;"-"&amp;ROUNDUP(MONTH(E67)/3,0)</f>
        <v>2008-2</v>
      </c>
      <c r="F69" s="1101" t="str">
        <f t="shared" si="19"/>
        <v>2008-1</v>
      </c>
      <c r="G69" s="1101" t="str">
        <f t="shared" si="19"/>
        <v>2007-4</v>
      </c>
      <c r="H69" s="1101" t="str">
        <f t="shared" si="19"/>
        <v>2007-3</v>
      </c>
      <c r="I69" s="1101" t="str">
        <f t="shared" si="19"/>
        <v>2007-2</v>
      </c>
      <c r="J69" s="1101" t="str">
        <f t="shared" si="19"/>
        <v>2007-1</v>
      </c>
      <c r="K69" s="1101" t="str">
        <f t="shared" si="19"/>
        <v>2006-4</v>
      </c>
      <c r="L69" s="1101" t="str">
        <f t="shared" si="19"/>
        <v>2006-3</v>
      </c>
      <c r="M69" s="1101" t="str">
        <f t="shared" si="19"/>
        <v>2006-2</v>
      </c>
      <c r="N69" s="1101" t="str">
        <f t="shared" si="19"/>
        <v>2006-1</v>
      </c>
      <c r="O69" s="1101" t="str">
        <f t="shared" si="19"/>
        <v>2005-4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57" t="s">
        <v>1771</v>
      </c>
      <c r="S4" s="3358"/>
      <c r="T4" s="3357" t="s">
        <v>1772</v>
      </c>
      <c r="U4" s="3358"/>
      <c r="V4" s="3382" t="s">
        <v>1773</v>
      </c>
      <c r="W4" s="3382"/>
      <c r="X4" s="1265"/>
      <c r="Y4" s="3357" t="s">
        <v>1775</v>
      </c>
      <c r="Z4" s="3358"/>
      <c r="AA4" s="3352" t="s">
        <v>1771</v>
      </c>
      <c r="AB4" s="3353" t="s">
        <v>1772</v>
      </c>
      <c r="AC4" s="3352" t="s">
        <v>1773</v>
      </c>
    </row>
    <row r="5" spans="1:29" ht="15">
      <c r="A5" s="348"/>
      <c r="B5" s="349"/>
      <c r="C5" s="3424" t="s">
        <v>1673</v>
      </c>
      <c r="D5" s="3364"/>
      <c r="E5" s="3423" t="s">
        <v>1674</v>
      </c>
      <c r="F5" s="3362"/>
      <c r="G5" s="3424" t="s">
        <v>1675</v>
      </c>
      <c r="H5" s="3364"/>
      <c r="I5" s="3424" t="s">
        <v>1676</v>
      </c>
      <c r="J5" s="3364"/>
      <c r="K5" s="537"/>
      <c r="L5" s="2486"/>
      <c r="M5" s="2487"/>
      <c r="N5" s="2487"/>
      <c r="O5" s="2487"/>
      <c r="P5" s="3376"/>
      <c r="Q5" s="3377"/>
      <c r="R5" s="3359"/>
      <c r="S5" s="3360"/>
      <c r="T5" s="3359"/>
      <c r="U5" s="3360"/>
      <c r="V5" s="3382"/>
      <c r="W5" s="3382"/>
      <c r="X5" s="1265"/>
      <c r="Y5" s="3359"/>
      <c r="Z5" s="3360"/>
      <c r="AA5" s="3353"/>
      <c r="AB5" s="3353"/>
      <c r="AC5" s="3353"/>
    </row>
    <row r="6" spans="1:29" ht="15.75" thickBot="1">
      <c r="A6" s="350"/>
      <c r="B6" s="351"/>
      <c r="C6" s="3445" t="s">
        <v>1919</v>
      </c>
      <c r="D6" s="3446"/>
      <c r="E6" s="3447" t="s">
        <v>1919</v>
      </c>
      <c r="F6" s="3448"/>
      <c r="G6" s="3445" t="s">
        <v>1919</v>
      </c>
      <c r="H6" s="3446"/>
      <c r="I6" s="3445" t="s">
        <v>1919</v>
      </c>
      <c r="J6" s="3446"/>
      <c r="K6" s="537" t="s">
        <v>1678</v>
      </c>
      <c r="L6" s="2486"/>
      <c r="M6" s="2487"/>
      <c r="N6" s="2487"/>
      <c r="O6" s="2487"/>
      <c r="P6" s="3378"/>
      <c r="Q6" s="3379"/>
      <c r="R6" s="3359"/>
      <c r="S6" s="3360"/>
      <c r="T6" s="3380"/>
      <c r="U6" s="3381"/>
      <c r="V6" s="3382"/>
      <c r="W6" s="3382"/>
      <c r="X6" s="1265"/>
      <c r="Y6" s="3380"/>
      <c r="Z6" s="3381"/>
      <c r="AA6" s="3354"/>
      <c r="AB6" s="3354"/>
      <c r="AC6" s="3354"/>
    </row>
    <row r="7" spans="1:29" s="102" customFormat="1" ht="15.75" thickBot="1">
      <c r="A7" s="352" t="s">
        <v>1679</v>
      </c>
      <c r="B7" s="353"/>
      <c r="C7" s="354">
        <f>'数据-取费表'!B2</f>
        <v>39801</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55" t="s">
        <v>1680</v>
      </c>
      <c r="Q7" s="3383"/>
      <c r="R7" s="664" t="s">
        <v>14</v>
      </c>
      <c r="S7" s="665">
        <f t="shared" ref="S7:S15" si="0">F7</f>
        <v>0</v>
      </c>
      <c r="T7" s="664" t="s">
        <v>14</v>
      </c>
      <c r="U7" s="665">
        <f t="shared" ref="U7:U15" si="1">H7</f>
        <v>0</v>
      </c>
      <c r="V7" s="664" t="s">
        <v>14</v>
      </c>
      <c r="W7" s="665">
        <f t="shared" ref="W7:W15" si="2">J7</f>
        <v>0</v>
      </c>
      <c r="X7" s="666"/>
      <c r="Y7" s="3355" t="s">
        <v>1680</v>
      </c>
      <c r="Z7" s="335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55" t="s">
        <v>1683</v>
      </c>
      <c r="Q8" s="3356"/>
      <c r="R8" s="664" t="s">
        <v>14</v>
      </c>
      <c r="S8" s="665">
        <f t="shared" si="0"/>
        <v>0</v>
      </c>
      <c r="T8" s="664" t="s">
        <v>14</v>
      </c>
      <c r="U8" s="665">
        <f t="shared" si="1"/>
        <v>0</v>
      </c>
      <c r="V8" s="664" t="s">
        <v>14</v>
      </c>
      <c r="W8" s="665">
        <f t="shared" si="2"/>
        <v>0</v>
      </c>
      <c r="X8" s="666"/>
      <c r="Y8" s="3355" t="s">
        <v>1683</v>
      </c>
      <c r="Z8" s="335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7"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7"/>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7"/>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9"/>
      <c r="Q16" s="1263"/>
      <c r="R16" s="667"/>
      <c r="S16" s="668"/>
      <c r="T16" s="667"/>
      <c r="U16" s="668"/>
      <c r="V16" s="667"/>
      <c r="W16" s="668"/>
      <c r="X16" s="1265"/>
      <c r="Y16" s="338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9"/>
      <c r="Q18" s="1263"/>
      <c r="R18" s="667"/>
      <c r="S18" s="668"/>
      <c r="T18" s="667"/>
      <c r="U18" s="668"/>
      <c r="V18" s="667"/>
      <c r="W18" s="668"/>
      <c r="X18" s="1265"/>
      <c r="Y18" s="338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9"/>
      <c r="Q20" s="1263"/>
      <c r="R20" s="667"/>
      <c r="S20" s="668"/>
      <c r="T20" s="667"/>
      <c r="U20" s="668"/>
      <c r="V20" s="667"/>
      <c r="W20" s="668"/>
      <c r="X20" s="1265"/>
      <c r="Y20" s="338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9"/>
      <c r="Q22" s="1263"/>
      <c r="R22" s="667"/>
      <c r="S22" s="668"/>
      <c r="T22" s="667"/>
      <c r="U22" s="668"/>
      <c r="V22" s="667"/>
      <c r="W22" s="668"/>
      <c r="X22" s="1265"/>
      <c r="Y22" s="338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9"/>
      <c r="Q29" s="1263"/>
      <c r="R29" s="667"/>
      <c r="S29" s="668"/>
      <c r="T29" s="667"/>
      <c r="U29" s="668"/>
      <c r="V29" s="667"/>
      <c r="W29" s="668"/>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0" t="s">
        <v>1696</v>
      </c>
      <c r="Q32" s="1263">
        <f t="shared" si="8"/>
        <v>111</v>
      </c>
      <c r="R32" s="667" t="s">
        <v>14</v>
      </c>
      <c r="S32" s="668">
        <f t="shared" si="10"/>
        <v>100</v>
      </c>
      <c r="T32" s="667" t="s">
        <v>14</v>
      </c>
      <c r="U32" s="668">
        <f t="shared" si="11"/>
        <v>100</v>
      </c>
      <c r="V32" s="667" t="s">
        <v>14</v>
      </c>
      <c r="W32" s="668">
        <f t="shared" si="12"/>
        <v>100</v>
      </c>
      <c r="X32" s="1265"/>
      <c r="Y32" s="339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3"/>
      <c r="Q33" s="1263">
        <f t="shared" si="8"/>
        <v>111</v>
      </c>
      <c r="R33" s="669" t="s">
        <v>14</v>
      </c>
      <c r="S33" s="670">
        <f t="shared" si="10"/>
        <v>100</v>
      </c>
      <c r="T33" s="669" t="s">
        <v>14</v>
      </c>
      <c r="U33" s="670">
        <f t="shared" si="11"/>
        <v>100</v>
      </c>
      <c r="V33" s="669" t="s">
        <v>14</v>
      </c>
      <c r="W33" s="670">
        <f t="shared" si="12"/>
        <v>100</v>
      </c>
      <c r="X33" s="671"/>
      <c r="Y33" s="339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3"/>
      <c r="Q34" s="1263" t="str">
        <f>B34</f>
        <v>宗地面积</v>
      </c>
      <c r="R34" s="667" t="s">
        <v>14</v>
      </c>
      <c r="S34" s="668" t="e">
        <f t="shared" si="10"/>
        <v>#N/A</v>
      </c>
      <c r="T34" s="667" t="s">
        <v>14</v>
      </c>
      <c r="U34" s="668" t="e">
        <f t="shared" si="11"/>
        <v>#N/A</v>
      </c>
      <c r="V34" s="667" t="s">
        <v>14</v>
      </c>
      <c r="W34" s="668" t="e">
        <f t="shared" si="12"/>
        <v>#N/A</v>
      </c>
      <c r="X34" s="1265"/>
      <c r="Y34" s="339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3"/>
      <c r="Q35" s="1263" t="str">
        <f t="shared" ref="Q35:Q40" si="14">B35</f>
        <v>宗地形状</v>
      </c>
      <c r="R35" s="667" t="s">
        <v>14</v>
      </c>
      <c r="S35" s="668">
        <f t="shared" si="10"/>
        <v>100</v>
      </c>
      <c r="T35" s="667" t="s">
        <v>14</v>
      </c>
      <c r="U35" s="668">
        <f t="shared" si="11"/>
        <v>100</v>
      </c>
      <c r="V35" s="667" t="s">
        <v>14</v>
      </c>
      <c r="W35" s="668">
        <f t="shared" si="12"/>
        <v>100</v>
      </c>
      <c r="X35" s="1265"/>
      <c r="Y35" s="339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93"/>
      <c r="Q36" s="1263"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3" t="s">
        <v>1696</v>
      </c>
      <c r="Q37" s="1263" t="str">
        <f t="shared" si="14"/>
        <v>工程地质条件</v>
      </c>
      <c r="R37" s="667" t="s">
        <v>14</v>
      </c>
      <c r="S37" s="668">
        <f t="shared" si="10"/>
        <v>100</v>
      </c>
      <c r="T37" s="667" t="s">
        <v>14</v>
      </c>
      <c r="U37" s="668">
        <f t="shared" si="11"/>
        <v>100</v>
      </c>
      <c r="V37" s="667" t="s">
        <v>14</v>
      </c>
      <c r="W37" s="668">
        <f t="shared" si="12"/>
        <v>100</v>
      </c>
      <c r="X37" s="1265"/>
      <c r="Y37" s="339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3"/>
      <c r="Q38" s="1263">
        <f t="shared" si="14"/>
        <v>111</v>
      </c>
      <c r="R38" s="667" t="s">
        <v>14</v>
      </c>
      <c r="S38" s="668">
        <f t="shared" si="10"/>
        <v>100</v>
      </c>
      <c r="T38" s="667" t="s">
        <v>14</v>
      </c>
      <c r="U38" s="668">
        <f t="shared" si="11"/>
        <v>100</v>
      </c>
      <c r="V38" s="667" t="s">
        <v>14</v>
      </c>
      <c r="W38" s="668">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3"/>
      <c r="Q39" s="1263">
        <f t="shared" si="14"/>
        <v>111</v>
      </c>
      <c r="R39" s="667" t="s">
        <v>14</v>
      </c>
      <c r="S39" s="668">
        <f t="shared" si="10"/>
        <v>100</v>
      </c>
      <c r="T39" s="667" t="s">
        <v>14</v>
      </c>
      <c r="U39" s="668">
        <f t="shared" si="11"/>
        <v>100</v>
      </c>
      <c r="V39" s="667" t="s">
        <v>14</v>
      </c>
      <c r="W39" s="668">
        <f t="shared" si="12"/>
        <v>100</v>
      </c>
      <c r="X39" s="1265"/>
      <c r="Y39" s="339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3"/>
      <c r="Q40" s="1263">
        <f t="shared" si="14"/>
        <v>111</v>
      </c>
      <c r="R40" s="669" t="s">
        <v>14</v>
      </c>
      <c r="S40" s="670">
        <f t="shared" si="10"/>
        <v>100</v>
      </c>
      <c r="T40" s="669" t="s">
        <v>14</v>
      </c>
      <c r="U40" s="670">
        <f t="shared" si="11"/>
        <v>100</v>
      </c>
      <c r="V40" s="669" t="s">
        <v>14</v>
      </c>
      <c r="W40" s="670">
        <f t="shared" si="12"/>
        <v>100</v>
      </c>
      <c r="X40" s="671"/>
      <c r="Y40" s="339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87" t="str">
        <f>A41</f>
        <v>成交单价</v>
      </c>
      <c r="Q41" s="3387"/>
      <c r="R41" s="3382">
        <f>E41</f>
        <v>0</v>
      </c>
      <c r="S41" s="3382"/>
      <c r="T41" s="3382">
        <f>G41</f>
        <v>0</v>
      </c>
      <c r="U41" s="3382"/>
      <c r="V41" s="3382">
        <f>I41</f>
        <v>0</v>
      </c>
      <c r="W41" s="338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7" t="str">
        <f>A42</f>
        <v>比较价值（元/平方米）</v>
      </c>
      <c r="Q42" s="3387"/>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4" t="str">
        <f>A43</f>
        <v>估价对象XX用房的比较价值（楼面单价，元/平方米）</v>
      </c>
      <c r="Q43" s="3385"/>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70" t="s">
        <v>1887</v>
      </c>
      <c r="H50" s="3444"/>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91.09</v>
      </c>
      <c r="F51" s="611" t="e">
        <f t="shared" ref="F51:F60" si="15">ROUND(B51*E51/10000,0)</f>
        <v>#DIV/0!</v>
      </c>
      <c r="G51" s="3369"/>
      <c r="H51" s="338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2008-12-1</v>
      </c>
      <c r="D63" s="656">
        <f>EDATE(C63,-3)</f>
        <v>39692</v>
      </c>
      <c r="E63" s="656">
        <f>EDATE(D63,-3)</f>
        <v>39600</v>
      </c>
      <c r="F63" s="656">
        <f t="shared" ref="F63:O63" si="18">EDATE(E63,-3)</f>
        <v>39508</v>
      </c>
      <c r="G63" s="656">
        <f t="shared" si="18"/>
        <v>39417</v>
      </c>
      <c r="H63" s="656">
        <f t="shared" si="18"/>
        <v>39326</v>
      </c>
      <c r="I63" s="656">
        <f t="shared" si="18"/>
        <v>39234</v>
      </c>
      <c r="J63" s="656">
        <f t="shared" si="18"/>
        <v>39142</v>
      </c>
      <c r="K63" s="656">
        <f t="shared" si="18"/>
        <v>39052</v>
      </c>
      <c r="L63" s="656">
        <f t="shared" si="18"/>
        <v>38961</v>
      </c>
      <c r="M63" s="656">
        <f t="shared" si="18"/>
        <v>38869</v>
      </c>
      <c r="N63" s="656">
        <f t="shared" si="18"/>
        <v>38777</v>
      </c>
      <c r="O63" s="656">
        <f t="shared" si="18"/>
        <v>38687</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2008-4</v>
      </c>
      <c r="D65" s="1101" t="str">
        <f t="shared" ref="D65:O65" si="19">YEAR(D63)&amp;"-"&amp;ROUNDUP(MONTH(D63)/3,0)</f>
        <v>2008-3</v>
      </c>
      <c r="E65" s="1101" t="str">
        <f t="shared" si="19"/>
        <v>2008-2</v>
      </c>
      <c r="F65" s="1101" t="str">
        <f t="shared" si="19"/>
        <v>2008-1</v>
      </c>
      <c r="G65" s="1101" t="str">
        <f t="shared" si="19"/>
        <v>2007-4</v>
      </c>
      <c r="H65" s="1101" t="str">
        <f t="shared" si="19"/>
        <v>2007-3</v>
      </c>
      <c r="I65" s="1101" t="str">
        <f t="shared" si="19"/>
        <v>2007-2</v>
      </c>
      <c r="J65" s="1101" t="str">
        <f t="shared" si="19"/>
        <v>2007-1</v>
      </c>
      <c r="K65" s="1101" t="str">
        <f t="shared" si="19"/>
        <v>2006-4</v>
      </c>
      <c r="L65" s="1101" t="str">
        <f t="shared" si="19"/>
        <v>2006-3</v>
      </c>
      <c r="M65" s="1101" t="str">
        <f t="shared" si="19"/>
        <v>2006-2</v>
      </c>
      <c r="N65" s="1101" t="str">
        <f t="shared" si="19"/>
        <v>2006-1</v>
      </c>
      <c r="O65" s="1101" t="str">
        <f t="shared" si="19"/>
        <v>2005-4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1"/>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66" t="s">
        <v>3256</v>
      </c>
      <c r="B20" s="159" t="s">
        <v>1994</v>
      </c>
      <c r="C20" s="3031" t="e">
        <f>ROUND(IF(F21="与级别开发程度一致",0,(G21-E21)/C21),0)</f>
        <v>#DIV/0!</v>
      </c>
      <c r="D20" s="3046" t="s">
        <v>1998</v>
      </c>
      <c r="E20" s="3047"/>
      <c r="F20" s="3472" t="s">
        <v>1995</v>
      </c>
      <c r="G20" s="347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6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39801</v>
      </c>
      <c r="H23" s="3048" t="s">
        <v>3258</v>
      </c>
      <c r="I23" s="3049" t="str">
        <f>IF(H23="季度增幅（自定义）",SUMIF(N25:N28,E2,O25:O28),"")</f>
        <v/>
      </c>
      <c r="J23" s="3141" t="s">
        <v>3257</v>
      </c>
      <c r="K23" s="1061"/>
      <c r="L23" s="1897" t="s">
        <v>2004</v>
      </c>
      <c r="M23" s="1241">
        <f>ROUND(SUMIF(地价!B2:G2,E2,地价!B16:G16),0)</f>
        <v>0</v>
      </c>
      <c r="N23" s="1898" t="s">
        <v>2005</v>
      </c>
      <c r="O23" s="719" t="e">
        <f>ROUNDDOWN(DATEDIF(E23,G23,"M")/3,0)</f>
        <v>#NUM!</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5.67E-2</v>
      </c>
      <c r="M36" s="2365">
        <f ca="1">ROUND($L$36*(1+M31),3)</f>
        <v>7.0999999999999994E-2</v>
      </c>
      <c r="N36" s="2365">
        <f ca="1">ROUND($L$36*(1+N31),3)</f>
        <v>6.8000000000000005E-2</v>
      </c>
      <c r="O36" s="2365">
        <f ca="1">ROUND($L$36*(1+O31),3)</f>
        <v>6.5000000000000002E-2</v>
      </c>
      <c r="P36" s="2365">
        <f ca="1">ROUND($L$36*(1+P31),3)</f>
        <v>6.2E-2</v>
      </c>
      <c r="Q36" s="2365">
        <f ca="1">ROUND($L$36*(1+Q31),3)</f>
        <v>6.5000000000000002E-2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6.1699999999999998E-2</v>
      </c>
      <c r="M37" s="2365">
        <f ca="1">ROUND($L$37*(1+M31),3)</f>
        <v>7.6999999999999999E-2</v>
      </c>
      <c r="N37" s="2365">
        <f t="shared" ref="N37:Q37" ca="1" si="3">ROUND($L$37*(1+N31),3)</f>
        <v>7.3999999999999996E-2</v>
      </c>
      <c r="O37" s="2365">
        <f t="shared" ca="1" si="3"/>
        <v>7.0999999999999994E-2</v>
      </c>
      <c r="P37" s="2365">
        <f t="shared" ca="1" si="3"/>
        <v>6.8000000000000005E-2</v>
      </c>
      <c r="Q37" s="2365">
        <f t="shared" ca="1" si="3"/>
        <v>7.0999999999999994E-2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1"/>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8" t="s">
        <v>3296</v>
      </c>
      <c r="B103" s="3468"/>
      <c r="C103" s="3468"/>
      <c r="D103" s="3468"/>
      <c r="E103" s="3468"/>
      <c r="F103" s="3468"/>
      <c r="G103" s="3468"/>
      <c r="H103" s="3468"/>
      <c r="I103" s="3468"/>
      <c r="J103" s="3468"/>
      <c r="K103" s="1667"/>
      <c r="L103" s="1667"/>
      <c r="M103" s="1667"/>
      <c r="N103" s="1667"/>
    </row>
    <row r="104" spans="1:14">
      <c r="A104" s="3469" t="s">
        <v>3297</v>
      </c>
      <c r="B104" s="3469" t="s">
        <v>3298</v>
      </c>
      <c r="C104" s="3090" t="s">
        <v>3299</v>
      </c>
      <c r="D104" s="3091"/>
      <c r="E104" s="3091"/>
      <c r="F104" s="3091"/>
      <c r="G104" s="3091"/>
      <c r="H104" s="3091"/>
      <c r="I104" s="3091"/>
      <c r="J104" s="3092"/>
      <c r="K104" s="3093"/>
      <c r="L104" s="3093"/>
      <c r="M104" s="3093"/>
      <c r="N104" s="3093"/>
    </row>
    <row r="105" spans="1:14">
      <c r="A105" s="3469"/>
      <c r="B105" s="3469"/>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55"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6"/>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8" t="s">
        <v>3313</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81" t="s">
        <v>2609</v>
      </c>
      <c r="B20" s="3474" t="s">
        <v>2630</v>
      </c>
      <c r="C20" s="2842" t="s">
        <v>2441</v>
      </c>
      <c r="D20" s="2843"/>
      <c r="E20" s="2844">
        <v>1</v>
      </c>
      <c r="F20" s="2845" t="s">
        <v>2442</v>
      </c>
      <c r="G20" s="2845"/>
    </row>
    <row r="21" spans="1:13" ht="19.5" customHeight="1">
      <c r="A21" s="3482"/>
      <c r="B21" s="3475"/>
      <c r="C21" s="2846" t="s">
        <v>2443</v>
      </c>
      <c r="D21" s="2847"/>
      <c r="E21" s="2848">
        <v>1</v>
      </c>
      <c r="F21" s="2845" t="s">
        <v>2444</v>
      </c>
      <c r="G21" s="2845"/>
    </row>
    <row r="22" spans="1:13" ht="19.5" customHeight="1">
      <c r="A22" s="3482"/>
      <c r="B22" s="3475"/>
      <c r="C22" s="2846" t="s">
        <v>2445</v>
      </c>
      <c r="D22" s="2847"/>
      <c r="E22" s="2848">
        <v>0.9</v>
      </c>
      <c r="F22" s="2845" t="s">
        <v>2446</v>
      </c>
      <c r="G22" s="2845"/>
    </row>
    <row r="23" spans="1:13" ht="19.5" customHeight="1">
      <c r="A23" s="3482"/>
      <c r="B23" s="3475"/>
      <c r="C23" s="2846" t="s">
        <v>2447</v>
      </c>
      <c r="D23" s="2847"/>
      <c r="E23" s="2848">
        <v>0.9</v>
      </c>
      <c r="F23" s="2845" t="s">
        <v>2448</v>
      </c>
      <c r="G23" s="2845"/>
    </row>
    <row r="24" spans="1:13" ht="19.5" customHeight="1">
      <c r="A24" s="3482"/>
      <c r="B24" s="3475"/>
      <c r="C24" s="2846" t="s">
        <v>2449</v>
      </c>
      <c r="D24" s="2847"/>
      <c r="E24" s="2848">
        <v>0.8</v>
      </c>
      <c r="F24" s="2845" t="s">
        <v>2450</v>
      </c>
      <c r="G24" s="2845"/>
    </row>
    <row r="25" spans="1:13" ht="19.5" customHeight="1" thickBot="1">
      <c r="A25" s="3483"/>
      <c r="B25" s="3476"/>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77" t="s">
        <v>2633</v>
      </c>
      <c r="B27" s="3474" t="s">
        <v>2614</v>
      </c>
      <c r="C27" s="2842" t="s">
        <v>2454</v>
      </c>
      <c r="D27" s="2843"/>
      <c r="E27" s="2844">
        <v>1</v>
      </c>
      <c r="F27" s="2845" t="s">
        <v>2455</v>
      </c>
      <c r="G27" s="2845"/>
    </row>
    <row r="28" spans="1:13" ht="19.5" customHeight="1">
      <c r="A28" s="3478"/>
      <c r="B28" s="3475"/>
      <c r="C28" s="2846" t="s">
        <v>2456</v>
      </c>
      <c r="D28" s="2847"/>
      <c r="E28" s="2848">
        <v>1</v>
      </c>
      <c r="F28" s="2845" t="s">
        <v>2457</v>
      </c>
      <c r="G28" s="2845"/>
    </row>
    <row r="29" spans="1:13" ht="19.5" customHeight="1">
      <c r="A29" s="3478"/>
      <c r="B29" s="3475"/>
      <c r="C29" s="2846" t="s">
        <v>2458</v>
      </c>
      <c r="D29" s="2847"/>
      <c r="E29" s="2848">
        <v>0.8</v>
      </c>
      <c r="F29" s="2845" t="s">
        <v>2459</v>
      </c>
      <c r="G29" s="2845"/>
    </row>
    <row r="30" spans="1:13" ht="19.5" customHeight="1">
      <c r="A30" s="3478"/>
      <c r="B30" s="3475"/>
      <c r="C30" s="2846" t="s">
        <v>2460</v>
      </c>
      <c r="D30" s="2847"/>
      <c r="E30" s="2848">
        <v>0.8</v>
      </c>
      <c r="F30" s="2845" t="s">
        <v>2461</v>
      </c>
      <c r="G30" s="2845"/>
    </row>
    <row r="31" spans="1:13" ht="19.5" customHeight="1">
      <c r="A31" s="3478"/>
      <c r="B31" s="3475"/>
      <c r="C31" s="2846" t="s">
        <v>2462</v>
      </c>
      <c r="D31" s="2847"/>
      <c r="E31" s="2848">
        <v>0.8</v>
      </c>
      <c r="F31" s="2845" t="s">
        <v>2463</v>
      </c>
      <c r="G31" s="2845"/>
    </row>
    <row r="32" spans="1:13" ht="19.5" customHeight="1">
      <c r="A32" s="3478"/>
      <c r="B32" s="3475"/>
      <c r="C32" s="2846" t="s">
        <v>2464</v>
      </c>
      <c r="D32" s="2847"/>
      <c r="E32" s="2848">
        <v>0.7</v>
      </c>
      <c r="F32" s="2845" t="s">
        <v>2465</v>
      </c>
      <c r="G32" s="2845"/>
    </row>
    <row r="33" spans="1:7" ht="19.5" customHeight="1">
      <c r="A33" s="3478"/>
      <c r="B33" s="3475"/>
      <c r="C33" s="2846" t="s">
        <v>2466</v>
      </c>
      <c r="D33" s="2847"/>
      <c r="E33" s="2848">
        <v>0.8</v>
      </c>
      <c r="F33" s="2845" t="s">
        <v>2467</v>
      </c>
      <c r="G33" s="2845"/>
    </row>
    <row r="34" spans="1:7" ht="19.5" customHeight="1">
      <c r="A34" s="3478"/>
      <c r="B34" s="3475"/>
      <c r="C34" s="2846" t="s">
        <v>2468</v>
      </c>
      <c r="D34" s="2847"/>
      <c r="E34" s="2848">
        <v>0.6</v>
      </c>
      <c r="F34" s="2845" t="s">
        <v>2469</v>
      </c>
      <c r="G34" s="2845"/>
    </row>
    <row r="35" spans="1:7" ht="19.5" customHeight="1">
      <c r="A35" s="3478"/>
      <c r="B35" s="3475"/>
      <c r="C35" s="2846" t="s">
        <v>2470</v>
      </c>
      <c r="D35" s="2847"/>
      <c r="E35" s="2848">
        <v>0.2</v>
      </c>
      <c r="F35" s="2845" t="s">
        <v>2471</v>
      </c>
      <c r="G35" s="2845"/>
    </row>
    <row r="36" spans="1:7" ht="19.5" customHeight="1">
      <c r="A36" s="3478"/>
      <c r="B36" s="3475"/>
      <c r="C36" s="2846" t="s">
        <v>2472</v>
      </c>
      <c r="D36" s="2847"/>
      <c r="E36" s="2848">
        <v>0.2</v>
      </c>
      <c r="F36" s="2845" t="s">
        <v>2473</v>
      </c>
      <c r="G36" s="2845"/>
    </row>
    <row r="37" spans="1:7" ht="19.5" customHeight="1">
      <c r="A37" s="3478"/>
      <c r="B37" s="3480" t="s">
        <v>2634</v>
      </c>
      <c r="C37" s="2846" t="s">
        <v>2474</v>
      </c>
      <c r="D37" s="2847"/>
      <c r="E37" s="2848">
        <v>0.6</v>
      </c>
      <c r="F37" s="2845" t="s">
        <v>2475</v>
      </c>
      <c r="G37" s="2845"/>
    </row>
    <row r="38" spans="1:7" ht="19.5" customHeight="1">
      <c r="A38" s="3478"/>
      <c r="B38" s="3475"/>
      <c r="C38" s="2846" t="s">
        <v>2476</v>
      </c>
      <c r="D38" s="2847"/>
      <c r="E38" s="2848">
        <v>0.6</v>
      </c>
      <c r="F38" s="2845" t="s">
        <v>2477</v>
      </c>
      <c r="G38" s="2845"/>
    </row>
    <row r="39" spans="1:7" ht="19.5" customHeight="1" thickBot="1">
      <c r="A39" s="3479"/>
      <c r="B39" s="3476"/>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81" t="s">
        <v>2612</v>
      </c>
      <c r="B41" s="3474" t="s">
        <v>2636</v>
      </c>
      <c r="C41" s="2842" t="s">
        <v>2481</v>
      </c>
      <c r="D41" s="2843"/>
      <c r="E41" s="2844">
        <v>1</v>
      </c>
      <c r="F41" s="2845" t="s">
        <v>2482</v>
      </c>
      <c r="G41" s="2845"/>
    </row>
    <row r="42" spans="1:7" ht="19.5" customHeight="1">
      <c r="A42" s="3482"/>
      <c r="B42" s="3475"/>
      <c r="C42" s="2846" t="s">
        <v>2483</v>
      </c>
      <c r="D42" s="2847"/>
      <c r="E42" s="2848">
        <v>1</v>
      </c>
      <c r="F42" s="2845" t="s">
        <v>2484</v>
      </c>
      <c r="G42" s="2845"/>
    </row>
    <row r="43" spans="1:7" ht="19.5" customHeight="1">
      <c r="A43" s="3482"/>
      <c r="B43" s="3484"/>
      <c r="C43" s="2846" t="s">
        <v>2485</v>
      </c>
      <c r="D43" s="2847"/>
      <c r="E43" s="2848">
        <v>1.5</v>
      </c>
      <c r="F43" s="2845" t="s">
        <v>2486</v>
      </c>
      <c r="G43" s="2845"/>
    </row>
    <row r="44" spans="1:7" ht="19.5" customHeight="1">
      <c r="A44" s="3482"/>
      <c r="B44" s="2857" t="s">
        <v>2637</v>
      </c>
      <c r="C44" s="2846" t="s">
        <v>2638</v>
      </c>
      <c r="D44" s="2847"/>
      <c r="E44" s="2848">
        <v>2</v>
      </c>
      <c r="F44" s="2845" t="s">
        <v>2487</v>
      </c>
      <c r="G44" s="2845"/>
    </row>
    <row r="45" spans="1:7" ht="19.5" customHeight="1">
      <c r="A45" s="3482"/>
      <c r="B45" s="3480" t="s">
        <v>2639</v>
      </c>
      <c r="C45" s="2846" t="s">
        <v>2488</v>
      </c>
      <c r="D45" s="2847"/>
      <c r="E45" s="2848">
        <v>1</v>
      </c>
      <c r="F45" s="2845" t="s">
        <v>2489</v>
      </c>
      <c r="G45" s="2845"/>
    </row>
    <row r="46" spans="1:7" ht="19.5" customHeight="1">
      <c r="A46" s="3482"/>
      <c r="B46" s="3475"/>
      <c r="C46" s="2846" t="s">
        <v>2490</v>
      </c>
      <c r="D46" s="2847"/>
      <c r="E46" s="2848">
        <v>1</v>
      </c>
      <c r="F46" s="2845" t="s">
        <v>2491</v>
      </c>
      <c r="G46" s="2845"/>
    </row>
    <row r="47" spans="1:7" ht="19.5" customHeight="1">
      <c r="A47" s="3482"/>
      <c r="B47" s="3475"/>
      <c r="C47" s="2846" t="s">
        <v>2492</v>
      </c>
      <c r="D47" s="2847"/>
      <c r="E47" s="2848">
        <v>1</v>
      </c>
      <c r="F47" s="2845" t="s">
        <v>2493</v>
      </c>
      <c r="G47" s="2845"/>
    </row>
    <row r="48" spans="1:7" ht="19.5" customHeight="1">
      <c r="A48" s="3482"/>
      <c r="B48" s="3475"/>
      <c r="C48" s="2846" t="s">
        <v>2494</v>
      </c>
      <c r="D48" s="2847"/>
      <c r="E48" s="2848">
        <v>1</v>
      </c>
      <c r="F48" s="2845" t="s">
        <v>2495</v>
      </c>
      <c r="G48" s="2845"/>
    </row>
    <row r="49" spans="1:7" ht="19.5" customHeight="1">
      <c r="A49" s="3482"/>
      <c r="B49" s="3475"/>
      <c r="C49" s="2846" t="s">
        <v>2496</v>
      </c>
      <c r="D49" s="2847"/>
      <c r="E49" s="2848">
        <v>1</v>
      </c>
      <c r="F49" s="2845" t="s">
        <v>2497</v>
      </c>
      <c r="G49" s="2845"/>
    </row>
    <row r="50" spans="1:7" ht="19.5" customHeight="1">
      <c r="A50" s="3482"/>
      <c r="B50" s="3475"/>
      <c r="C50" s="2846" t="s">
        <v>2498</v>
      </c>
      <c r="D50" s="2847"/>
      <c r="E50" s="2848">
        <v>1</v>
      </c>
      <c r="F50" s="2845" t="s">
        <v>2499</v>
      </c>
      <c r="G50" s="2845"/>
    </row>
    <row r="51" spans="1:7" ht="19.5" customHeight="1" thickBot="1">
      <c r="A51" s="3483"/>
      <c r="B51" s="3476"/>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480" t="s">
        <v>2653</v>
      </c>
      <c r="C73" s="2831" t="s">
        <v>2654</v>
      </c>
      <c r="D73" s="2831" t="s">
        <v>2655</v>
      </c>
      <c r="E73" s="2857">
        <v>0.2</v>
      </c>
      <c r="F73" s="2857">
        <v>25</v>
      </c>
    </row>
    <row r="74" spans="1:7" ht="24">
      <c r="A74" s="2857">
        <v>2</v>
      </c>
      <c r="B74" s="3475"/>
      <c r="C74" s="2831" t="s">
        <v>2656</v>
      </c>
      <c r="D74" s="2831" t="s">
        <v>2657</v>
      </c>
      <c r="E74" s="2857">
        <v>0.2</v>
      </c>
      <c r="F74" s="2857">
        <v>25</v>
      </c>
    </row>
    <row r="75" spans="1:7" ht="24">
      <c r="A75" s="2857">
        <v>3</v>
      </c>
      <c r="B75" s="3475"/>
      <c r="C75" s="2831" t="s">
        <v>2658</v>
      </c>
      <c r="D75" s="2831" t="s">
        <v>2659</v>
      </c>
      <c r="E75" s="2857">
        <v>0.2</v>
      </c>
      <c r="F75" s="2857">
        <v>25</v>
      </c>
    </row>
    <row r="76" spans="1:7" ht="13.5">
      <c r="A76" s="2857">
        <v>4</v>
      </c>
      <c r="B76" s="3475"/>
      <c r="C76" s="2831" t="s">
        <v>2660</v>
      </c>
      <c r="D76" s="2831" t="s">
        <v>2661</v>
      </c>
      <c r="E76" s="2857">
        <v>0.15</v>
      </c>
      <c r="F76" s="2857">
        <v>20</v>
      </c>
    </row>
    <row r="77" spans="1:7" ht="24">
      <c r="A77" s="2857">
        <v>5</v>
      </c>
      <c r="B77" s="3475"/>
      <c r="C77" s="2831" t="s">
        <v>2662</v>
      </c>
      <c r="D77" s="2831" t="s">
        <v>2663</v>
      </c>
      <c r="E77" s="2857">
        <v>0.15</v>
      </c>
      <c r="F77" s="2857">
        <v>20</v>
      </c>
    </row>
    <row r="78" spans="1:7" ht="24">
      <c r="A78" s="2857">
        <v>6</v>
      </c>
      <c r="B78" s="3475"/>
      <c r="C78" s="2831" t="s">
        <v>2664</v>
      </c>
      <c r="D78" s="2831" t="s">
        <v>2665</v>
      </c>
      <c r="E78" s="2857">
        <v>0.15</v>
      </c>
      <c r="F78" s="2857">
        <v>20</v>
      </c>
    </row>
    <row r="79" spans="1:7" ht="24">
      <c r="A79" s="2857">
        <v>7</v>
      </c>
      <c r="B79" s="3475"/>
      <c r="C79" s="2831" t="s">
        <v>2666</v>
      </c>
      <c r="D79" s="2831" t="s">
        <v>2667</v>
      </c>
      <c r="E79" s="2857">
        <v>0.15</v>
      </c>
      <c r="F79" s="2857">
        <v>20</v>
      </c>
    </row>
    <row r="80" spans="1:7" ht="24">
      <c r="A80" s="2857">
        <v>8</v>
      </c>
      <c r="B80" s="3475"/>
      <c r="C80" s="2831" t="s">
        <v>2668</v>
      </c>
      <c r="D80" s="2831" t="s">
        <v>2669</v>
      </c>
      <c r="E80" s="2857">
        <v>0.1</v>
      </c>
      <c r="F80" s="2857">
        <v>15</v>
      </c>
    </row>
    <row r="81" spans="1:6" ht="24">
      <c r="A81" s="2857">
        <v>9</v>
      </c>
      <c r="B81" s="3475"/>
      <c r="C81" s="2831" t="s">
        <v>2670</v>
      </c>
      <c r="D81" s="2831" t="s">
        <v>2671</v>
      </c>
      <c r="E81" s="2857">
        <v>0.1</v>
      </c>
      <c r="F81" s="2857">
        <v>15</v>
      </c>
    </row>
    <row r="82" spans="1:6" ht="24">
      <c r="A82" s="2857">
        <v>10</v>
      </c>
      <c r="B82" s="3475"/>
      <c r="C82" s="2831" t="s">
        <v>2672</v>
      </c>
      <c r="D82" s="2831" t="s">
        <v>2673</v>
      </c>
      <c r="E82" s="2857">
        <v>0.1</v>
      </c>
      <c r="F82" s="2857">
        <v>15</v>
      </c>
    </row>
    <row r="83" spans="1:6" ht="24">
      <c r="A83" s="2857">
        <v>11</v>
      </c>
      <c r="B83" s="3475"/>
      <c r="C83" s="2831" t="s">
        <v>2674</v>
      </c>
      <c r="D83" s="2831" t="s">
        <v>2675</v>
      </c>
      <c r="E83" s="2857">
        <v>0.1</v>
      </c>
      <c r="F83" s="2857">
        <v>15</v>
      </c>
    </row>
    <row r="84" spans="1:6" ht="24">
      <c r="A84" s="2857">
        <v>12</v>
      </c>
      <c r="B84" s="3475"/>
      <c r="C84" s="2831" t="s">
        <v>2676</v>
      </c>
      <c r="D84" s="2831" t="s">
        <v>2677</v>
      </c>
      <c r="E84" s="2857">
        <v>0.1</v>
      </c>
      <c r="F84" s="2857">
        <v>15</v>
      </c>
    </row>
    <row r="85" spans="1:6" ht="13.5">
      <c r="A85" s="2857">
        <v>13</v>
      </c>
      <c r="B85" s="3475"/>
      <c r="C85" s="2831" t="s">
        <v>2678</v>
      </c>
      <c r="D85" s="2831" t="s">
        <v>2679</v>
      </c>
      <c r="E85" s="2857">
        <v>0.1</v>
      </c>
      <c r="F85" s="2857">
        <v>15</v>
      </c>
    </row>
    <row r="86" spans="1:6" ht="13.5">
      <c r="A86" s="2857">
        <v>14</v>
      </c>
      <c r="B86" s="3475"/>
      <c r="C86" s="2831" t="s">
        <v>2680</v>
      </c>
      <c r="D86" s="2831" t="s">
        <v>2681</v>
      </c>
      <c r="E86" s="2857">
        <v>0.1</v>
      </c>
      <c r="F86" s="2857">
        <v>15</v>
      </c>
    </row>
    <row r="87" spans="1:6" ht="13.5">
      <c r="A87" s="2857">
        <v>15</v>
      </c>
      <c r="B87" s="3475"/>
      <c r="C87" s="2831" t="s">
        <v>2682</v>
      </c>
      <c r="D87" s="2831" t="s">
        <v>2683</v>
      </c>
      <c r="E87" s="2857">
        <v>0.1</v>
      </c>
      <c r="F87" s="2857">
        <v>15</v>
      </c>
    </row>
    <row r="88" spans="1:6" ht="24">
      <c r="A88" s="2857">
        <v>16</v>
      </c>
      <c r="B88" s="3475"/>
      <c r="C88" s="2831" t="s">
        <v>2684</v>
      </c>
      <c r="D88" s="2831" t="s">
        <v>2685</v>
      </c>
      <c r="E88" s="2857">
        <v>0.1</v>
      </c>
      <c r="F88" s="2857">
        <v>15</v>
      </c>
    </row>
    <row r="89" spans="1:6" ht="24">
      <c r="A89" s="2857">
        <v>17</v>
      </c>
      <c r="B89" s="3484"/>
      <c r="C89" s="2831" t="s">
        <v>2686</v>
      </c>
      <c r="D89" s="2831" t="s">
        <v>2687</v>
      </c>
      <c r="E89" s="2857">
        <v>0.1</v>
      </c>
      <c r="F89" s="2857">
        <v>15</v>
      </c>
    </row>
    <row r="90" spans="1:6" ht="13.5">
      <c r="A90" s="2857">
        <v>18</v>
      </c>
      <c r="B90" s="3480" t="s">
        <v>2688</v>
      </c>
      <c r="C90" s="2831" t="s">
        <v>2689</v>
      </c>
      <c r="D90" s="2831" t="s">
        <v>2690</v>
      </c>
      <c r="E90" s="2857">
        <v>0.2</v>
      </c>
      <c r="F90" s="2857">
        <v>25</v>
      </c>
    </row>
    <row r="91" spans="1:6" ht="24">
      <c r="A91" s="2857">
        <v>19</v>
      </c>
      <c r="B91" s="3475"/>
      <c r="C91" s="2831" t="s">
        <v>2691</v>
      </c>
      <c r="D91" s="2831" t="s">
        <v>2692</v>
      </c>
      <c r="E91" s="2857">
        <v>0.2</v>
      </c>
      <c r="F91" s="2857">
        <v>25</v>
      </c>
    </row>
    <row r="92" spans="1:6" ht="13.5">
      <c r="A92" s="2857">
        <v>20</v>
      </c>
      <c r="B92" s="3475"/>
      <c r="C92" s="2831" t="s">
        <v>2693</v>
      </c>
      <c r="D92" s="2831" t="s">
        <v>2694</v>
      </c>
      <c r="E92" s="2857">
        <v>0.15</v>
      </c>
      <c r="F92" s="2857">
        <v>20</v>
      </c>
    </row>
    <row r="93" spans="1:6" ht="13.5">
      <c r="A93" s="2857">
        <v>21</v>
      </c>
      <c r="B93" s="3475"/>
      <c r="C93" s="2831" t="s">
        <v>2695</v>
      </c>
      <c r="D93" s="2831" t="s">
        <v>2696</v>
      </c>
      <c r="E93" s="2857">
        <v>0.15</v>
      </c>
      <c r="F93" s="2857">
        <v>20</v>
      </c>
    </row>
    <row r="94" spans="1:6" ht="13.5">
      <c r="A94" s="2857">
        <v>22</v>
      </c>
      <c r="B94" s="3475"/>
      <c r="C94" s="2831" t="s">
        <v>2697</v>
      </c>
      <c r="D94" s="2831" t="s">
        <v>2698</v>
      </c>
      <c r="E94" s="2857">
        <v>0.15</v>
      </c>
      <c r="F94" s="2857">
        <v>20</v>
      </c>
    </row>
    <row r="95" spans="1:6" ht="36">
      <c r="A95" s="2857">
        <v>23</v>
      </c>
      <c r="B95" s="3475"/>
      <c r="C95" s="2831" t="s">
        <v>2699</v>
      </c>
      <c r="D95" s="2831" t="s">
        <v>2700</v>
      </c>
      <c r="E95" s="2857">
        <v>0.15</v>
      </c>
      <c r="F95" s="2857">
        <v>20</v>
      </c>
    </row>
    <row r="96" spans="1:6" ht="13.5">
      <c r="A96" s="2857">
        <v>24</v>
      </c>
      <c r="B96" s="3475"/>
      <c r="C96" s="2831" t="s">
        <v>2701</v>
      </c>
      <c r="D96" s="2831" t="s">
        <v>2702</v>
      </c>
      <c r="E96" s="2857">
        <v>0.1</v>
      </c>
      <c r="F96" s="2857">
        <v>15</v>
      </c>
    </row>
    <row r="97" spans="1:6" ht="13.5">
      <c r="A97" s="2857">
        <v>25</v>
      </c>
      <c r="B97" s="3475"/>
      <c r="C97" s="2831" t="s">
        <v>2703</v>
      </c>
      <c r="D97" s="2831" t="s">
        <v>2704</v>
      </c>
      <c r="E97" s="2857">
        <v>0.1</v>
      </c>
      <c r="F97" s="2857">
        <v>15</v>
      </c>
    </row>
    <row r="98" spans="1:6" ht="24">
      <c r="A98" s="2857">
        <v>26</v>
      </c>
      <c r="B98" s="3475"/>
      <c r="C98" s="2831" t="s">
        <v>2705</v>
      </c>
      <c r="D98" s="2831" t="s">
        <v>2706</v>
      </c>
      <c r="E98" s="2857">
        <v>0.1</v>
      </c>
      <c r="F98" s="2857">
        <v>15</v>
      </c>
    </row>
    <row r="99" spans="1:6" ht="24">
      <c r="A99" s="2857">
        <v>27</v>
      </c>
      <c r="B99" s="3475"/>
      <c r="C99" s="2831" t="s">
        <v>2707</v>
      </c>
      <c r="D99" s="2831" t="s">
        <v>2708</v>
      </c>
      <c r="E99" s="2857">
        <v>0.1</v>
      </c>
      <c r="F99" s="2857">
        <v>15</v>
      </c>
    </row>
    <row r="100" spans="1:6" ht="13.5">
      <c r="A100" s="2857">
        <v>28</v>
      </c>
      <c r="B100" s="3475"/>
      <c r="C100" s="2831" t="s">
        <v>2709</v>
      </c>
      <c r="D100" s="2831" t="s">
        <v>2710</v>
      </c>
      <c r="E100" s="2857">
        <v>0.1</v>
      </c>
      <c r="F100" s="2857">
        <v>15</v>
      </c>
    </row>
    <row r="101" spans="1:6" ht="13.5">
      <c r="A101" s="2857">
        <v>29</v>
      </c>
      <c r="B101" s="3475"/>
      <c r="C101" s="2831" t="s">
        <v>2711</v>
      </c>
      <c r="D101" s="2831" t="s">
        <v>2712</v>
      </c>
      <c r="E101" s="2857">
        <v>0.1</v>
      </c>
      <c r="F101" s="2857">
        <v>15</v>
      </c>
    </row>
    <row r="102" spans="1:6" ht="13.5">
      <c r="A102" s="2857">
        <v>30</v>
      </c>
      <c r="B102" s="3475"/>
      <c r="C102" s="2831" t="s">
        <v>2713</v>
      </c>
      <c r="D102" s="2831" t="s">
        <v>2714</v>
      </c>
      <c r="E102" s="2857">
        <v>0.1</v>
      </c>
      <c r="F102" s="2857">
        <v>15</v>
      </c>
    </row>
    <row r="103" spans="1:6" ht="24">
      <c r="A103" s="2857">
        <v>31</v>
      </c>
      <c r="B103" s="3475"/>
      <c r="C103" s="2831" t="s">
        <v>2715</v>
      </c>
      <c r="D103" s="2831" t="s">
        <v>2716</v>
      </c>
      <c r="E103" s="2857">
        <v>0.1</v>
      </c>
      <c r="F103" s="2857">
        <v>15</v>
      </c>
    </row>
    <row r="104" spans="1:6" ht="24">
      <c r="A104" s="2857">
        <v>32</v>
      </c>
      <c r="B104" s="3475"/>
      <c r="C104" s="2831" t="s">
        <v>2717</v>
      </c>
      <c r="D104" s="2831" t="s">
        <v>2718</v>
      </c>
      <c r="E104" s="2857">
        <v>0.1</v>
      </c>
      <c r="F104" s="2857">
        <v>15</v>
      </c>
    </row>
    <row r="105" spans="1:6" ht="24">
      <c r="A105" s="2857">
        <v>33</v>
      </c>
      <c r="B105" s="3475"/>
      <c r="C105" s="2831" t="s">
        <v>2719</v>
      </c>
      <c r="D105" s="2831" t="s">
        <v>2720</v>
      </c>
      <c r="E105" s="2857">
        <v>0.1</v>
      </c>
      <c r="F105" s="2857">
        <v>15</v>
      </c>
    </row>
    <row r="106" spans="1:6" ht="24">
      <c r="A106" s="2857">
        <v>34</v>
      </c>
      <c r="B106" s="3484"/>
      <c r="C106" s="2831" t="s">
        <v>2721</v>
      </c>
      <c r="D106" s="2831" t="s">
        <v>2722</v>
      </c>
      <c r="E106" s="2857">
        <v>0.1</v>
      </c>
      <c r="F106" s="2857">
        <v>15</v>
      </c>
    </row>
    <row r="107" spans="1:6" ht="24">
      <c r="A107" s="2857">
        <v>35</v>
      </c>
      <c r="B107" s="3480" t="s">
        <v>2723</v>
      </c>
      <c r="C107" s="2857" t="s">
        <v>2724</v>
      </c>
      <c r="D107" s="2831" t="s">
        <v>2725</v>
      </c>
      <c r="E107" s="2857">
        <v>0.15</v>
      </c>
      <c r="F107" s="2857">
        <v>20</v>
      </c>
    </row>
    <row r="108" spans="1:6" ht="13.5">
      <c r="A108" s="2857">
        <v>36</v>
      </c>
      <c r="B108" s="3475"/>
      <c r="C108" s="2857" t="s">
        <v>2726</v>
      </c>
      <c r="D108" s="2831" t="s">
        <v>2727</v>
      </c>
      <c r="E108" s="2857">
        <v>0.15</v>
      </c>
      <c r="F108" s="2857">
        <v>20</v>
      </c>
    </row>
    <row r="109" spans="1:6" ht="13.5">
      <c r="A109" s="2857">
        <v>37</v>
      </c>
      <c r="B109" s="3475"/>
      <c r="C109" s="2857" t="s">
        <v>2728</v>
      </c>
      <c r="D109" s="2831" t="s">
        <v>2729</v>
      </c>
      <c r="E109" s="2857">
        <v>0.15</v>
      </c>
      <c r="F109" s="2857">
        <v>20</v>
      </c>
    </row>
    <row r="110" spans="1:6" ht="13.5">
      <c r="A110" s="2857">
        <v>38</v>
      </c>
      <c r="B110" s="3475"/>
      <c r="C110" s="2857" t="s">
        <v>2730</v>
      </c>
      <c r="D110" s="2831" t="s">
        <v>2731</v>
      </c>
      <c r="E110" s="2857">
        <v>0.1</v>
      </c>
      <c r="F110" s="2857">
        <v>15</v>
      </c>
    </row>
    <row r="111" spans="1:6" ht="24">
      <c r="A111" s="2857">
        <v>39</v>
      </c>
      <c r="B111" s="3475"/>
      <c r="C111" s="2857" t="s">
        <v>2732</v>
      </c>
      <c r="D111" s="2831" t="s">
        <v>2733</v>
      </c>
      <c r="E111" s="2857">
        <v>0.1</v>
      </c>
      <c r="F111" s="2857">
        <v>15</v>
      </c>
    </row>
    <row r="112" spans="1:6" ht="24">
      <c r="A112" s="2857">
        <v>40</v>
      </c>
      <c r="B112" s="3484"/>
      <c r="C112" s="2857" t="s">
        <v>2734</v>
      </c>
      <c r="D112" s="2831" t="s">
        <v>2735</v>
      </c>
      <c r="E112" s="2857">
        <v>0.1</v>
      </c>
      <c r="F112" s="2857">
        <v>15</v>
      </c>
    </row>
    <row r="113" spans="1:6" ht="13.5">
      <c r="A113" s="2857">
        <v>41</v>
      </c>
      <c r="B113" s="3485" t="s">
        <v>2736</v>
      </c>
      <c r="C113" s="2857" t="s">
        <v>2737</v>
      </c>
      <c r="D113" s="2831" t="s">
        <v>2738</v>
      </c>
      <c r="E113" s="2857">
        <v>0.1</v>
      </c>
      <c r="F113" s="2857">
        <v>15</v>
      </c>
    </row>
    <row r="114" spans="1:6" ht="13.5">
      <c r="A114" s="2857">
        <v>42</v>
      </c>
      <c r="B114" s="3485"/>
      <c r="C114" s="2857" t="s">
        <v>2739</v>
      </c>
      <c r="D114" s="2831" t="s">
        <v>2740</v>
      </c>
      <c r="E114" s="2857">
        <v>0.1</v>
      </c>
      <c r="F114" s="2857">
        <v>15</v>
      </c>
    </row>
    <row r="115" spans="1:6" ht="24">
      <c r="A115" s="2857">
        <v>43</v>
      </c>
      <c r="B115" s="3485"/>
      <c r="C115" s="2857" t="s">
        <v>2741</v>
      </c>
      <c r="D115" s="2831" t="s">
        <v>2742</v>
      </c>
      <c r="E115" s="2857">
        <v>0.1</v>
      </c>
      <c r="F115" s="2857">
        <v>15</v>
      </c>
    </row>
    <row r="116" spans="1:6" ht="13.5">
      <c r="A116" s="2857">
        <v>44</v>
      </c>
      <c r="B116" s="3480" t="s">
        <v>2743</v>
      </c>
      <c r="C116" s="2857" t="s">
        <v>2744</v>
      </c>
      <c r="D116" s="2831" t="s">
        <v>2745</v>
      </c>
      <c r="E116" s="2857">
        <v>0.1</v>
      </c>
      <c r="F116" s="2857">
        <v>15</v>
      </c>
    </row>
    <row r="117" spans="1:6" ht="24">
      <c r="A117" s="2857">
        <v>45</v>
      </c>
      <c r="B117" s="3484"/>
      <c r="C117" s="2831" t="s">
        <v>2746</v>
      </c>
      <c r="D117" s="2831" t="s">
        <v>2747</v>
      </c>
      <c r="E117" s="2857">
        <v>0.1</v>
      </c>
      <c r="F117" s="2857">
        <v>15</v>
      </c>
    </row>
    <row r="118" spans="1:6" ht="24">
      <c r="A118" s="2857">
        <v>46</v>
      </c>
      <c r="B118" s="3480" t="s">
        <v>2748</v>
      </c>
      <c r="C118" s="2857" t="s">
        <v>2749</v>
      </c>
      <c r="D118" s="2831" t="s">
        <v>2750</v>
      </c>
      <c r="E118" s="2857">
        <v>0.1</v>
      </c>
      <c r="F118" s="2857">
        <v>15</v>
      </c>
    </row>
    <row r="119" spans="1:6" ht="24">
      <c r="A119" s="2857">
        <v>47</v>
      </c>
      <c r="B119" s="3484"/>
      <c r="C119" s="2857" t="s">
        <v>2751</v>
      </c>
      <c r="D119" s="2831" t="s">
        <v>2752</v>
      </c>
      <c r="E119" s="2857">
        <v>0.1</v>
      </c>
      <c r="F119" s="2857">
        <v>15</v>
      </c>
    </row>
    <row r="120" spans="1:6" ht="13.5">
      <c r="A120" s="2857">
        <v>48</v>
      </c>
      <c r="B120" s="3480" t="s">
        <v>2753</v>
      </c>
      <c r="C120" s="2857" t="s">
        <v>2754</v>
      </c>
      <c r="D120" s="2831" t="s">
        <v>2755</v>
      </c>
      <c r="E120" s="2857">
        <v>0.1</v>
      </c>
      <c r="F120" s="2857">
        <v>15</v>
      </c>
    </row>
    <row r="121" spans="1:6" ht="13.5">
      <c r="A121" s="2857">
        <v>49</v>
      </c>
      <c r="B121" s="3484"/>
      <c r="C121" s="2857" t="s">
        <v>2756</v>
      </c>
      <c r="D121" s="2831" t="s">
        <v>2757</v>
      </c>
      <c r="E121" s="2857">
        <v>0.1</v>
      </c>
      <c r="F121" s="2857">
        <v>15</v>
      </c>
    </row>
    <row r="122" spans="1:6" ht="24">
      <c r="A122" s="2857">
        <v>50</v>
      </c>
      <c r="B122" s="3485" t="s">
        <v>2758</v>
      </c>
      <c r="C122" s="2857" t="s">
        <v>2759</v>
      </c>
      <c r="D122" s="2831" t="s">
        <v>2760</v>
      </c>
      <c r="E122" s="2857">
        <v>0.1</v>
      </c>
      <c r="F122" s="2857">
        <v>15</v>
      </c>
    </row>
    <row r="123" spans="1:6" ht="24">
      <c r="A123" s="2857">
        <v>51</v>
      </c>
      <c r="B123" s="3485"/>
      <c r="C123" s="2857" t="s">
        <v>2761</v>
      </c>
      <c r="D123" s="2831" t="s">
        <v>2762</v>
      </c>
      <c r="E123" s="2857">
        <v>0.1</v>
      </c>
      <c r="F123" s="2857">
        <v>15</v>
      </c>
    </row>
    <row r="124" spans="1:6" ht="24">
      <c r="A124" s="2857">
        <v>52</v>
      </c>
      <c r="B124" s="3485" t="s">
        <v>2763</v>
      </c>
      <c r="C124" s="2857" t="s">
        <v>2764</v>
      </c>
      <c r="D124" s="2831" t="s">
        <v>2765</v>
      </c>
      <c r="E124" s="2857">
        <v>0.1</v>
      </c>
      <c r="F124" s="2857">
        <v>15</v>
      </c>
    </row>
    <row r="125" spans="1:6" ht="24">
      <c r="A125" s="2857">
        <v>53</v>
      </c>
      <c r="B125" s="3485"/>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485" t="s">
        <v>2771</v>
      </c>
      <c r="C127" s="2857" t="s">
        <v>2772</v>
      </c>
      <c r="D127" s="2831" t="s">
        <v>2773</v>
      </c>
      <c r="E127" s="2857">
        <v>0.1</v>
      </c>
      <c r="F127" s="2857">
        <v>15</v>
      </c>
    </row>
    <row r="128" spans="1:6" ht="13.5">
      <c r="A128" s="2857">
        <v>56</v>
      </c>
      <c r="B128" s="3485"/>
      <c r="C128" s="2857" t="s">
        <v>2774</v>
      </c>
      <c r="D128" s="2831" t="s">
        <v>2775</v>
      </c>
      <c r="E128" s="2857">
        <v>0.1</v>
      </c>
      <c r="F128" s="2857">
        <v>15</v>
      </c>
    </row>
    <row r="129" spans="1:6" ht="24">
      <c r="A129" s="2857">
        <v>57</v>
      </c>
      <c r="B129" s="3485"/>
      <c r="C129" s="2857" t="s">
        <v>2776</v>
      </c>
      <c r="D129" s="2831" t="s">
        <v>2777</v>
      </c>
      <c r="E129" s="2857">
        <v>0.1</v>
      </c>
      <c r="F129" s="2857">
        <v>15</v>
      </c>
    </row>
    <row r="130" spans="1:6" ht="24">
      <c r="A130" s="2857">
        <v>58</v>
      </c>
      <c r="B130" s="3485" t="s">
        <v>2778</v>
      </c>
      <c r="C130" s="2857" t="s">
        <v>2779</v>
      </c>
      <c r="D130" s="2831" t="s">
        <v>2780</v>
      </c>
      <c r="E130" s="2857">
        <v>0.1</v>
      </c>
      <c r="F130" s="2857">
        <v>15</v>
      </c>
    </row>
    <row r="131" spans="1:6" ht="13.5">
      <c r="A131" s="2857">
        <v>59</v>
      </c>
      <c r="B131" s="3485"/>
      <c r="C131" s="2857" t="s">
        <v>2781</v>
      </c>
      <c r="D131" s="2831" t="s">
        <v>2782</v>
      </c>
      <c r="E131" s="2857">
        <v>0.1</v>
      </c>
      <c r="F131" s="2857">
        <v>15</v>
      </c>
    </row>
    <row r="132" spans="1:6" ht="13.5">
      <c r="A132" s="2857">
        <v>60</v>
      </c>
      <c r="B132" s="3480" t="s">
        <v>2783</v>
      </c>
      <c r="C132" s="2857" t="s">
        <v>2784</v>
      </c>
      <c r="D132" s="2831" t="s">
        <v>2785</v>
      </c>
      <c r="E132" s="2857">
        <v>0.1</v>
      </c>
      <c r="F132" s="2857">
        <v>15</v>
      </c>
    </row>
    <row r="133" spans="1:6" ht="13.5">
      <c r="A133" s="2857">
        <v>61</v>
      </c>
      <c r="B133" s="3484"/>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485" t="s">
        <v>2791</v>
      </c>
      <c r="C135" s="2857" t="s">
        <v>2792</v>
      </c>
      <c r="D135" s="2831" t="s">
        <v>2793</v>
      </c>
      <c r="E135" s="2857">
        <v>0.1</v>
      </c>
      <c r="F135" s="2857">
        <v>15</v>
      </c>
    </row>
    <row r="136" spans="1:6" ht="13.5">
      <c r="A136" s="2857">
        <v>64</v>
      </c>
      <c r="B136" s="3485"/>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1"/>
      <c r="B4" s="3171" t="s">
        <v>917</v>
      </c>
      <c r="C4" s="3171"/>
      <c r="D4" s="3171"/>
      <c r="E4" s="1391"/>
    </row>
    <row r="5" spans="1:5" ht="16.5" thickTop="1">
      <c r="B5" s="3169" t="s">
        <v>909</v>
      </c>
      <c r="C5" s="1392" t="s">
        <v>910</v>
      </c>
      <c r="D5" s="797" t="e">
        <f ca="1">结果表!H101</f>
        <v>#REF!</v>
      </c>
    </row>
    <row r="6" spans="1:5" ht="15.75">
      <c r="B6" s="3169"/>
      <c r="C6" s="1392" t="s">
        <v>911</v>
      </c>
      <c r="D6" s="797" t="e">
        <f ca="1">NUMBERSTRING(INT(D5*10000),2)&amp;"元整"</f>
        <v>#REF!</v>
      </c>
    </row>
    <row r="7" spans="1:5" ht="15.75">
      <c r="B7" s="3174"/>
      <c r="C7" s="1393" t="s">
        <v>912</v>
      </c>
      <c r="D7" s="798" t="e">
        <f ca="1">结果表!H102</f>
        <v>#REF!</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t="e">
        <f ca="1">结果表!H107</f>
        <v>#REF!</v>
      </c>
    </row>
    <row r="14" spans="1:5" ht="15.75">
      <c r="B14" s="3169"/>
      <c r="C14" s="1392" t="s">
        <v>911</v>
      </c>
      <c r="D14" s="797" t="e">
        <f ca="1">NUMBERSTRING(INT(D13*10000),2)&amp;"元整"</f>
        <v>#REF!</v>
      </c>
    </row>
    <row r="15" spans="1:5" ht="15">
      <c r="B15" s="3174"/>
      <c r="C15" s="1393" t="s">
        <v>921</v>
      </c>
      <c r="D15" s="806" t="e">
        <f ca="1">结果表!H108</f>
        <v>#REF!</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v>
      </c>
      <c r="C19" s="1397" t="s">
        <v>910</v>
      </c>
      <c r="D19" s="798" t="str">
        <f>结果表!H111</f>
        <v>——</v>
      </c>
    </row>
    <row r="20" spans="1:5" ht="15.75">
      <c r="B20" s="3169"/>
      <c r="C20" s="1392" t="s">
        <v>923</v>
      </c>
      <c r="D20" s="797" t="e">
        <f>NUMBERSTRING(INT(D19*10000),2)&amp;"元整"</f>
        <v>#VALUE!</v>
      </c>
    </row>
    <row r="21" spans="1:5" ht="15.75" thickBot="1">
      <c r="B21" s="317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27105</v>
      </c>
      <c r="C2" s="2" t="s">
        <v>106</v>
      </c>
      <c r="D2" s="191"/>
      <c r="E2" s="191"/>
      <c r="F2" s="191"/>
      <c r="G2" s="191"/>
    </row>
    <row r="3" spans="1:7" s="192" customFormat="1" ht="18" customHeight="1" thickBot="1">
      <c r="A3" s="195" t="s">
        <v>58</v>
      </c>
      <c r="B3" s="196">
        <f ca="1">ROUND(B2*10000/'数据-汇总表'!E3,0)</f>
        <v>2975628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91.09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91.09</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2415</v>
      </c>
      <c r="D22" s="227">
        <f ca="1">C26</f>
        <v>5.9999999999999995E-4</v>
      </c>
      <c r="E22" s="228" t="s">
        <v>99</v>
      </c>
      <c r="F22" s="229">
        <f ca="1">'数据-取费表'!B40</f>
        <v>5.67E-2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2403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27071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0.03</v>
      </c>
      <c r="G36" s="252" t="s">
        <v>35</v>
      </c>
    </row>
    <row r="37" spans="1:7" s="250" customFormat="1" ht="13.5" customHeight="1">
      <c r="A37" s="734" t="s">
        <v>353</v>
      </c>
      <c r="B37" s="207" t="s">
        <v>91</v>
      </c>
      <c r="C37" s="241">
        <f>ROUND(E37*D37*F34/10000,0)</f>
        <v>1</v>
      </c>
      <c r="D37" s="209">
        <f>'数据-汇总表'!E3</f>
        <v>91.09</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3</v>
      </c>
      <c r="D45" s="227">
        <f>C47</f>
        <v>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36</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34</v>
      </c>
      <c r="D51" s="224"/>
      <c r="E51" s="224"/>
      <c r="F51" s="256"/>
      <c r="G51" s="226" t="s">
        <v>37</v>
      </c>
    </row>
    <row r="52" spans="1:7" s="200" customFormat="1" ht="16.5" thickBot="1">
      <c r="A52" s="257" t="s">
        <v>38</v>
      </c>
      <c r="B52" s="258"/>
      <c r="C52" s="259">
        <f ca="1">C31+C51</f>
        <v>27105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8" t="s">
        <v>2841</v>
      </c>
      <c r="B1" s="3488"/>
      <c r="C1" s="3488"/>
      <c r="D1" s="3488"/>
      <c r="E1" s="3488"/>
      <c r="F1" s="3488"/>
      <c r="G1" s="3489"/>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86"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487"/>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0" t="s">
        <v>3183</v>
      </c>
      <c r="B1" s="3490"/>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ht="14.25">
      <c r="A1" s="3491" t="s">
        <v>3234</v>
      </c>
      <c r="B1" s="3491"/>
      <c r="C1" s="3491"/>
      <c r="D1" s="3491"/>
      <c r="E1" s="3491"/>
      <c r="F1" s="3492"/>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39801</v>
      </c>
      <c r="B1" s="2929" t="s">
        <v>3373</v>
      </c>
      <c r="C1" s="2930"/>
      <c r="D1" s="2930"/>
      <c r="E1" s="2930"/>
      <c r="F1" s="2930"/>
      <c r="G1" s="2930"/>
      <c r="H1" s="2930"/>
      <c r="I1" s="2930"/>
      <c r="J1" s="2896"/>
      <c r="K1" s="2930" t="s">
        <v>454</v>
      </c>
      <c r="L1" s="2930"/>
      <c r="M1" s="2930"/>
      <c r="N1" s="2930"/>
      <c r="O1" s="2930"/>
      <c r="P1" s="2930"/>
      <c r="Q1" s="2896"/>
      <c r="R1" s="3493" t="s">
        <v>456</v>
      </c>
      <c r="S1" s="3494"/>
      <c r="T1" s="3494"/>
      <c r="U1" s="3494"/>
      <c r="V1" s="3494"/>
      <c r="W1" s="3494"/>
      <c r="X1" s="2896"/>
      <c r="Y1" s="3493" t="s">
        <v>457</v>
      </c>
      <c r="Z1" s="3494"/>
      <c r="AA1" s="3494"/>
      <c r="AB1" s="3494"/>
      <c r="AC1" s="3494"/>
      <c r="AD1" s="3494"/>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3379</v>
      </c>
      <c r="B5" s="2031">
        <v>2024</v>
      </c>
      <c r="C5" s="2042">
        <v>3</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5" customFormat="1" ht="12.75">
      <c r="A7" s="2905" t="s">
        <v>3382</v>
      </c>
      <c r="B7" s="2031">
        <v>2024</v>
      </c>
      <c r="C7" s="2042">
        <v>1</v>
      </c>
      <c r="D7" s="2007">
        <v>0.08</v>
      </c>
      <c r="E7" s="2007">
        <v>0.46</v>
      </c>
      <c r="F7" s="2007">
        <v>-0.16</v>
      </c>
      <c r="G7" s="2007">
        <v>0.26</v>
      </c>
      <c r="H7" s="2917">
        <v>0.59</v>
      </c>
      <c r="I7" s="2008">
        <v>0</v>
      </c>
      <c r="J7" s="2906"/>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6"/>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6"/>
      <c r="Y7" s="2028"/>
      <c r="Z7" s="2028"/>
      <c r="AA7" s="2028"/>
      <c r="AB7" s="2028"/>
      <c r="AC7" s="2028"/>
      <c r="AD7" s="2028"/>
    </row>
    <row r="8" spans="1:30" s="2045" customFormat="1" ht="12.75">
      <c r="A8" s="2905" t="s">
        <v>3377</v>
      </c>
      <c r="B8" s="2031">
        <v>2023</v>
      </c>
      <c r="C8" s="2042">
        <v>4</v>
      </c>
      <c r="D8" s="2007">
        <v>0.19</v>
      </c>
      <c r="E8" s="2007">
        <v>0.24</v>
      </c>
      <c r="F8" s="2007">
        <v>-0.16</v>
      </c>
      <c r="G8" s="2007">
        <v>0.17</v>
      </c>
      <c r="H8" s="2917">
        <v>0.61</v>
      </c>
      <c r="I8" s="2008">
        <f>F8</f>
        <v>-0.16</v>
      </c>
      <c r="J8" s="2906"/>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6"/>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6"/>
      <c r="Y8" s="2028"/>
      <c r="Z8" s="2028"/>
      <c r="AA8" s="2028"/>
      <c r="AB8" s="2028"/>
      <c r="AC8" s="2028"/>
      <c r="AD8" s="2028"/>
    </row>
    <row r="9" spans="1:30" s="2045" customFormat="1" ht="12.75">
      <c r="A9" s="2905" t="s">
        <v>3376</v>
      </c>
      <c r="B9" s="2031">
        <v>2023</v>
      </c>
      <c r="C9" s="2042">
        <v>3</v>
      </c>
      <c r="D9" s="2007">
        <v>0.25</v>
      </c>
      <c r="E9" s="2007">
        <v>0.5</v>
      </c>
      <c r="F9" s="2007">
        <v>0.31</v>
      </c>
      <c r="G9" s="2007">
        <v>0.21</v>
      </c>
      <c r="H9" s="2917">
        <v>0.43</v>
      </c>
      <c r="I9" s="2008">
        <f t="shared" si="15"/>
        <v>0.31</v>
      </c>
      <c r="J9" s="2906"/>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6"/>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6"/>
      <c r="Y9" s="2028"/>
      <c r="Z9" s="2028"/>
      <c r="AA9" s="2028"/>
      <c r="AB9" s="2028"/>
      <c r="AC9" s="2028"/>
      <c r="AD9" s="2028"/>
    </row>
    <row r="10" spans="1:30" s="2045" customFormat="1" ht="12.75">
      <c r="A10" s="2905" t="s">
        <v>3372</v>
      </c>
      <c r="B10" s="2031">
        <v>2023</v>
      </c>
      <c r="C10" s="2042">
        <v>2</v>
      </c>
      <c r="D10" s="2007">
        <v>0.91</v>
      </c>
      <c r="E10" s="2007">
        <v>0.66</v>
      </c>
      <c r="F10" s="2007">
        <v>0.47</v>
      </c>
      <c r="G10" s="2007">
        <v>0.96</v>
      </c>
      <c r="H10" s="2917">
        <v>0.71</v>
      </c>
      <c r="I10" s="2008">
        <f t="shared" si="15"/>
        <v>0.47</v>
      </c>
      <c r="J10" s="2906"/>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6"/>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6"/>
      <c r="Y10" s="2028"/>
      <c r="Z10" s="2028"/>
      <c r="AA10" s="2028"/>
      <c r="AB10" s="2028"/>
      <c r="AC10" s="2028"/>
      <c r="AD10" s="2028"/>
    </row>
    <row r="11" spans="1:30" s="2045" customFormat="1" ht="12.75">
      <c r="A11" s="2905" t="s">
        <v>3371</v>
      </c>
      <c r="B11" s="2031">
        <v>2023</v>
      </c>
      <c r="C11" s="2042">
        <v>1</v>
      </c>
      <c r="D11" s="2007">
        <v>0.89</v>
      </c>
      <c r="E11" s="2007">
        <v>0.74</v>
      </c>
      <c r="F11" s="2007">
        <v>0.56999999999999995</v>
      </c>
      <c r="G11" s="2007">
        <v>0.92</v>
      </c>
      <c r="H11" s="2917">
        <v>0.5</v>
      </c>
      <c r="I11" s="2008">
        <f t="shared" si="15"/>
        <v>0.56999999999999995</v>
      </c>
      <c r="J11" s="2906"/>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6"/>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6"/>
      <c r="Y11" s="2028"/>
      <c r="Z11" s="2028"/>
      <c r="AA11" s="2028"/>
      <c r="AB11" s="2028"/>
      <c r="AC11" s="2028"/>
      <c r="AD11" s="2028"/>
    </row>
    <row r="12" spans="1:30" s="2045" customFormat="1" ht="12.75">
      <c r="A12" s="2905" t="s">
        <v>3370</v>
      </c>
      <c r="B12" s="2031">
        <v>2022</v>
      </c>
      <c r="C12" s="2042">
        <v>4</v>
      </c>
      <c r="D12" s="2007">
        <v>0.62</v>
      </c>
      <c r="E12" s="2007">
        <v>0.2</v>
      </c>
      <c r="F12" s="2007">
        <v>0.11</v>
      </c>
      <c r="G12" s="2007">
        <v>0.69</v>
      </c>
      <c r="H12" s="2917">
        <v>0.53</v>
      </c>
      <c r="I12" s="2008">
        <f t="shared" si="15"/>
        <v>0.11</v>
      </c>
      <c r="J12" s="2906"/>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6"/>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6"/>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5" t="s">
        <v>3366</v>
      </c>
      <c r="B13" s="2031">
        <v>2022</v>
      </c>
      <c r="C13" s="2042">
        <v>3</v>
      </c>
      <c r="D13" s="2007">
        <v>0.66</v>
      </c>
      <c r="E13" s="2007">
        <v>0.32</v>
      </c>
      <c r="F13" s="2007">
        <v>0.23</v>
      </c>
      <c r="G13" s="2007">
        <v>0.72</v>
      </c>
      <c r="H13" s="2917">
        <v>0.63</v>
      </c>
      <c r="I13" s="2008">
        <f t="shared" si="15"/>
        <v>0.23</v>
      </c>
      <c r="J13" s="2906"/>
      <c r="K13" s="2043">
        <f t="shared" si="16"/>
        <v>6.6E-3</v>
      </c>
      <c r="L13" s="2028">
        <f t="shared" si="16"/>
        <v>3.2000000000000002E-3</v>
      </c>
      <c r="M13" s="2028">
        <f t="shared" si="16"/>
        <v>2.3E-3</v>
      </c>
      <c r="N13" s="2028">
        <f t="shared" si="16"/>
        <v>7.1999999999999998E-3</v>
      </c>
      <c r="O13" s="2028">
        <f t="shared" si="16"/>
        <v>6.3E-3</v>
      </c>
      <c r="P13" s="2028">
        <f t="shared" si="36"/>
        <v>2.3E-3</v>
      </c>
      <c r="Q13" s="2906"/>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6"/>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5" t="s">
        <v>3357</v>
      </c>
      <c r="B14" s="2031">
        <v>2022</v>
      </c>
      <c r="C14" s="2042">
        <v>2</v>
      </c>
      <c r="D14" s="2007">
        <v>0.93</v>
      </c>
      <c r="E14" s="2007">
        <v>0.15</v>
      </c>
      <c r="F14" s="2007">
        <v>0.01</v>
      </c>
      <c r="G14" s="2007">
        <v>1.05</v>
      </c>
      <c r="H14" s="2917">
        <v>1.08</v>
      </c>
      <c r="I14" s="2008">
        <f t="shared" si="15"/>
        <v>0.01</v>
      </c>
      <c r="J14" s="2906"/>
      <c r="K14" s="2043">
        <f t="shared" si="16"/>
        <v>9.300000000000001E-3</v>
      </c>
      <c r="L14" s="2028">
        <f t="shared" si="16"/>
        <v>1.5E-3</v>
      </c>
      <c r="M14" s="2028">
        <f t="shared" si="16"/>
        <v>1E-4</v>
      </c>
      <c r="N14" s="2028">
        <f t="shared" si="16"/>
        <v>1.0500000000000001E-2</v>
      </c>
      <c r="O14" s="2028">
        <f t="shared" si="16"/>
        <v>1.0800000000000001E-2</v>
      </c>
      <c r="P14" s="2028">
        <f t="shared" si="36"/>
        <v>1E-4</v>
      </c>
      <c r="Q14" s="2906"/>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6"/>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5" t="s">
        <v>2822</v>
      </c>
      <c r="B15" s="2031">
        <v>2022</v>
      </c>
      <c r="C15" s="2042">
        <v>1</v>
      </c>
      <c r="D15" s="2007">
        <v>0.89</v>
      </c>
      <c r="E15" s="2007">
        <v>0.44</v>
      </c>
      <c r="F15" s="2007">
        <v>0.37</v>
      </c>
      <c r="G15" s="2007">
        <v>0.96</v>
      </c>
      <c r="H15" s="2917">
        <v>0.64</v>
      </c>
      <c r="I15" s="2008">
        <f t="shared" si="15"/>
        <v>0.37</v>
      </c>
      <c r="J15" s="2906"/>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6"/>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6"/>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5" t="s">
        <v>2823</v>
      </c>
      <c r="B16" s="2031">
        <v>2021</v>
      </c>
      <c r="C16" s="2042">
        <v>4</v>
      </c>
      <c r="D16" s="2007">
        <v>1.03</v>
      </c>
      <c r="E16" s="2007">
        <v>0.24</v>
      </c>
      <c r="F16" s="2007">
        <v>7.0000000000000007E-2</v>
      </c>
      <c r="G16" s="2007">
        <v>1.17</v>
      </c>
      <c r="H16" s="2917">
        <v>0.55000000000000004</v>
      </c>
      <c r="I16" s="2008">
        <f t="shared" si="15"/>
        <v>7.0000000000000007E-2</v>
      </c>
      <c r="J16" s="2906"/>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6"/>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6"/>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5" t="s">
        <v>2824</v>
      </c>
      <c r="B17" s="2031">
        <v>2021</v>
      </c>
      <c r="C17" s="2042">
        <v>3</v>
      </c>
      <c r="D17" s="2007">
        <v>0.47</v>
      </c>
      <c r="E17" s="2007">
        <v>0.41</v>
      </c>
      <c r="F17" s="2007">
        <v>0.24</v>
      </c>
      <c r="G17" s="2007">
        <v>0.48</v>
      </c>
      <c r="H17" s="2917">
        <v>0.48</v>
      </c>
      <c r="I17" s="2008">
        <f t="shared" si="15"/>
        <v>0.24</v>
      </c>
      <c r="J17" s="2906"/>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6"/>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6"/>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5" t="s">
        <v>2825</v>
      </c>
      <c r="B18" s="2031">
        <v>2021</v>
      </c>
      <c r="C18" s="2042">
        <v>2</v>
      </c>
      <c r="D18" s="2007">
        <v>0.92</v>
      </c>
      <c r="E18" s="2007">
        <v>0.72</v>
      </c>
      <c r="F18" s="2007">
        <v>0.41</v>
      </c>
      <c r="G18" s="2007">
        <v>0.95</v>
      </c>
      <c r="H18" s="2917">
        <v>1.01</v>
      </c>
      <c r="I18" s="2008">
        <f t="shared" si="15"/>
        <v>0.41</v>
      </c>
      <c r="J18" s="2906"/>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6"/>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6"/>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5" t="s">
        <v>2827</v>
      </c>
    </row>
    <row r="24" spans="1:30" s="2009" customFormat="1" ht="12.75">
      <c r="B24" s="2929" t="s">
        <v>3374</v>
      </c>
      <c r="C24" s="2930"/>
      <c r="D24" s="2930"/>
      <c r="E24" s="2930"/>
      <c r="F24" s="2930"/>
      <c r="G24" s="2930"/>
      <c r="H24" s="2930"/>
      <c r="I24" s="2930"/>
      <c r="J24" s="2896"/>
      <c r="K24" s="2930" t="s">
        <v>2828</v>
      </c>
      <c r="L24" s="2930"/>
      <c r="M24" s="2930"/>
      <c r="N24" s="2930"/>
      <c r="O24" s="2930"/>
      <c r="P24" s="2930"/>
      <c r="Q24" s="2896"/>
      <c r="R24" s="3493" t="s">
        <v>2829</v>
      </c>
      <c r="S24" s="3494"/>
      <c r="T24" s="3494"/>
      <c r="U24" s="3494"/>
      <c r="V24" s="3494"/>
      <c r="W24" s="3494"/>
      <c r="X24" s="2896"/>
      <c r="Y24" s="3493" t="s">
        <v>2830</v>
      </c>
      <c r="Z24" s="3494"/>
      <c r="AA24" s="3494"/>
      <c r="AB24" s="3494"/>
      <c r="AC24" s="3494"/>
      <c r="AD24" s="3494"/>
    </row>
    <row r="25" spans="1:30" s="2010" customFormat="1" ht="14.25" thickBot="1">
      <c r="B25" s="2881"/>
      <c r="C25" s="2882"/>
      <c r="D25" s="2011" t="s">
        <v>2831</v>
      </c>
      <c r="E25" s="2012" t="s">
        <v>2832</v>
      </c>
      <c r="F25" s="2012" t="s">
        <v>2833</v>
      </c>
      <c r="G25" s="2012" t="s">
        <v>2834</v>
      </c>
      <c r="H25" s="2012"/>
      <c r="I25" s="2012" t="s">
        <v>2835</v>
      </c>
      <c r="J25" s="2883"/>
      <c r="K25" s="2011" t="s">
        <v>2831</v>
      </c>
      <c r="L25" s="2012" t="s">
        <v>2832</v>
      </c>
      <c r="M25" s="2012" t="s">
        <v>2833</v>
      </c>
      <c r="N25" s="2012" t="s">
        <v>2834</v>
      </c>
      <c r="O25" s="2012"/>
      <c r="P25" s="2012" t="s">
        <v>2835</v>
      </c>
      <c r="Q25" s="2883"/>
      <c r="R25" s="2011" t="s">
        <v>2831</v>
      </c>
      <c r="S25" s="2012" t="s">
        <v>2832</v>
      </c>
      <c r="T25" s="2012" t="s">
        <v>2833</v>
      </c>
      <c r="U25" s="2012" t="s">
        <v>2834</v>
      </c>
      <c r="V25" s="2012"/>
      <c r="W25" s="2012" t="s">
        <v>2835</v>
      </c>
      <c r="X25" s="2883"/>
      <c r="Y25" s="2011" t="s">
        <v>2831</v>
      </c>
      <c r="Z25" s="2012" t="s">
        <v>2832</v>
      </c>
      <c r="AA25" s="2012" t="s">
        <v>2833</v>
      </c>
      <c r="AB25" s="2012" t="s">
        <v>2834</v>
      </c>
      <c r="AC25" s="2012"/>
      <c r="AD25" s="2012"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9" customFormat="1" ht="12.75">
      <c r="B27" s="2025"/>
      <c r="J27" s="2896"/>
      <c r="K27" s="2897"/>
      <c r="L27" s="2898"/>
      <c r="M27" s="2898"/>
      <c r="N27" s="2898"/>
      <c r="O27" s="2898"/>
      <c r="P27" s="2898"/>
      <c r="Q27" s="2896"/>
      <c r="R27" s="2027"/>
      <c r="S27" s="2899"/>
      <c r="T27" s="2900"/>
      <c r="U27" s="2027"/>
      <c r="V27" s="2901"/>
      <c r="W27" s="2027"/>
      <c r="X27" s="2896"/>
      <c r="Y27" s="2028"/>
      <c r="Z27" s="2902"/>
      <c r="AA27" s="2903"/>
      <c r="AB27" s="2028"/>
      <c r="AC27" s="2904"/>
      <c r="AD27" s="2028"/>
    </row>
    <row r="28" spans="1:30" s="2045" customFormat="1" ht="12.75">
      <c r="A28" s="2040" t="s">
        <v>3379</v>
      </c>
      <c r="B28" s="2031">
        <v>2024</v>
      </c>
      <c r="C28" s="2042">
        <v>3</v>
      </c>
      <c r="D28" s="2007"/>
      <c r="E28" s="2007">
        <v>0</v>
      </c>
      <c r="F28" s="2007">
        <v>0</v>
      </c>
      <c r="G28" s="2007">
        <v>0</v>
      </c>
      <c r="H28" s="2007"/>
      <c r="I28" s="2008">
        <f t="shared" ref="I28" si="47">F28</f>
        <v>0</v>
      </c>
      <c r="J28" s="2906"/>
      <c r="K28" s="2043"/>
      <c r="L28" s="2028">
        <f t="shared" ref="L28" si="48">E28/100</f>
        <v>0</v>
      </c>
      <c r="M28" s="2028">
        <f t="shared" ref="M28" si="49">F28/100</f>
        <v>0</v>
      </c>
      <c r="N28" s="2028">
        <f t="shared" ref="N28" si="50">G28/100</f>
        <v>0</v>
      </c>
      <c r="O28" s="2028"/>
      <c r="P28" s="2028">
        <f>M28</f>
        <v>0</v>
      </c>
      <c r="Q28" s="2906"/>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6"/>
      <c r="Y28" s="2028"/>
      <c r="Z28" s="2902">
        <f t="shared" ref="Z28:AB29" si="51">IF(E28=0,0,ROUND(AVERAGE(E28:E41)/100,4))</f>
        <v>0</v>
      </c>
      <c r="AA28" s="2902">
        <f t="shared" si="51"/>
        <v>0</v>
      </c>
      <c r="AB28" s="2902">
        <f t="shared" si="51"/>
        <v>0</v>
      </c>
      <c r="AC28" s="2904"/>
      <c r="AD28" s="2028">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5" customFormat="1" ht="12.75">
      <c r="A30" s="2905" t="s">
        <v>3381</v>
      </c>
      <c r="B30" s="2031">
        <v>2024</v>
      </c>
      <c r="C30" s="2042">
        <v>1</v>
      </c>
      <c r="D30" s="2007"/>
      <c r="E30" s="2007">
        <v>0.25</v>
      </c>
      <c r="F30" s="2007">
        <v>0.4</v>
      </c>
      <c r="G30" s="2007">
        <v>-0.63</v>
      </c>
      <c r="H30" s="2917"/>
      <c r="I30" s="2008">
        <f t="shared" ref="I30:I31" si="54">F30</f>
        <v>0.4</v>
      </c>
      <c r="J30" s="2906"/>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6"/>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6"/>
      <c r="Y30" s="2028"/>
      <c r="Z30" s="2902"/>
      <c r="AA30" s="2903"/>
      <c r="AB30" s="2028"/>
      <c r="AC30" s="2904"/>
      <c r="AD30" s="2028"/>
    </row>
    <row r="31" spans="1:30" s="2045" customFormat="1" ht="12.75">
      <c r="A31" s="2905" t="s">
        <v>3378</v>
      </c>
      <c r="B31" s="2031">
        <v>2023</v>
      </c>
      <c r="C31" s="2042">
        <v>4</v>
      </c>
      <c r="D31" s="2007"/>
      <c r="E31" s="2007">
        <v>7.0000000000000007E-2</v>
      </c>
      <c r="F31" s="2007">
        <v>0.09</v>
      </c>
      <c r="G31" s="2007">
        <v>0.03</v>
      </c>
      <c r="H31" s="2917"/>
      <c r="I31" s="2008">
        <f t="shared" si="54"/>
        <v>0.09</v>
      </c>
      <c r="J31" s="2906"/>
      <c r="K31" s="2043"/>
      <c r="L31" s="2028">
        <f t="shared" si="53"/>
        <v>7.000000000000001E-4</v>
      </c>
      <c r="M31" s="2028">
        <f t="shared" si="53"/>
        <v>8.9999999999999998E-4</v>
      </c>
      <c r="N31" s="2028">
        <f t="shared" si="53"/>
        <v>2.9999999999999997E-4</v>
      </c>
      <c r="O31" s="2028"/>
      <c r="P31" s="2028">
        <f t="shared" ref="P31" si="60">M31</f>
        <v>8.9999999999999998E-4</v>
      </c>
      <c r="Q31" s="2906"/>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6"/>
      <c r="Y31" s="2028"/>
      <c r="Z31" s="2902"/>
      <c r="AA31" s="2903"/>
      <c r="AB31" s="2028"/>
      <c r="AC31" s="2904"/>
      <c r="AD31" s="2028"/>
    </row>
    <row r="32" spans="1:30" s="2045" customFormat="1" ht="12.75">
      <c r="A32" s="2905" t="s">
        <v>3376</v>
      </c>
      <c r="B32" s="2031">
        <v>2023</v>
      </c>
      <c r="C32" s="2042">
        <v>3</v>
      </c>
      <c r="D32" s="2007"/>
      <c r="E32" s="2007">
        <v>0.35</v>
      </c>
      <c r="F32" s="2007">
        <v>0.17</v>
      </c>
      <c r="G32" s="2007">
        <v>0.52</v>
      </c>
      <c r="H32" s="2917"/>
      <c r="I32" s="2008">
        <f t="shared" si="52"/>
        <v>0.17</v>
      </c>
      <c r="J32" s="2906"/>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6"/>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6"/>
      <c r="Y32" s="2028"/>
      <c r="Z32" s="2902"/>
      <c r="AA32" s="2903"/>
      <c r="AB32" s="2028"/>
      <c r="AC32" s="2904"/>
      <c r="AD32" s="2028"/>
    </row>
    <row r="33" spans="1:30" s="2045" customFormat="1" ht="12.75">
      <c r="A33" s="2905" t="s">
        <v>3375</v>
      </c>
      <c r="B33" s="2031">
        <v>2023</v>
      </c>
      <c r="C33" s="2042">
        <v>2</v>
      </c>
      <c r="D33" s="2007"/>
      <c r="E33" s="2007">
        <v>0.5</v>
      </c>
      <c r="F33" s="2007">
        <v>0.45</v>
      </c>
      <c r="G33" s="2007">
        <v>0.89</v>
      </c>
      <c r="H33" s="2917"/>
      <c r="I33" s="2008">
        <f t="shared" si="52"/>
        <v>0.45</v>
      </c>
      <c r="J33" s="2906"/>
      <c r="K33" s="2043"/>
      <c r="L33" s="2028">
        <f t="shared" si="62"/>
        <v>5.0000000000000001E-3</v>
      </c>
      <c r="M33" s="2028">
        <f t="shared" si="63"/>
        <v>4.5000000000000005E-3</v>
      </c>
      <c r="N33" s="2028">
        <f t="shared" si="64"/>
        <v>8.8999999999999999E-3</v>
      </c>
      <c r="O33" s="2028"/>
      <c r="P33" s="2028">
        <f t="shared" si="65"/>
        <v>4.5000000000000005E-3</v>
      </c>
      <c r="Q33" s="2906"/>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6"/>
      <c r="Y33" s="2028"/>
      <c r="Z33" s="2902"/>
      <c r="AA33" s="2903"/>
      <c r="AB33" s="2028"/>
      <c r="AC33" s="2904"/>
      <c r="AD33" s="2028"/>
    </row>
    <row r="34" spans="1:30" s="2045" customFormat="1" ht="12.75">
      <c r="A34" s="2905" t="s">
        <v>3371</v>
      </c>
      <c r="B34" s="2031">
        <v>2023</v>
      </c>
      <c r="C34" s="2042">
        <v>1</v>
      </c>
      <c r="D34" s="2007"/>
      <c r="E34" s="2007">
        <v>0.55000000000000004</v>
      </c>
      <c r="F34" s="2007">
        <v>0.59</v>
      </c>
      <c r="G34" s="2007">
        <v>0.64</v>
      </c>
      <c r="H34" s="2917"/>
      <c r="I34" s="2008">
        <f t="shared" si="52"/>
        <v>0.59</v>
      </c>
      <c r="J34" s="2906"/>
      <c r="K34" s="2043"/>
      <c r="L34" s="2028">
        <f t="shared" si="62"/>
        <v>5.5000000000000005E-3</v>
      </c>
      <c r="M34" s="2028">
        <f t="shared" si="63"/>
        <v>5.8999999999999999E-3</v>
      </c>
      <c r="N34" s="2028">
        <f t="shared" si="64"/>
        <v>6.4000000000000003E-3</v>
      </c>
      <c r="O34" s="2028"/>
      <c r="P34" s="2028">
        <f t="shared" si="65"/>
        <v>5.8999999999999999E-3</v>
      </c>
      <c r="Q34" s="2906"/>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6"/>
      <c r="Y34" s="2028"/>
      <c r="Z34" s="2902"/>
      <c r="AA34" s="2903"/>
      <c r="AB34" s="2028"/>
      <c r="AC34" s="2904"/>
      <c r="AD34" s="2028"/>
    </row>
    <row r="35" spans="1:30" s="2045" customFormat="1" ht="12.75">
      <c r="A35" s="2905" t="s">
        <v>3370</v>
      </c>
      <c r="B35" s="2031">
        <v>2022</v>
      </c>
      <c r="C35" s="2042">
        <v>4</v>
      </c>
      <c r="D35" s="2007"/>
      <c r="E35" s="2007">
        <v>0.45</v>
      </c>
      <c r="F35" s="2007">
        <v>0.2</v>
      </c>
      <c r="G35" s="2007">
        <v>0.38</v>
      </c>
      <c r="H35" s="2917"/>
      <c r="I35" s="2008">
        <f t="shared" si="52"/>
        <v>0.2</v>
      </c>
      <c r="J35" s="2906"/>
      <c r="K35" s="2043"/>
      <c r="L35" s="2028">
        <f t="shared" si="53"/>
        <v>4.5000000000000005E-3</v>
      </c>
      <c r="M35" s="2028">
        <f t="shared" si="53"/>
        <v>2E-3</v>
      </c>
      <c r="N35" s="2028">
        <f t="shared" si="53"/>
        <v>3.8E-3</v>
      </c>
      <c r="O35" s="2028"/>
      <c r="P35" s="2028">
        <f t="shared" ref="P35:P42" si="67">M35</f>
        <v>2E-3</v>
      </c>
      <c r="Q35" s="2906"/>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6"/>
      <c r="Y35" s="2028"/>
      <c r="Z35" s="2902">
        <f t="shared" ref="Z35:AD42" si="69">IF(E35=0,0,ROUND(AVERAGE(E35:E43)/100,4))</f>
        <v>4.0000000000000001E-3</v>
      </c>
      <c r="AA35" s="2903">
        <f t="shared" si="69"/>
        <v>2.5999999999999999E-3</v>
      </c>
      <c r="AB35" s="2028">
        <f t="shared" si="69"/>
        <v>7.4000000000000003E-3</v>
      </c>
      <c r="AC35" s="2904"/>
      <c r="AD35" s="2028">
        <f t="shared" si="69"/>
        <v>2.5999999999999999E-3</v>
      </c>
    </row>
    <row r="36" spans="1:30" s="2045" customFormat="1" ht="12.75">
      <c r="A36" s="2905" t="s">
        <v>3367</v>
      </c>
      <c r="B36" s="2031">
        <v>2022</v>
      </c>
      <c r="C36" s="2042">
        <v>3</v>
      </c>
      <c r="D36" s="2007"/>
      <c r="E36" s="2007">
        <v>0.3</v>
      </c>
      <c r="F36" s="2007">
        <v>0.28999999999999998</v>
      </c>
      <c r="G36" s="2007">
        <v>0.83</v>
      </c>
      <c r="H36" s="2917"/>
      <c r="I36" s="2008">
        <f t="shared" si="52"/>
        <v>0.28999999999999998</v>
      </c>
      <c r="J36" s="2906"/>
      <c r="K36" s="2043"/>
      <c r="L36" s="2028">
        <f t="shared" si="53"/>
        <v>3.0000000000000001E-3</v>
      </c>
      <c r="M36" s="2028">
        <f t="shared" si="53"/>
        <v>2.8999999999999998E-3</v>
      </c>
      <c r="N36" s="2028">
        <f t="shared" si="53"/>
        <v>8.3000000000000001E-3</v>
      </c>
      <c r="O36" s="2028"/>
      <c r="P36" s="2028">
        <f t="shared" si="67"/>
        <v>2.8999999999999998E-3</v>
      </c>
      <c r="Q36" s="2906"/>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6"/>
      <c r="Y36" s="2028"/>
      <c r="Z36" s="2902">
        <f t="shared" si="69"/>
        <v>3.8999999999999998E-3</v>
      </c>
      <c r="AA36" s="2903">
        <f t="shared" si="69"/>
        <v>2.7000000000000001E-3</v>
      </c>
      <c r="AB36" s="2028">
        <f t="shared" si="69"/>
        <v>7.9000000000000008E-3</v>
      </c>
      <c r="AC36" s="2904"/>
      <c r="AD36" s="2028">
        <f t="shared" si="69"/>
        <v>2.7000000000000001E-3</v>
      </c>
    </row>
    <row r="37" spans="1:30" s="2045" customFormat="1" ht="12.75">
      <c r="A37" s="2905" t="s">
        <v>3357</v>
      </c>
      <c r="B37" s="2031">
        <v>2022</v>
      </c>
      <c r="C37" s="2042">
        <v>2</v>
      </c>
      <c r="D37" s="2007"/>
      <c r="E37" s="2007">
        <v>-0.11</v>
      </c>
      <c r="F37" s="2007">
        <v>-0.13</v>
      </c>
      <c r="G37" s="2007">
        <v>0.53</v>
      </c>
      <c r="H37" s="2917"/>
      <c r="I37" s="2008">
        <f t="shared" si="52"/>
        <v>-0.13</v>
      </c>
      <c r="J37" s="2906"/>
      <c r="K37" s="2043"/>
      <c r="L37" s="2028">
        <f t="shared" si="53"/>
        <v>-1.1000000000000001E-3</v>
      </c>
      <c r="M37" s="2028">
        <f t="shared" si="53"/>
        <v>-1.2999999999999999E-3</v>
      </c>
      <c r="N37" s="2028">
        <f t="shared" si="53"/>
        <v>5.3E-3</v>
      </c>
      <c r="O37" s="2028"/>
      <c r="P37" s="2028">
        <f t="shared" si="67"/>
        <v>-1.2999999999999999E-3</v>
      </c>
      <c r="Q37" s="2906"/>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6"/>
      <c r="Y37" s="2028"/>
      <c r="Z37" s="2902">
        <f t="shared" si="69"/>
        <v>4.1000000000000003E-3</v>
      </c>
      <c r="AA37" s="2903">
        <f t="shared" si="69"/>
        <v>2.7000000000000001E-3</v>
      </c>
      <c r="AB37" s="2028">
        <f t="shared" si="69"/>
        <v>7.9000000000000008E-3</v>
      </c>
      <c r="AC37" s="2904"/>
      <c r="AD37" s="2028">
        <f t="shared" si="69"/>
        <v>2.7000000000000001E-3</v>
      </c>
    </row>
    <row r="38" spans="1:30" s="2045" customFormat="1" ht="12.75">
      <c r="A38" s="2905" t="s">
        <v>2837</v>
      </c>
      <c r="B38" s="2031">
        <v>2022</v>
      </c>
      <c r="C38" s="2042">
        <v>1</v>
      </c>
      <c r="D38" s="2007"/>
      <c r="E38" s="2007">
        <v>0.6</v>
      </c>
      <c r="F38" s="2007">
        <v>0.45</v>
      </c>
      <c r="G38" s="2007">
        <v>0.53</v>
      </c>
      <c r="H38" s="2917"/>
      <c r="I38" s="2008">
        <f t="shared" si="52"/>
        <v>0.45</v>
      </c>
      <c r="J38" s="2906"/>
      <c r="K38" s="2043"/>
      <c r="L38" s="2028">
        <f t="shared" si="53"/>
        <v>6.0000000000000001E-3</v>
      </c>
      <c r="M38" s="2028">
        <f t="shared" si="53"/>
        <v>4.5000000000000005E-3</v>
      </c>
      <c r="N38" s="2028">
        <f t="shared" si="53"/>
        <v>5.3E-3</v>
      </c>
      <c r="O38" s="2028"/>
      <c r="P38" s="2028">
        <f t="shared" si="67"/>
        <v>4.5000000000000005E-3</v>
      </c>
      <c r="Q38" s="2906"/>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6"/>
      <c r="Y38" s="2028"/>
      <c r="Z38" s="2902">
        <f t="shared" si="69"/>
        <v>5.1000000000000004E-3</v>
      </c>
      <c r="AA38" s="2903">
        <f t="shared" si="69"/>
        <v>3.5000000000000001E-3</v>
      </c>
      <c r="AB38" s="2028">
        <f t="shared" si="69"/>
        <v>8.3999999999999995E-3</v>
      </c>
      <c r="AC38" s="2904"/>
      <c r="AD38" s="2028">
        <f t="shared" si="69"/>
        <v>3.5000000000000001E-3</v>
      </c>
    </row>
    <row r="39" spans="1:30" s="2045" customFormat="1" ht="12.75">
      <c r="A39" s="2905" t="s">
        <v>2838</v>
      </c>
      <c r="B39" s="2031">
        <v>2021</v>
      </c>
      <c r="C39" s="2042">
        <v>4</v>
      </c>
      <c r="D39" s="2007"/>
      <c r="E39" s="2007">
        <v>0.57999999999999996</v>
      </c>
      <c r="F39" s="2007">
        <v>0.08</v>
      </c>
      <c r="G39" s="2007">
        <v>0.68</v>
      </c>
      <c r="H39" s="2917"/>
      <c r="I39" s="2008">
        <f t="shared" si="52"/>
        <v>0.08</v>
      </c>
      <c r="J39" s="2906"/>
      <c r="K39" s="2043"/>
      <c r="L39" s="2028">
        <f t="shared" si="53"/>
        <v>5.7999999999999996E-3</v>
      </c>
      <c r="M39" s="2028">
        <f t="shared" si="53"/>
        <v>8.0000000000000004E-4</v>
      </c>
      <c r="N39" s="2028">
        <f t="shared" si="53"/>
        <v>6.8000000000000005E-3</v>
      </c>
      <c r="O39" s="2028"/>
      <c r="P39" s="2028">
        <f t="shared" si="67"/>
        <v>8.0000000000000004E-4</v>
      </c>
      <c r="Q39" s="2906"/>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6"/>
      <c r="Y39" s="2028"/>
      <c r="Z39" s="2902">
        <f t="shared" si="69"/>
        <v>4.8999999999999998E-3</v>
      </c>
      <c r="AA39" s="2903">
        <f t="shared" si="69"/>
        <v>3.3E-3</v>
      </c>
      <c r="AB39" s="2028">
        <f t="shared" si="69"/>
        <v>9.1999999999999998E-3</v>
      </c>
      <c r="AC39" s="2904"/>
      <c r="AD39" s="2028">
        <f t="shared" si="69"/>
        <v>3.3E-3</v>
      </c>
    </row>
    <row r="40" spans="1:30" s="2045" customFormat="1" ht="12.75">
      <c r="A40" s="2905" t="s">
        <v>2839</v>
      </c>
      <c r="B40" s="2031">
        <v>2021</v>
      </c>
      <c r="C40" s="2042">
        <v>3</v>
      </c>
      <c r="D40" s="2007"/>
      <c r="E40" s="2007">
        <v>0.47</v>
      </c>
      <c r="F40" s="2007">
        <v>0.28000000000000003</v>
      </c>
      <c r="G40" s="2007">
        <v>0.91</v>
      </c>
      <c r="H40" s="2917"/>
      <c r="I40" s="2008">
        <f t="shared" si="52"/>
        <v>0.28000000000000003</v>
      </c>
      <c r="J40" s="2906"/>
      <c r="K40" s="2043"/>
      <c r="L40" s="2028">
        <f t="shared" si="53"/>
        <v>4.6999999999999993E-3</v>
      </c>
      <c r="M40" s="2028">
        <f t="shared" si="53"/>
        <v>2.8000000000000004E-3</v>
      </c>
      <c r="N40" s="2028">
        <f t="shared" si="53"/>
        <v>9.1000000000000004E-3</v>
      </c>
      <c r="O40" s="2028"/>
      <c r="P40" s="2028">
        <f t="shared" si="67"/>
        <v>2.8000000000000004E-3</v>
      </c>
      <c r="Q40" s="2906"/>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6"/>
      <c r="Y40" s="2028"/>
      <c r="Z40" s="2902">
        <f t="shared" si="69"/>
        <v>4.5999999999999999E-3</v>
      </c>
      <c r="AA40" s="2903">
        <f t="shared" si="69"/>
        <v>4.1000000000000003E-3</v>
      </c>
      <c r="AB40" s="2028">
        <f t="shared" si="69"/>
        <v>0.01</v>
      </c>
      <c r="AC40" s="2904"/>
      <c r="AD40" s="2028">
        <f t="shared" si="69"/>
        <v>4.1000000000000003E-3</v>
      </c>
    </row>
    <row r="41" spans="1:30" s="2045" customFormat="1" ht="12.75">
      <c r="A41" s="2905" t="s">
        <v>2840</v>
      </c>
      <c r="B41" s="2031">
        <v>2021</v>
      </c>
      <c r="C41" s="2042">
        <v>2</v>
      </c>
      <c r="D41" s="2007"/>
      <c r="E41" s="2007">
        <v>0.55000000000000004</v>
      </c>
      <c r="F41" s="2007">
        <v>0.46</v>
      </c>
      <c r="G41" s="2007">
        <v>1.1000000000000001</v>
      </c>
      <c r="H41" s="2917"/>
      <c r="I41" s="2008">
        <f t="shared" si="52"/>
        <v>0.46</v>
      </c>
      <c r="J41" s="2906"/>
      <c r="K41" s="2043"/>
      <c r="L41" s="2028">
        <f t="shared" si="53"/>
        <v>5.5000000000000005E-3</v>
      </c>
      <c r="M41" s="2028">
        <f t="shared" si="53"/>
        <v>4.5999999999999999E-3</v>
      </c>
      <c r="N41" s="2028">
        <f t="shared" si="53"/>
        <v>1.1000000000000001E-2</v>
      </c>
      <c r="O41" s="2028"/>
      <c r="P41" s="2028">
        <f t="shared" si="67"/>
        <v>4.5999999999999999E-3</v>
      </c>
      <c r="Q41" s="2906"/>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6"/>
      <c r="Y41" s="2028"/>
      <c r="Z41" s="2902">
        <f t="shared" si="69"/>
        <v>4.4999999999999997E-3</v>
      </c>
      <c r="AA41" s="2903">
        <f t="shared" si="69"/>
        <v>4.7000000000000002E-3</v>
      </c>
      <c r="AB41" s="2028">
        <f t="shared" si="69"/>
        <v>1.04E-2</v>
      </c>
      <c r="AC41" s="2904"/>
      <c r="AD41" s="2028">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39801</v>
      </c>
      <c r="D1" s="1217" t="s">
        <v>603</v>
      </c>
      <c r="E1" s="1212">
        <f>'数据-取费表'!B22</f>
        <v>2</v>
      </c>
      <c r="F1" s="1217" t="s">
        <v>604</v>
      </c>
      <c r="G1" s="1213">
        <f ca="1">INDIRECT("d"&amp;$K$1)/100</f>
        <v>5.67E-2</v>
      </c>
      <c r="H1" s="1217" t="s">
        <v>634</v>
      </c>
      <c r="I1" s="1213">
        <f ca="1">F4/100</f>
        <v>2.52E-2</v>
      </c>
      <c r="J1" s="1218">
        <f>IF(C1&gt;C13,0,MATCH(C1,C$13:C$113,-1))+IF(SUMIF(C13:C113,C1,D13:D113)=0,13,12)</f>
        <v>40</v>
      </c>
      <c r="K1" s="1218">
        <f>MATCH(E1,C3:C7,1)+IF(SUMIF(C3:C7,E1,D3:D7)=0,2,1)</f>
        <v>5</v>
      </c>
      <c r="L1" s="1218">
        <f>IF(C1&gt;M13,0,MATCH(C1,M$13:M$100,-1))+IF(SUMIF(M13:M100,C1,N13:N100)=0,13,12)</f>
        <v>27</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5.04</v>
      </c>
      <c r="E3" s="1163">
        <v>0.5</v>
      </c>
      <c r="F3" s="1164">
        <f ca="1">INDIRECT("p"&amp;$L$1)</f>
        <v>2.25</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5.58</v>
      </c>
      <c r="E4" s="1169">
        <v>1</v>
      </c>
      <c r="F4" s="1170">
        <f ca="1">INDIRECT("q"&amp;$L$1)</f>
        <v>2.52</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5.67</v>
      </c>
      <c r="E5" s="1169">
        <v>2</v>
      </c>
      <c r="F5" s="1170">
        <f ca="1">INDIRECT("r"&amp;$L$1)</f>
        <v>3.06</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5.94</v>
      </c>
      <c r="E6" s="1169">
        <v>3</v>
      </c>
      <c r="F6" s="1170">
        <f ca="1">INDIRECT("s"&amp;$L$1)</f>
        <v>3.6</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6.12</v>
      </c>
      <c r="E7" s="1174">
        <v>5</v>
      </c>
      <c r="F7" s="1175">
        <f ca="1">INDIRECT("t"&amp;$L$1)</f>
        <v>3.87</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估价结果一览表</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房地产市场价值</v>
      </c>
      <c r="I2" s="3179"/>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91.09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75">
      <c r="A6" s="3181" t="str">
        <f>结果表!A120</f>
        <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
      </c>
      <c r="B8" s="3181"/>
      <c r="C8" s="3181"/>
      <c r="D8" s="3181" t="e">
        <f ca="1">结果表!D122</f>
        <v>#REF!</v>
      </c>
      <c r="E8" s="3181"/>
      <c r="F8" s="3181"/>
      <c r="G8" s="3181"/>
      <c r="H8" s="3181"/>
      <c r="I8" s="3181"/>
    </row>
    <row r="9" spans="1:9" ht="15">
      <c r="A9" s="3180" t="s">
        <v>927</v>
      </c>
      <c r="B9" s="3180"/>
      <c r="C9" s="3180"/>
      <c r="D9" s="3180" t="e">
        <f ca="1">结果表!D123</f>
        <v>#REF!</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90" t="str">
        <f>IF(项目基本情况!B8="抵押","3.抵押双方在办理抵押登记手续时，应使用本公司出具的正式《房地产评估报告》，特提醒报告使用者注意。","——")</f>
        <v>——</v>
      </c>
      <c r="B13" s="3191"/>
      <c r="C13" s="3191"/>
      <c r="D13" s="3191"/>
    </row>
    <row r="14" spans="1:4" ht="15.75" customHeight="1">
      <c r="A14" s="3190" t="str">
        <f>IF(项目基本情况!B8="抵押","4.本次评估估价师所知悉的法定优先受偿款情况说明如下：","——")</f>
        <v>——</v>
      </c>
      <c r="B14" s="3191"/>
      <c r="C14" s="3191"/>
      <c r="D14" s="3191"/>
    </row>
    <row r="15" spans="1:4" ht="42" customHeight="1">
      <c r="A15" s="3190" t="str">
        <f>IF(项目基本情况!B8="抵押","（1）"&amp;CONCATENATE(项目基本情况!L20,项目基本情况!L21,项目基本情况!L22),"——")</f>
        <v>——</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45600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2024-11-04T02:20:12Z</dcterms:modified>
</cp:coreProperties>
</file>