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军队两套房\2024-1-0920丰体时代花园\"/>
    </mc:Choice>
  </mc:AlternateContent>
  <xr:revisionPtr revIDLastSave="0" documentId="13_ncr:1_{024E728D-B8C0-4C2A-92E1-281A32E068BD}" xr6:coauthVersionLast="47" xr6:coauthVersionMax="47" xr10:uidLastSave="{00000000-0000-0000-0000-000000000000}"/>
  <bookViews>
    <workbookView xWindow="-120" yWindow="-120" windowWidth="38640" windowHeight="2124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9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C17" i="43"/>
  <c r="M1" i="43"/>
  <c r="J2" i="65"/>
  <c r="B3" i="43"/>
  <c r="B4" i="43"/>
  <c r="H8" i="65"/>
  <c r="E8" i="65"/>
  <c r="H6" i="65"/>
  <c r="E7" i="65"/>
  <c r="G4" i="65"/>
  <c r="H7" i="65"/>
  <c r="H4" i="65"/>
  <c r="G8" i="65"/>
  <c r="H5" i="65"/>
  <c r="E4" i="65"/>
  <c r="F34" i="43" l="1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5" i="65"/>
  <c r="G6" i="65"/>
  <c r="D8" i="65"/>
  <c r="D7" i="65"/>
  <c r="G7" i="65"/>
  <c r="E5" i="65"/>
  <c r="E6" i="65"/>
  <c r="F33" i="59" l="1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4" i="65"/>
  <c r="D6" i="65"/>
  <c r="D5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G2" i="65"/>
  <c r="E20" i="43"/>
  <c r="G1" i="65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<sst xmlns="http://schemas.openxmlformats.org/spreadsheetml/2006/main" count="3958" uniqueCount="1801">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</sst>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0" fontId="50" fillId="5" borderId="1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16</xdr:col>
      <xdr:colOff>581025</xdr:colOff>
      <xdr:row>0</xdr:row>
      <xdr:rowOff>0</xdr:rowOff>
    </xdr:from>
    <xdr:to>
      <xdr:col>33</xdr:col>
      <xdr:colOff>427187</xdr:colOff>
      <xdr:row>53</xdr:row>
      <xdr:rowOff>46483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2330AD9-5899-1F6F-0C59-34B6B9F1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3825" y="0"/>
          <a:ext cx="11504762" cy="913333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0</xdr:row>
      <xdr:rowOff>47625</xdr:rowOff>
    </xdr:from>
    <xdr:to>
      <xdr:col>15</xdr:col>
      <xdr:colOff>189621</xdr:colOff>
      <xdr:row>36</xdr:row>
      <xdr:rowOff>84949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B57AD4A-9F13-47E1-8EB4-0FD187F2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48050" y="47625"/>
          <a:ext cx="7028571" cy="6209524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36</xdr:row>
      <xdr:rowOff>32058</xdr:rowOff>
    </xdr:from>
    <xdr:to>
      <xdr:col>15</xdr:col>
      <xdr:colOff>409575</xdr:colOff>
      <xdr:row>60</xdr:row>
      <xdr:rowOff>161043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0D51F88-4488-C494-3274-87DB404C5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86150" y="6204258"/>
          <a:ext cx="7210425" cy="4243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707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707"/>
      <c r="B19" s="1707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707"/>
      <c r="B20" s="1707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707"/>
      <c r="B21" s="1707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707"/>
      <c r="B22" s="1707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707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707"/>
      <c r="B24" s="1707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707"/>
      <c r="B25" s="1707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707"/>
      <c r="B26" s="1707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707"/>
      <c r="B27" s="1707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707"/>
      <c r="B28" s="1707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707"/>
      <c r="B29" s="1707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707"/>
      <c r="B30" s="1707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707"/>
      <c r="B31" s="1707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707"/>
      <c r="B32" s="1707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707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707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707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707"/>
      <c r="B36" s="1707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707"/>
      <c r="B37" s="1707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707"/>
      <c r="B38" s="1707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707"/>
      <c r="B39" s="1707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707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707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707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707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707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707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707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707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707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707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707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707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707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707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707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707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707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707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707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707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707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707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707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707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707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707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707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707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707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707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707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707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707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707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707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707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707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707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707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707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707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707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707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707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707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707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707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707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707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707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E26" sqref="E26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91.09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五级</v>
      </c>
      <c r="H2" s="672" t="s">
        <v>1351</v>
      </c>
      <c r="I2" s="1232" t="s">
        <v>1795</v>
      </c>
      <c r="J2" s="663"/>
      <c r="AE2" s="669"/>
      <c r="AF2" s="669"/>
    </row>
    <row r="3" spans="1:36" ht="24">
      <c r="A3" s="626" t="s">
        <v>913</v>
      </c>
      <c r="B3" s="1317">
        <f>C18</f>
        <v>2246</v>
      </c>
      <c r="C3" s="670" t="s">
        <v>914</v>
      </c>
      <c r="D3" s="671" t="s">
        <v>253</v>
      </c>
      <c r="E3" s="674" t="s">
        <v>1793</v>
      </c>
      <c r="F3" s="1376" t="s">
        <v>1796</v>
      </c>
      <c r="G3" s="197">
        <f>IF(F3="容积率",主表!B8,主表!B9)</f>
        <v>3.3</v>
      </c>
      <c r="H3" s="675" t="s">
        <v>927</v>
      </c>
      <c r="I3" s="25">
        <f>SUMPRODUCT((A89:A92=E2)*(B88:K88=G2)*(B89:K92))</f>
        <v>2</v>
      </c>
      <c r="J3" s="663"/>
      <c r="AE3" s="669"/>
      <c r="AF3" s="669"/>
    </row>
    <row r="4" spans="1:36" ht="15.75">
      <c r="A4" s="625" t="s">
        <v>1565</v>
      </c>
      <c r="B4" s="575">
        <f>C20</f>
        <v>563</v>
      </c>
      <c r="C4" s="1316" t="s">
        <v>1567</v>
      </c>
      <c r="D4" s="1209"/>
      <c r="E4" s="1210"/>
      <c r="F4" s="1210"/>
      <c r="G4" s="1017"/>
      <c r="H4" s="1211"/>
      <c r="I4" s="617"/>
      <c r="J4" s="663"/>
      <c r="AE4" s="669"/>
      <c r="AF4" s="669"/>
    </row>
    <row r="5" spans="1:36" ht="16.5" thickBot="1">
      <c r="A5" s="664" t="s">
        <v>1566</v>
      </c>
      <c r="B5" s="1315">
        <f>C22</f>
        <v>338</v>
      </c>
      <c r="C5" s="1318" t="s">
        <v>1568</v>
      </c>
      <c r="D5" s="1230"/>
      <c r="E5" s="1230"/>
      <c r="F5" s="1230"/>
      <c r="G5" s="1230"/>
      <c r="H5" s="1230"/>
      <c r="I5" s="1230"/>
      <c r="J5" s="1231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965">
        <f>IF(I2="地上",'2002地价表'!M1,ROUND('2002地价表'!M1/3,0))</f>
        <v>2145</v>
      </c>
      <c r="D7" s="687" t="s">
        <v>1531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1336</v>
      </c>
      <c r="C8" s="1656">
        <v>490</v>
      </c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取值范围:300—680</v>
      </c>
      <c r="E8" s="975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3" t="s">
        <v>929</v>
      </c>
      <c r="B9" s="1425" t="s">
        <v>932</v>
      </c>
      <c r="C9" s="1426">
        <f>IF(OR(H9&gt;=DATE(2014,8,28),H9&lt;DATE(2002,12,10)),0,ROUND(I9/F9,4))</f>
        <v>1.1346000000000001</v>
      </c>
      <c r="D9" s="1427" t="s">
        <v>262</v>
      </c>
      <c r="E9" s="1428">
        <v>37257</v>
      </c>
      <c r="F9" s="1429">
        <f>ROUND(SUMIF(地价!B3:F3,E2,地价!B86:F86),0)</f>
        <v>104</v>
      </c>
      <c r="G9" s="1430" t="s">
        <v>263</v>
      </c>
      <c r="H9" s="1431">
        <f>主表!B4</f>
        <v>38084</v>
      </c>
      <c r="I9" s="1432">
        <f>ROUND(SUMPRODUCT((地价!A36:A86=YEAR(H9)&amp;"-"&amp;ROUNDUP(MONTH(H9)/3,0))*(地价!B3:F3=E2)*(地价!B36:F86)),0)</f>
        <v>118</v>
      </c>
      <c r="J9" s="725"/>
      <c r="AE9" s="669"/>
      <c r="AF9" s="669"/>
    </row>
    <row r="10" spans="1:36" ht="24.75" thickBot="1">
      <c r="A10" s="1433" t="s">
        <v>931</v>
      </c>
      <c r="B10" s="1434" t="s">
        <v>199</v>
      </c>
      <c r="C10" s="1435">
        <f>ROUND(POWER(1+E10,H10-G10)*(POWER(1+E10,G10)-1)/(POWER(1+E10,H10)-1),4)</f>
        <v>1</v>
      </c>
      <c r="D10" s="1396" t="s">
        <v>936</v>
      </c>
      <c r="E10" s="1397">
        <v>0.04</v>
      </c>
      <c r="F10" s="1436" t="s">
        <v>1797</v>
      </c>
      <c r="G10" s="1437">
        <f>IF(F10="剩余土地使用年限",主表!B15,主表!B16)</f>
        <v>70</v>
      </c>
      <c r="H10" s="1437">
        <f>IF(E2="住宅/居住",70,IF(E2="商业",40,50))</f>
        <v>70</v>
      </c>
      <c r="I10" s="1424"/>
      <c r="J10" s="1438"/>
      <c r="AE10" s="669"/>
      <c r="AF10" s="669"/>
    </row>
    <row r="11" spans="1:36" ht="15">
      <c r="A11" s="701" t="s">
        <v>933</v>
      </c>
      <c r="B11" s="702" t="s">
        <v>938</v>
      </c>
      <c r="C11" s="1233">
        <f>IF(E2="工业",1,IF(G3&gt;10,D14,IF(D11="郊区",D13,D12)))</f>
        <v>0.91200000000000003</v>
      </c>
      <c r="D11" s="1403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2">
        <f>IF(E12=G12,F12,IF(G3&lt;=10,ROUND(F12+(H12-F12)*(G3-E12)/(G12-E12),4),"——"))</f>
        <v>0.91200000000000003</v>
      </c>
      <c r="E12" s="1394">
        <f>ROUNDDOWN(G3,1)</f>
        <v>3.3</v>
      </c>
      <c r="F12" s="1395">
        <f>IF(G3&lt;=10,SUMPRODUCT(('2002容积率修正'!A3:A102=E12)*('2002容积率修正'!B2:D2=E2)*('2002容积率修正'!B3:D102)),"——")</f>
        <v>0.91200000000000003</v>
      </c>
      <c r="G12" s="1393">
        <f>ROUNDUP(G3,1)</f>
        <v>3.3</v>
      </c>
      <c r="H12" s="580">
        <f>IF(G3&lt;=10,SUMPRODUCT(('2002容积率修正'!A3:A102=G12)*('2002容积率修正'!B2:D2=E2)*('2002容积率修正'!B3:D102)),"——")</f>
        <v>0.91200000000000003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2">
        <f>IF(E12=G12,F12,IF(G3&lt;=10,ROUND(F12+(H12-F12)*(G3-E12)/(G12-E12),4),"——"))</f>
        <v>0.91200000000000003</v>
      </c>
      <c r="E13" s="1394">
        <f>ROUNDDOWN(G3,1)</f>
        <v>3.3</v>
      </c>
      <c r="F13" s="1395">
        <f>IF(G3&lt;=10,SUMPRODUCT(('2002容积率修正'!A3:A102=E13)*('2002容积率修正'!E2:G2=E2)*('2002容积率修正'!E3:G102)),"——")</f>
        <v>0.77500000000000002</v>
      </c>
      <c r="G13" s="1393">
        <f>ROUNDUP(G3,1)</f>
        <v>3.3</v>
      </c>
      <c r="H13" s="580">
        <f>IF(G3&lt;=10,SUMPRODUCT(('2002容积率修正'!A3:A102=G13)*('2002容积率修正'!E2:G2=E2)*('2002容积率修正'!E3:G102)),"——")</f>
        <v>0.77500000000000002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1.012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3" t="s">
        <v>1324</v>
      </c>
      <c r="B16" s="1434" t="s">
        <v>1333</v>
      </c>
      <c r="C16" s="1439">
        <v>1</v>
      </c>
      <c r="D16" s="1440" t="s">
        <v>1337</v>
      </c>
      <c r="E16" s="1398" t="s">
        <v>926</v>
      </c>
      <c r="F16" s="1399" t="s">
        <v>1798</v>
      </c>
      <c r="G16" s="1441" t="s">
        <v>928</v>
      </c>
      <c r="H16" s="1442" t="str">
        <f>IF(E2="工业",IF(OR(G2="六级",G2="七级",G2="八级",G2="九级"),"五通一平","七通一平"),IF(OR(G2="七级",G2="八级",G2="九级",G2="十级"),"五通一平","七通一平"))</f>
        <v>七通一平</v>
      </c>
      <c r="I16" s="713"/>
      <c r="J16" s="1443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2246</v>
      </c>
      <c r="D18" s="589">
        <f>H1</f>
        <v>91.09</v>
      </c>
      <c r="E18" s="590">
        <f>ROUND(C18*D18,0)</f>
        <v>204588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7412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563</v>
      </c>
      <c r="D20" s="595">
        <f>H1</f>
        <v>91.09</v>
      </c>
      <c r="E20" s="596">
        <f>ROUND(C20*D20,0)</f>
        <v>51284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1857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4" t="s">
        <v>1348</v>
      </c>
      <c r="B22" s="730"/>
      <c r="C22" s="1479">
        <f>ROUND(IF(D22="四环路内",C20*0.4,C20*0.6),0)</f>
        <v>338</v>
      </c>
      <c r="D22" s="731"/>
      <c r="E22" s="732"/>
      <c r="F22" s="732"/>
      <c r="G22" s="732"/>
      <c r="H22" s="732"/>
      <c r="I22" s="732"/>
      <c r="J22" s="1445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10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4" t="s">
        <v>1491</v>
      </c>
      <c r="C25" s="1375" t="s">
        <v>269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7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7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7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7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0.06</v>
      </c>
      <c r="G42" s="477">
        <f>F42/2</f>
        <v>0.03</v>
      </c>
      <c r="H42" s="478">
        <v>0</v>
      </c>
      <c r="I42" s="477">
        <f>J42/2</f>
        <v>-0.03</v>
      </c>
      <c r="J42" s="477">
        <f>SUMPRODUCT(('2002因素修正幅度'!$A$66:$A$72=A42)*('2002因素修正幅度'!$B$35:$K$35=$G$2)*('2002因素修正幅度'!$B$66:$K$72))</f>
        <v>-0.06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0.03</v>
      </c>
      <c r="G43" s="477">
        <f t="shared" ref="G43:G48" si="2">F43/2</f>
        <v>1.4999999999999999E-2</v>
      </c>
      <c r="H43" s="478">
        <v>0</v>
      </c>
      <c r="I43" s="477">
        <f t="shared" ref="I43:I48" si="3">J43/2</f>
        <v>-1.4999999999999999E-2</v>
      </c>
      <c r="J43" s="477">
        <f>SUMPRODUCT(('2002因素修正幅度'!$A$66:$A$72=A43)*('2002因素修正幅度'!$B$35:$K$35=$G$2)*('2002因素修正幅度'!$B$66:$K$72))</f>
        <v>-0.03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0.02</v>
      </c>
      <c r="G44" s="477">
        <f t="shared" si="2"/>
        <v>0.01</v>
      </c>
      <c r="H44" s="478">
        <v>0</v>
      </c>
      <c r="I44" s="477">
        <f t="shared" si="3"/>
        <v>-0.01</v>
      </c>
      <c r="J44" s="477">
        <f>SUMPRODUCT(('2002因素修正幅度'!$A$66:$A$72=A44)*('2002因素修正幅度'!$B$35:$K$35=$G$2)*('2002因素修正幅度'!$B$66:$K$72))</f>
        <v>-0.02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1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0.04</v>
      </c>
      <c r="G45" s="477">
        <f t="shared" si="2"/>
        <v>0.02</v>
      </c>
      <c r="H45" s="478">
        <v>0</v>
      </c>
      <c r="I45" s="477">
        <f t="shared" si="3"/>
        <v>-0.02</v>
      </c>
      <c r="J45" s="477">
        <f>SUMPRODUCT(('2002因素修正幅度'!$A$66:$A$72=A45)*('2002因素修正幅度'!$B$35:$K$35=$G$2)*('2002因素修正幅度'!$B$66:$K$72))</f>
        <v>-0.04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0.02</v>
      </c>
      <c r="G46" s="477">
        <f t="shared" si="2"/>
        <v>0.01</v>
      </c>
      <c r="H46" s="478">
        <v>0</v>
      </c>
      <c r="I46" s="477">
        <f t="shared" si="3"/>
        <v>-0.01</v>
      </c>
      <c r="J46" s="477">
        <f>SUMPRODUCT(('2002因素修正幅度'!$A$66:$A$72=A46)*('2002因素修正幅度'!$B$35:$K$35=$G$2)*('2002因素修正幅度'!$B$66:$K$72))</f>
        <v>-0.02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2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1.6E-2</v>
      </c>
      <c r="G47" s="477">
        <f t="shared" si="2"/>
        <v>8.0000000000000002E-3</v>
      </c>
      <c r="H47" s="478">
        <v>0</v>
      </c>
      <c r="I47" s="477">
        <f t="shared" si="3"/>
        <v>-8.0000000000000002E-3</v>
      </c>
      <c r="J47" s="477">
        <f>SUMPRODUCT(('2002因素修正幅度'!$A$66:$A$72=A47)*('2002因素修正幅度'!$B$35:$K$35=$G$2)*('2002因素修正幅度'!$B$66:$K$72))</f>
        <v>-1.6E-2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1.4E-2</v>
      </c>
      <c r="G48" s="477">
        <f t="shared" si="2"/>
        <v>7.0000000000000001E-3</v>
      </c>
      <c r="H48" s="478">
        <v>0</v>
      </c>
      <c r="I48" s="477">
        <f t="shared" si="3"/>
        <v>-7.0000000000000001E-3</v>
      </c>
      <c r="J48" s="477">
        <f>SUMPRODUCT(('2002因素修正幅度'!$A$66:$A$72=A48)*('2002因素修正幅度'!$B$35:$K$35=$G$2)*('2002因素修正幅度'!$B$66:$K$72))</f>
        <v>-1.4E-2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3.4000000000000002E-2</v>
      </c>
      <c r="G51" s="477">
        <f>F51/2</f>
        <v>1.7000000000000001E-2</v>
      </c>
      <c r="H51" s="478">
        <v>0</v>
      </c>
      <c r="I51" s="477">
        <f>J51/2</f>
        <v>-1.7999999999999999E-2</v>
      </c>
      <c r="J51" s="477">
        <f>SUMPRODUCT(('2002因素修正幅度'!$A$73:$A$79=A51)*('2002因素修正幅度'!$B$35:$K$35=$G$2)*('2002因素修正幅度'!$B$73:$K$79))</f>
        <v>-3.5999999999999997E-2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4.2500000000000003E-2</v>
      </c>
      <c r="G52" s="477">
        <f t="shared" ref="G52:G57" si="5">F52/2</f>
        <v>2.1250000000000002E-2</v>
      </c>
      <c r="H52" s="478">
        <v>0</v>
      </c>
      <c r="I52" s="477">
        <f t="shared" ref="I52:I57" si="6">J52/2</f>
        <v>-2.2499999999999999E-2</v>
      </c>
      <c r="J52" s="477">
        <f>SUMPRODUCT(('2002因素修正幅度'!$A$73:$A$79=A52)*('2002因素修正幅度'!$B$35:$K$35=$G$2)*('2002因素修正幅度'!$B$73:$K$79))</f>
        <v>-4.4999999999999998E-2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1.7000000000000001E-2</v>
      </c>
      <c r="G53" s="477">
        <f t="shared" si="5"/>
        <v>8.5000000000000006E-3</v>
      </c>
      <c r="H53" s="478">
        <v>0</v>
      </c>
      <c r="I53" s="477">
        <f t="shared" si="6"/>
        <v>-8.9999999999999993E-3</v>
      </c>
      <c r="J53" s="477">
        <f>SUMPRODUCT(('2002因素修正幅度'!$A$73:$A$79=A53)*('2002因素修正幅度'!$B$35:$K$35=$G$2)*('2002因素修正幅度'!$B$73:$K$79))</f>
        <v>-1.7999999999999999E-2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1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1.7000000000000001E-2</v>
      </c>
      <c r="G54" s="477">
        <f t="shared" si="5"/>
        <v>8.5000000000000006E-3</v>
      </c>
      <c r="H54" s="478">
        <v>0</v>
      </c>
      <c r="I54" s="477">
        <f t="shared" si="6"/>
        <v>-8.9999999999999993E-3</v>
      </c>
      <c r="J54" s="477">
        <f>SUMPRODUCT(('2002因素修正幅度'!$A$73:$A$79=A54)*('2002因素修正幅度'!$B$35:$K$35=$G$2)*('2002因素修正幅度'!$B$73:$K$79))</f>
        <v>-1.7999999999999999E-2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2.5499999999999998E-2</v>
      </c>
      <c r="G55" s="477">
        <f t="shared" si="5"/>
        <v>1.2749999999999999E-2</v>
      </c>
      <c r="H55" s="478">
        <v>0</v>
      </c>
      <c r="I55" s="477">
        <f t="shared" si="6"/>
        <v>-1.35E-2</v>
      </c>
      <c r="J55" s="477">
        <f>SUMPRODUCT(('2002因素修正幅度'!$A$73:$A$79=A55)*('2002因素修正幅度'!$B$35:$K$35=$G$2)*('2002因素修正幅度'!$B$73:$K$79))</f>
        <v>-2.7E-2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2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1.3599999999999999E-2</v>
      </c>
      <c r="G56" s="477">
        <f t="shared" si="5"/>
        <v>6.7999999999999996E-3</v>
      </c>
      <c r="H56" s="478">
        <v>0</v>
      </c>
      <c r="I56" s="477">
        <f t="shared" si="6"/>
        <v>-7.1999999999999998E-3</v>
      </c>
      <c r="J56" s="477">
        <f>SUMPRODUCT(('2002因素修正幅度'!$A$73:$A$79=A56)*('2002因素修正幅度'!$B$35:$K$35=$G$2)*('2002因素修正幅度'!$B$73:$K$79))</f>
        <v>-1.44E-2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2.0400000000000001E-2</v>
      </c>
      <c r="G57" s="477">
        <f t="shared" si="5"/>
        <v>1.0200000000000001E-2</v>
      </c>
      <c r="H57" s="478">
        <v>0</v>
      </c>
      <c r="I57" s="477">
        <f t="shared" si="6"/>
        <v>-1.0800000000000001E-2</v>
      </c>
      <c r="J57" s="477">
        <f>SUMPRODUCT(('2002因素修正幅度'!$A$73:$A$79=A57)*('2002因素修正幅度'!$B$35:$K$35=$G$2)*('2002因素修正幅度'!$B$73:$K$79))</f>
        <v>-2.1600000000000001E-2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1.012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15</v>
      </c>
      <c r="D60" s="456">
        <f t="shared" ref="D60:D67" si="7">SUMIF($F$59:$J$59,C60,F60:J60)</f>
        <v>0</v>
      </c>
      <c r="E60" s="237">
        <f>SUM(D60:D67)</f>
        <v>1.2E-2</v>
      </c>
      <c r="F60" s="477">
        <f>SUMPRODUCT(('2002因素修正幅度'!$A$50:$A$57=A60)*('2002因素修正幅度'!$B$35:$K$35=$G$2)*('2002因素修正幅度'!$B$50:$K$57))</f>
        <v>0.03</v>
      </c>
      <c r="G60" s="477">
        <f>F60/2</f>
        <v>1.4999999999999999E-2</v>
      </c>
      <c r="H60" s="478">
        <v>0</v>
      </c>
      <c r="I60" s="477">
        <f>J60/2</f>
        <v>-1.4999999999999999E-2</v>
      </c>
      <c r="J60" s="477">
        <f>SUMPRODUCT(('2002因素修正幅度'!$A$80:$A$87=A60)*('2002因素修正幅度'!$B$35:$K$35=$G$2)*('2002因素修正幅度'!$B$80:$K$87))</f>
        <v>-0.03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15</v>
      </c>
      <c r="D61" s="456">
        <f t="shared" si="7"/>
        <v>0</v>
      </c>
      <c r="E61" s="246"/>
      <c r="F61" s="477">
        <f>SUMPRODUCT(('2002因素修正幅度'!$A$50:$A$57=A61)*('2002因素修正幅度'!$B$35:$K$35=$G$2)*('2002因素修正幅度'!$B$50:$K$57))</f>
        <v>0.06</v>
      </c>
      <c r="G61" s="477">
        <f t="shared" ref="G61:G67" si="8">F61/2</f>
        <v>0.03</v>
      </c>
      <c r="H61" s="478">
        <v>0</v>
      </c>
      <c r="I61" s="477">
        <f t="shared" ref="I61:I67" si="9">J61/2</f>
        <v>-0.03</v>
      </c>
      <c r="J61" s="477">
        <f>SUMPRODUCT(('2002因素修正幅度'!$A$80:$A$87=A61)*('2002因素修正幅度'!$B$35:$K$35=$G$2)*('2002因素修正幅度'!$B$80:$K$87))</f>
        <v>-0.06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15</v>
      </c>
      <c r="D62" s="456">
        <f t="shared" si="7"/>
        <v>0</v>
      </c>
      <c r="E62" s="246"/>
      <c r="F62" s="477">
        <f>SUMPRODUCT(('2002因素修正幅度'!$A$50:$A$57=A62)*('2002因素修正幅度'!$B$35:$K$35=$G$2)*('2002因素修正幅度'!$B$50:$K$57))</f>
        <v>0.03</v>
      </c>
      <c r="G62" s="477">
        <f t="shared" si="8"/>
        <v>1.4999999999999999E-2</v>
      </c>
      <c r="H62" s="478">
        <v>0</v>
      </c>
      <c r="I62" s="477">
        <f t="shared" si="9"/>
        <v>-1.4999999999999999E-2</v>
      </c>
      <c r="J62" s="477">
        <f>SUMPRODUCT(('2002因素修正幅度'!$A$80:$A$87=A62)*('2002因素修正幅度'!$B$35:$K$35=$G$2)*('2002因素修正幅度'!$B$80:$K$87))</f>
        <v>-0.03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0.03</v>
      </c>
      <c r="G63" s="477">
        <f t="shared" si="8"/>
        <v>1.4999999999999999E-2</v>
      </c>
      <c r="H63" s="478">
        <v>0</v>
      </c>
      <c r="I63" s="477">
        <f t="shared" si="9"/>
        <v>-1.4999999999999999E-2</v>
      </c>
      <c r="J63" s="477">
        <f>SUMPRODUCT(('2002因素修正幅度'!$A$80:$A$87=A63)*('2002因素修正幅度'!$B$35:$K$35=$G$2)*('2002因素修正幅度'!$B$80:$K$87))</f>
        <v>-0.03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2" t="s">
        <v>1737</v>
      </c>
      <c r="C64" s="749" t="s">
        <v>1799</v>
      </c>
      <c r="D64" s="456">
        <f t="shared" si="7"/>
        <v>1.2E-2</v>
      </c>
      <c r="E64" s="246"/>
      <c r="F64" s="477">
        <f>SUMPRODUCT(('2002因素修正幅度'!$A$50:$A$57=A64)*('2002因素修正幅度'!$B$35:$K$35=$G$2)*('2002因素修正幅度'!$B$50:$K$57))</f>
        <v>2.4E-2</v>
      </c>
      <c r="G64" s="477">
        <f t="shared" si="8"/>
        <v>1.2E-2</v>
      </c>
      <c r="H64" s="478">
        <v>0</v>
      </c>
      <c r="I64" s="477">
        <f t="shared" si="9"/>
        <v>-1.2E-2</v>
      </c>
      <c r="J64" s="477">
        <f>SUMPRODUCT(('2002因素修正幅度'!$A$80:$A$87=A64)*('2002因素修正幅度'!$B$35:$K$35=$G$2)*('2002因素修正幅度'!$B$80:$K$87))</f>
        <v>-2.4E-2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3.5999999999999997E-2</v>
      </c>
      <c r="G65" s="477">
        <f t="shared" si="8"/>
        <v>1.7999999999999999E-2</v>
      </c>
      <c r="H65" s="478">
        <v>0</v>
      </c>
      <c r="I65" s="477">
        <f t="shared" si="9"/>
        <v>-1.7999999999999999E-2</v>
      </c>
      <c r="J65" s="477">
        <f>SUMPRODUCT(('2002因素修正幅度'!$A$80:$A$87=A65)*('2002因素修正幅度'!$B$35:$K$35=$G$2)*('2002因素修正幅度'!$B$80:$K$87))</f>
        <v>-3.5999999999999997E-2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15</v>
      </c>
      <c r="D66" s="456">
        <f t="shared" si="7"/>
        <v>0</v>
      </c>
      <c r="E66" s="246"/>
      <c r="F66" s="477">
        <f>SUMPRODUCT(('2002因素修正幅度'!$A$50:$A$57=A66)*('2002因素修正幅度'!$B$35:$K$35=$G$2)*('2002因素修正幅度'!$B$50:$K$57))</f>
        <v>0.06</v>
      </c>
      <c r="G66" s="477">
        <f t="shared" si="8"/>
        <v>0.03</v>
      </c>
      <c r="H66" s="478">
        <v>0</v>
      </c>
      <c r="I66" s="477">
        <f t="shared" si="9"/>
        <v>-0.03</v>
      </c>
      <c r="J66" s="477">
        <f>SUMPRODUCT(('2002因素修正幅度'!$A$80:$A$87=A66)*('2002因素修正幅度'!$B$35:$K$35=$G$2)*('2002因素修正幅度'!$B$80:$K$87))</f>
        <v>-0.06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0.03</v>
      </c>
      <c r="G67" s="477">
        <f t="shared" si="8"/>
        <v>1.4999999999999999E-2</v>
      </c>
      <c r="H67" s="478">
        <v>0</v>
      </c>
      <c r="I67" s="477">
        <f t="shared" si="9"/>
        <v>-1.4999999999999999E-2</v>
      </c>
      <c r="J67" s="477">
        <f>SUMPRODUCT(('2002因素修正幅度'!$A$80:$A$87=A67)*('2002因素修正幅度'!$B$35:$K$35=$G$2)*('2002因素修正幅度'!$B$80:$K$87))</f>
        <v>-0.03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4.8000000000000001E-2</v>
      </c>
      <c r="G70" s="477">
        <f t="shared" ref="G70:G76" si="11">F70/2</f>
        <v>2.4E-2</v>
      </c>
      <c r="H70" s="478">
        <v>0</v>
      </c>
      <c r="I70" s="477">
        <f t="shared" ref="I70:I76" si="12">J70/2</f>
        <v>-2.5000000000000001E-2</v>
      </c>
      <c r="J70" s="477">
        <f>SUMPRODUCT(('2002因素修正幅度'!$A$88:$A$94=A70)*('2002因素修正幅度'!$B$35:$K$35=$G$2)*('2002因素修正幅度'!$B$88:$K$94))</f>
        <v>-0.05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7.6799999999999993E-2</v>
      </c>
      <c r="G71" s="477">
        <f t="shared" si="11"/>
        <v>3.8399999999999997E-2</v>
      </c>
      <c r="H71" s="478">
        <v>0</v>
      </c>
      <c r="I71" s="477">
        <f t="shared" si="12"/>
        <v>-0.04</v>
      </c>
      <c r="J71" s="477">
        <f>SUMPRODUCT(('2002因素修正幅度'!$A$88:$A$94=A71)*('2002因素修正幅度'!$B$35:$K$35=$G$2)*('2002因素修正幅度'!$B$88:$K$94))</f>
        <v>-0.08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2.4E-2</v>
      </c>
      <c r="G72" s="477">
        <f t="shared" si="11"/>
        <v>1.2E-2</v>
      </c>
      <c r="H72" s="478">
        <v>0</v>
      </c>
      <c r="I72" s="477">
        <f t="shared" si="12"/>
        <v>-1.2500000000000001E-2</v>
      </c>
      <c r="J72" s="477">
        <f>SUMPRODUCT(('2002因素修正幅度'!$A$88:$A$94=A72)*('2002因素修正幅度'!$B$35:$K$35=$G$2)*('2002因素修正幅度'!$B$88:$K$94))</f>
        <v>-2.5000000000000001E-2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1.9199999999999998E-2</v>
      </c>
      <c r="G73" s="477">
        <f t="shared" si="11"/>
        <v>9.5999999999999992E-3</v>
      </c>
      <c r="H73" s="478">
        <v>0</v>
      </c>
      <c r="I73" s="477">
        <f t="shared" si="12"/>
        <v>-0.01</v>
      </c>
      <c r="J73" s="477">
        <f>SUMPRODUCT(('2002因素修正幅度'!$A$88:$A$94=A73)*('2002因素修正幅度'!$B$35:$K$35=$G$2)*('2002因素修正幅度'!$B$88:$K$94))</f>
        <v>-0.02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2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2.8799999999999999E-2</v>
      </c>
      <c r="G74" s="477">
        <f t="shared" si="11"/>
        <v>1.44E-2</v>
      </c>
      <c r="H74" s="478">
        <v>0</v>
      </c>
      <c r="I74" s="477">
        <f t="shared" si="12"/>
        <v>-1.4999999999999999E-2</v>
      </c>
      <c r="J74" s="477">
        <f>SUMPRODUCT(('2002因素修正幅度'!$A$88:$A$94=A74)*('2002因素修正幅度'!$B$35:$K$35=$G$2)*('2002因素修正幅度'!$B$88:$K$94))</f>
        <v>-0.03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2.4E-2</v>
      </c>
      <c r="G75" s="477">
        <f t="shared" si="11"/>
        <v>1.2E-2</v>
      </c>
      <c r="H75" s="478">
        <v>0</v>
      </c>
      <c r="I75" s="477">
        <f t="shared" si="12"/>
        <v>-1.2500000000000001E-2</v>
      </c>
      <c r="J75" s="477">
        <f>SUMPRODUCT(('2002因素修正幅度'!$A$88:$A$94=A75)*('2002因素修正幅度'!$B$35:$K$35=$G$2)*('2002因素修正幅度'!$B$88:$K$94))</f>
        <v>-2.5000000000000001E-2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1.9199999999999998E-2</v>
      </c>
      <c r="G76" s="477">
        <f t="shared" si="11"/>
        <v>9.5999999999999992E-3</v>
      </c>
      <c r="H76" s="478">
        <v>0</v>
      </c>
      <c r="I76" s="477">
        <f t="shared" si="12"/>
        <v>-0.01</v>
      </c>
      <c r="J76" s="477">
        <f>SUMPRODUCT(('2002因素修正幅度'!$A$88:$A$94=A76)*('2002因素修正幅度'!$B$35:$K$35=$G$2)*('2002因素修正幅度'!$B$88:$K$94))</f>
        <v>-0.02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3.3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0.94569999999999999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0.76890000000000003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0.9153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0.94569999999999999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0.69450000000000001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五级</v>
      </c>
      <c r="M1" s="529">
        <f>SUMPRODUCT((K3:K12=L1)*(L2:O2=K1)*(L3:O12))</f>
        <v>2145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8" t="s">
        <v>0</v>
      </c>
      <c r="M14" s="256" t="s">
        <v>1302</v>
      </c>
      <c r="N14" s="256" t="s">
        <v>1303</v>
      </c>
      <c r="O14" s="969" t="s">
        <v>226</v>
      </c>
      <c r="P14" s="968" t="s">
        <v>0</v>
      </c>
      <c r="Q14" s="256" t="s">
        <v>1302</v>
      </c>
      <c r="R14" s="256" t="s">
        <v>1303</v>
      </c>
      <c r="S14" s="969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7" t="s">
        <v>343</v>
      </c>
      <c r="L15" s="970">
        <v>2660</v>
      </c>
      <c r="M15" s="538">
        <v>1640</v>
      </c>
      <c r="N15" s="538">
        <v>1710</v>
      </c>
      <c r="O15" s="971">
        <v>420</v>
      </c>
      <c r="P15" s="970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7" t="s">
        <v>403</v>
      </c>
      <c r="L16" s="970">
        <v>1680</v>
      </c>
      <c r="M16" s="538">
        <v>1460</v>
      </c>
      <c r="N16" s="538">
        <v>900</v>
      </c>
      <c r="O16" s="971">
        <v>430</v>
      </c>
      <c r="P16" s="970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7" t="s">
        <v>581</v>
      </c>
      <c r="L17" s="970">
        <v>1500</v>
      </c>
      <c r="M17" s="538">
        <v>1130</v>
      </c>
      <c r="N17" s="538">
        <v>550</v>
      </c>
      <c r="O17" s="971">
        <v>340</v>
      </c>
      <c r="P17" s="970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7" t="s">
        <v>251</v>
      </c>
      <c r="L18" s="970">
        <v>1240</v>
      </c>
      <c r="M18" s="538">
        <v>880</v>
      </c>
      <c r="N18" s="538">
        <v>400</v>
      </c>
      <c r="O18" s="971">
        <v>270</v>
      </c>
      <c r="P18" s="970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7" t="s">
        <v>663</v>
      </c>
      <c r="L19" s="970">
        <v>970</v>
      </c>
      <c r="M19" s="538">
        <v>660</v>
      </c>
      <c r="N19" s="538">
        <v>300</v>
      </c>
      <c r="O19" s="971">
        <v>195</v>
      </c>
      <c r="P19" s="970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7" t="s">
        <v>34</v>
      </c>
      <c r="L20" s="970">
        <v>720</v>
      </c>
      <c r="M20" s="538">
        <v>500</v>
      </c>
      <c r="N20" s="538">
        <v>190</v>
      </c>
      <c r="O20" s="971">
        <v>135</v>
      </c>
      <c r="P20" s="970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7" t="s">
        <v>666</v>
      </c>
      <c r="L21" s="970">
        <v>500</v>
      </c>
      <c r="M21" s="538">
        <v>400</v>
      </c>
      <c r="N21" s="538">
        <v>150</v>
      </c>
      <c r="O21" s="971">
        <v>100</v>
      </c>
      <c r="P21" s="970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7" t="s">
        <v>668</v>
      </c>
      <c r="L22" s="970">
        <v>360</v>
      </c>
      <c r="M22" s="538">
        <v>250</v>
      </c>
      <c r="N22" s="538">
        <v>120</v>
      </c>
      <c r="O22" s="971">
        <v>60</v>
      </c>
      <c r="P22" s="970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7" t="s">
        <v>670</v>
      </c>
      <c r="L23" s="970">
        <v>180</v>
      </c>
      <c r="M23" s="538">
        <v>140</v>
      </c>
      <c r="N23" s="538">
        <v>100</v>
      </c>
      <c r="O23" s="971">
        <v>20</v>
      </c>
      <c r="P23" s="970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7" t="s">
        <v>674</v>
      </c>
      <c r="L24" s="972">
        <v>90</v>
      </c>
      <c r="M24" s="973">
        <v>90</v>
      </c>
      <c r="N24" s="973">
        <v>90</v>
      </c>
      <c r="O24" s="974"/>
      <c r="P24" s="972">
        <v>190</v>
      </c>
      <c r="Q24" s="973">
        <v>150</v>
      </c>
      <c r="R24" s="973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2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28" t="s">
        <v>1424</v>
      </c>
      <c r="E2" s="1732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29"/>
      <c r="E3" s="1733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29"/>
      <c r="E4" s="1733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0"/>
      <c r="E5" s="1734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4"/>
      <c r="C6" s="660"/>
      <c r="D6" s="1728" t="s">
        <v>1425</v>
      </c>
      <c r="E6" s="1732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7" t="s">
        <v>1433</v>
      </c>
      <c r="B7" s="706" t="str">
        <f>LEFT(主表!B10,1)&amp;"类"</f>
        <v>五类</v>
      </c>
      <c r="C7" s="660"/>
      <c r="D7" s="1729"/>
      <c r="E7" s="1733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9"/>
      <c r="C8" s="660"/>
      <c r="D8" s="1730"/>
      <c r="E8" s="1734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91.09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28" t="s">
        <v>1403</v>
      </c>
      <c r="E10" s="1732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9" t="s">
        <v>1219</v>
      </c>
      <c r="B11" s="659" t="e">
        <f>IF(A11="容积率",主表!B8,主表!B9)</f>
        <v>#DIV/0!</v>
      </c>
      <c r="C11" s="660"/>
      <c r="D11" s="1731"/>
      <c r="E11" s="1735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2" t="s">
        <v>915</v>
      </c>
      <c r="B14" s="1273" t="s">
        <v>1427</v>
      </c>
      <c r="C14" s="1274"/>
      <c r="D14" s="1275">
        <f>SUMPRODUCT((D35:M35=B7)*(B36:B39=B6)*(D36:M39))</f>
        <v>0</v>
      </c>
      <c r="E14" s="1276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2" t="s">
        <v>1446</v>
      </c>
      <c r="B15" s="1268" t="s">
        <v>1411</v>
      </c>
      <c r="C15" s="1269">
        <f>IF(B5="住宅/居住",C16+C17,C16)</f>
        <v>0</v>
      </c>
      <c r="D15" s="1270"/>
      <c r="E15" s="1271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5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5"/>
      <c r="D17" s="1275">
        <f>SUMPRODUCT((D35:M35=B7)*(B44:B46=B17)*(D44:M46))</f>
        <v>150</v>
      </c>
      <c r="E17" s="1276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8" t="s">
        <v>1447</v>
      </c>
      <c r="B18" s="1309" t="s">
        <v>1431</v>
      </c>
      <c r="C18" s="1310">
        <f>IF(B8="城镇拆迁",C19*IF(F19="居民住宅",1,IF(F19="企业事业单位",2,4)),C20)</f>
        <v>0</v>
      </c>
      <c r="D18" s="1311"/>
      <c r="E18" s="1312"/>
      <c r="F18" s="339"/>
      <c r="G18" s="339"/>
      <c r="H18" s="616"/>
      <c r="I18" s="617"/>
      <c r="J18" s="339"/>
      <c r="AE18" s="445"/>
      <c r="AF18" s="445"/>
    </row>
    <row r="19" spans="1:37" ht="15.75">
      <c r="A19" s="1305"/>
      <c r="B19" s="1306" t="s">
        <v>1430</v>
      </c>
      <c r="C19" s="1307"/>
      <c r="D19" s="594">
        <f>SUMPRODUCT((D35:M35=B7)*(B44:B46=B19)*(D44:M46))</f>
        <v>5900</v>
      </c>
      <c r="E19" s="594">
        <f>SUMPRODUCT((D35:M35=B7)*(B47:B49=B19)*(D47:M49))</f>
        <v>7800</v>
      </c>
      <c r="F19" s="1297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6"/>
      <c r="B20" s="1293" t="s">
        <v>1562</v>
      </c>
      <c r="C20" s="1294"/>
      <c r="D20" s="1295">
        <f>SUMPRODUCT((D35:M35=B7)*(B50:B51=F20)*(D50:M51))</f>
        <v>150</v>
      </c>
      <c r="E20" s="1275">
        <f>SUMPRODUCT((D35:M35=B7)*(B52:B53=F20)*(D52:M53))</f>
        <v>450</v>
      </c>
      <c r="F20" s="1298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1" t="s">
        <v>1560</v>
      </c>
      <c r="B21" s="1282" t="s">
        <v>938</v>
      </c>
      <c r="C21" s="1283" t="e">
        <f>IF(B11&lt;1,1,SUMIF(B55:K55,ROUNDDOWN(B11,0),B56:K56)+(SUMIF(B55:K55,ROUNDUP(B11,0),B56:K56)-SUMIF(B55:K55,ROUNDDOWN(B11,0),B56:K56))*(B11-ROUNDDOWN(B11,0)))</f>
        <v>#DIV/0!</v>
      </c>
      <c r="D21" s="1284"/>
      <c r="E21" s="1285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7" t="s">
        <v>1561</v>
      </c>
      <c r="B22" s="1268" t="s">
        <v>199</v>
      </c>
      <c r="C22" s="1278">
        <f ca="1">ROUND(POWER(1+C23,C25-C24)*(POWER(1+C23,C24)-1)/(POWER(1+C23,C25)-1),4)</f>
        <v>1.0025999999999999</v>
      </c>
      <c r="D22" s="1279"/>
      <c r="E22" s="1280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4.0050000000000002E-2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2" t="s">
        <v>1634</v>
      </c>
      <c r="C24" s="580">
        <f>IF(B24="剩余土地使用年限",主表!B15,主表!B16)</f>
        <v>71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9"/>
      <c r="B25" s="1290" t="s">
        <v>1445</v>
      </c>
      <c r="C25" s="1275">
        <f>IF(B5="住宅/居住",70,IF(B5="商业",40,50))</f>
        <v>70</v>
      </c>
      <c r="D25" s="1291"/>
      <c r="E25" s="1292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3" t="s">
        <v>940</v>
      </c>
      <c r="B26" s="1286" t="s">
        <v>943</v>
      </c>
      <c r="C26" s="1287" t="s">
        <v>947</v>
      </c>
      <c r="D26" s="1287" t="s">
        <v>1340</v>
      </c>
      <c r="E26" s="1288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91.09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91.09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8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6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7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7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7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7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7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7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7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25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26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26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26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26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27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26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26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26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27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62" t="s">
        <v>91</v>
      </c>
      <c r="D4" s="1763"/>
      <c r="E4" s="1764" t="s">
        <v>92</v>
      </c>
      <c r="F4" s="1765"/>
      <c r="G4" s="1762" t="s">
        <v>93</v>
      </c>
      <c r="H4" s="1763"/>
      <c r="I4" s="1762" t="s">
        <v>94</v>
      </c>
      <c r="J4" s="1763"/>
      <c r="K4" s="137" t="s">
        <v>95</v>
      </c>
      <c r="L4" s="417"/>
      <c r="M4" s="418"/>
      <c r="N4" s="418"/>
      <c r="O4" s="418"/>
      <c r="P4" s="1766" t="s">
        <v>96</v>
      </c>
      <c r="Q4" s="1767"/>
      <c r="R4" s="1749" t="s">
        <v>92</v>
      </c>
      <c r="S4" s="1750"/>
      <c r="T4" s="1749" t="s">
        <v>93</v>
      </c>
      <c r="U4" s="1750"/>
      <c r="V4" s="1746" t="s">
        <v>94</v>
      </c>
      <c r="W4" s="1746"/>
      <c r="X4" s="193"/>
      <c r="Y4" s="1749" t="s">
        <v>96</v>
      </c>
      <c r="Z4" s="1750"/>
      <c r="AA4" s="1759" t="s">
        <v>92</v>
      </c>
      <c r="AB4" s="1760" t="s">
        <v>93</v>
      </c>
      <c r="AC4" s="1759" t="s">
        <v>94</v>
      </c>
    </row>
    <row r="5" spans="1:29" ht="15">
      <c r="A5" s="39"/>
      <c r="B5" s="40"/>
      <c r="C5" s="1774" t="s">
        <v>227</v>
      </c>
      <c r="D5" s="1775"/>
      <c r="E5" s="1772" t="s">
        <v>228</v>
      </c>
      <c r="F5" s="1773"/>
      <c r="G5" s="1774" t="s">
        <v>231</v>
      </c>
      <c r="H5" s="1775"/>
      <c r="I5" s="1774" t="s">
        <v>229</v>
      </c>
      <c r="J5" s="1775"/>
      <c r="K5" s="137"/>
      <c r="L5" s="417"/>
      <c r="M5" s="418"/>
      <c r="N5" s="418"/>
      <c r="O5" s="418"/>
      <c r="P5" s="1768"/>
      <c r="Q5" s="1769"/>
      <c r="R5" s="1751"/>
      <c r="S5" s="1752"/>
      <c r="T5" s="1751"/>
      <c r="U5" s="1752"/>
      <c r="V5" s="1746"/>
      <c r="W5" s="1746"/>
      <c r="X5" s="193"/>
      <c r="Y5" s="1751"/>
      <c r="Z5" s="1752"/>
      <c r="AA5" s="1760"/>
      <c r="AB5" s="1760"/>
      <c r="AC5" s="1760"/>
    </row>
    <row r="6" spans="1:29" ht="15.75" thickBot="1">
      <c r="A6" s="41"/>
      <c r="B6" s="42"/>
      <c r="C6" s="1776" t="s">
        <v>230</v>
      </c>
      <c r="D6" s="1777"/>
      <c r="E6" s="1778" t="s">
        <v>230</v>
      </c>
      <c r="F6" s="1779"/>
      <c r="G6" s="1776" t="s">
        <v>230</v>
      </c>
      <c r="H6" s="1777"/>
      <c r="I6" s="1776" t="s">
        <v>230</v>
      </c>
      <c r="J6" s="1777"/>
      <c r="K6" s="137" t="s">
        <v>97</v>
      </c>
      <c r="L6" s="417"/>
      <c r="M6" s="418"/>
      <c r="N6" s="418"/>
      <c r="O6" s="418"/>
      <c r="P6" s="1770"/>
      <c r="Q6" s="1771"/>
      <c r="R6" s="1751"/>
      <c r="S6" s="1752"/>
      <c r="T6" s="1753"/>
      <c r="U6" s="1754"/>
      <c r="V6" s="1746"/>
      <c r="W6" s="1746"/>
      <c r="X6" s="193"/>
      <c r="Y6" s="1753"/>
      <c r="Z6" s="1754"/>
      <c r="AA6" s="1761"/>
      <c r="AB6" s="1761"/>
      <c r="AC6" s="1761"/>
    </row>
    <row r="7" spans="1:29" s="21" customFormat="1" ht="15.75" thickBot="1">
      <c r="A7" s="43" t="s">
        <v>98</v>
      </c>
      <c r="B7" s="44"/>
      <c r="C7" s="1265">
        <f>主表!B4</f>
        <v>38084</v>
      </c>
      <c r="D7" s="45">
        <v>100</v>
      </c>
      <c r="E7" s="142"/>
      <c r="F7" s="1074">
        <f>IF(E7&lt;C7,100-K7*DATEDIF(E7,C7,"m"),100+K7*DATEDIF(C7,E7,"m"))</f>
        <v>100</v>
      </c>
      <c r="G7" s="143"/>
      <c r="H7" s="1075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7" t="s">
        <v>99</v>
      </c>
      <c r="Q7" s="1755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7" t="s">
        <v>99</v>
      </c>
      <c r="Z7" s="1748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7" t="s">
        <v>125</v>
      </c>
      <c r="Q8" s="1748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7" t="s">
        <v>125</v>
      </c>
      <c r="Z8" s="1748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39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58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9">
        <v>0</v>
      </c>
      <c r="D10" s="23">
        <v>100</v>
      </c>
      <c r="E10" s="1404"/>
      <c r="F10" s="23">
        <v>100</v>
      </c>
      <c r="G10" s="1236"/>
      <c r="H10" s="23">
        <v>100</v>
      </c>
      <c r="I10" s="1236"/>
      <c r="J10" s="23">
        <v>100</v>
      </c>
      <c r="K10" s="153"/>
      <c r="L10" s="422"/>
      <c r="M10" s="423"/>
      <c r="N10" s="423"/>
      <c r="O10" s="424"/>
      <c r="P10" s="1739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58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8" t="s">
        <v>1219</v>
      </c>
      <c r="C11" s="977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39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58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2"/>
      <c r="B12" s="980" t="s">
        <v>1532</v>
      </c>
      <c r="C12" s="1003" t="str">
        <f>主表!B10</f>
        <v>五级</v>
      </c>
      <c r="D12" s="1004">
        <v>100</v>
      </c>
      <c r="E12" s="1005"/>
      <c r="F12" s="24">
        <f>SUMIF(70:70,E12,71:71)-SUMIF(70:70,C12,71:71)+100</f>
        <v>0</v>
      </c>
      <c r="G12" s="1005"/>
      <c r="H12" s="24">
        <f>SUMIF(70:70,G12,71:71)-SUMIF(70:70,C12,71:71)+100</f>
        <v>0</v>
      </c>
      <c r="I12" s="1005"/>
      <c r="J12" s="24">
        <f>SUMIF(70:70,I12,71:71)-SUMIF(70:70,C12,71:71)+100</f>
        <v>0</v>
      </c>
      <c r="K12" s="154"/>
      <c r="L12" s="419"/>
      <c r="M12" s="420"/>
      <c r="N12" s="420"/>
      <c r="O12" s="421"/>
      <c r="P12" s="1739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58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6">
        <v>111</v>
      </c>
      <c r="C13" s="1001">
        <v>111</v>
      </c>
      <c r="D13" s="59">
        <v>100</v>
      </c>
      <c r="E13" s="1237"/>
      <c r="F13" s="140">
        <f>SUMIF(72:72,E13,73:73)-SUMIF(72:72,C13,73:73)+100</f>
        <v>0</v>
      </c>
      <c r="G13" s="1254"/>
      <c r="H13" s="59">
        <f>SUMIF(72:72,G13,73:73)-SUMIF(72:72,C13,73:73)+100</f>
        <v>0</v>
      </c>
      <c r="I13" s="1254"/>
      <c r="J13" s="59">
        <f>SUMIF(72:72,I13,73:73)-SUMIF(72:72,C13,73:73)+100</f>
        <v>0</v>
      </c>
      <c r="K13" s="1261"/>
      <c r="L13" s="427"/>
      <c r="M13" s="418"/>
      <c r="N13" s="418"/>
      <c r="O13" s="426"/>
      <c r="P13" s="1739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58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1">
        <v>111</v>
      </c>
      <c r="C14" s="982">
        <v>111</v>
      </c>
      <c r="D14" s="56">
        <v>100</v>
      </c>
      <c r="E14" s="1238"/>
      <c r="F14" s="56">
        <f>SUMIF(74:74,E14,75:75)-SUMIF(74:74,C14,75:75)+100</f>
        <v>0</v>
      </c>
      <c r="G14" s="1255"/>
      <c r="H14" s="56">
        <f>SUMIF(74:74,G14,75:75)-SUMIF(74:74,C14,75:75)+100</f>
        <v>0</v>
      </c>
      <c r="I14" s="1255"/>
      <c r="J14" s="56">
        <f>SUMIF(74:74,I14,75:75)-SUMIF(74:74,C14,75:75)+100</f>
        <v>0</v>
      </c>
      <c r="K14" s="1261"/>
      <c r="L14" s="427"/>
      <c r="M14" s="418"/>
      <c r="N14" s="418"/>
      <c r="O14" s="426"/>
      <c r="P14" s="1739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58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3" t="s">
        <v>86</v>
      </c>
      <c r="C15" s="987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9"/>
      <c r="F15" s="58">
        <f>SUMIF(76:76,E16,77:77)-SUMIF(76:76,C16,77:77)+100</f>
        <v>0</v>
      </c>
      <c r="G15" s="1239"/>
      <c r="H15" s="58">
        <f>SUMIF(76:76,G16,77:77)-SUMIF(76:76,C16,77:77)+100</f>
        <v>0</v>
      </c>
      <c r="I15" s="1257"/>
      <c r="J15" s="58">
        <f>SUMIF(76:76,I16,77:77)-SUMIF(76:76,C16,77:77)+100</f>
        <v>0</v>
      </c>
      <c r="K15" s="154"/>
      <c r="L15" s="427"/>
      <c r="M15" s="418"/>
      <c r="N15" s="418"/>
      <c r="O15" s="426"/>
      <c r="P15" s="1756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56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3" t="s">
        <v>15</v>
      </c>
      <c r="D16" s="59"/>
      <c r="E16" s="1240"/>
      <c r="F16" s="59"/>
      <c r="G16" s="1244"/>
      <c r="H16" s="60"/>
      <c r="I16" s="1244"/>
      <c r="J16" s="59"/>
      <c r="K16" s="1261"/>
      <c r="L16" s="427"/>
      <c r="M16" s="418"/>
      <c r="N16" s="418"/>
      <c r="O16" s="426"/>
      <c r="P16" s="1757"/>
      <c r="Q16" s="197"/>
      <c r="R16" s="198"/>
      <c r="S16" s="199"/>
      <c r="T16" s="198"/>
      <c r="U16" s="199"/>
      <c r="V16" s="198"/>
      <c r="W16" s="199"/>
      <c r="X16" s="193"/>
      <c r="Y16" s="1757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4" t="s">
        <v>126</v>
      </c>
      <c r="C17" s="988" t="str">
        <f>估价对象房地状况!C4</f>
        <v>估价对象位于XX商圈，周边商业氛围成熟，人流量大，商业繁华度好</v>
      </c>
      <c r="D17" s="60">
        <v>100</v>
      </c>
      <c r="E17" s="1241"/>
      <c r="F17" s="60">
        <f>SUMIF(78:78,E18,79:79)-SUMIF(78:78,C18,79:79)+100</f>
        <v>0</v>
      </c>
      <c r="G17" s="1241"/>
      <c r="H17" s="61">
        <f>SUMIF(78:78,G18,79:79)-SUMIF(78:78,C18,79:79)+100</f>
        <v>0</v>
      </c>
      <c r="I17" s="1256"/>
      <c r="J17" s="61">
        <f>SUMIF(78:78,I18,79:79)-SUMIF(78:78,C18,79:79)+100</f>
        <v>0</v>
      </c>
      <c r="K17" s="154"/>
      <c r="L17" s="427"/>
      <c r="M17" s="418"/>
      <c r="N17" s="418"/>
      <c r="O17" s="426"/>
      <c r="P17" s="1757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57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5" t="s">
        <v>15</v>
      </c>
      <c r="D18" s="60"/>
      <c r="E18" s="1242"/>
      <c r="F18" s="60"/>
      <c r="G18" s="1242"/>
      <c r="H18" s="59"/>
      <c r="I18" s="1242"/>
      <c r="J18" s="59"/>
      <c r="K18" s="1261"/>
      <c r="L18" s="427"/>
      <c r="M18" s="418"/>
      <c r="N18" s="418"/>
      <c r="O18" s="426"/>
      <c r="P18" s="1757"/>
      <c r="Q18" s="197"/>
      <c r="R18" s="198"/>
      <c r="S18" s="199"/>
      <c r="T18" s="198"/>
      <c r="U18" s="199"/>
      <c r="V18" s="198"/>
      <c r="W18" s="199"/>
      <c r="X18" s="193"/>
      <c r="Y18" s="1757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4" t="s">
        <v>128</v>
      </c>
      <c r="C19" s="988" t="str">
        <f>估价对象房地状况!C5</f>
        <v>估价对象位于XX商圈，周边办公楼项目较多，入驻率高，办公集聚程度较好</v>
      </c>
      <c r="D19" s="61">
        <v>100</v>
      </c>
      <c r="E19" s="1243"/>
      <c r="F19" s="61">
        <f>SUMIF(80:80,E20,81:81)-SUMIF(80:80,C20,81:81)+100</f>
        <v>0</v>
      </c>
      <c r="G19" s="1243"/>
      <c r="H19" s="60">
        <f>SUMIF(80:80,G20,81:81)-SUMIF(80:80,C20,81:81)+100</f>
        <v>0</v>
      </c>
      <c r="I19" s="1258"/>
      <c r="J19" s="60">
        <f>SUMIF(80:80,I20,81:81)-SUMIF(80:80,C20,81:81)+100</f>
        <v>0</v>
      </c>
      <c r="K19" s="154"/>
      <c r="L19" s="427"/>
      <c r="M19" s="418"/>
      <c r="N19" s="418"/>
      <c r="O19" s="426"/>
      <c r="P19" s="1757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57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3" t="s">
        <v>15</v>
      </c>
      <c r="D20" s="59"/>
      <c r="E20" s="1244"/>
      <c r="F20" s="59"/>
      <c r="G20" s="1244"/>
      <c r="H20" s="59"/>
      <c r="I20" s="1244"/>
      <c r="J20" s="59"/>
      <c r="K20" s="1261"/>
      <c r="L20" s="427"/>
      <c r="M20" s="418"/>
      <c r="N20" s="418"/>
      <c r="O20" s="426"/>
      <c r="P20" s="1757"/>
      <c r="Q20" s="197"/>
      <c r="R20" s="198"/>
      <c r="S20" s="199"/>
      <c r="T20" s="198"/>
      <c r="U20" s="199"/>
      <c r="V20" s="198"/>
      <c r="W20" s="199"/>
      <c r="X20" s="193"/>
      <c r="Y20" s="1757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4" t="s">
        <v>131</v>
      </c>
      <c r="C21" s="989" t="str">
        <f>估价对象房地状况!C6</f>
        <v>估价对象周边道路状况、公共交通通达情况、停车便捷程度，综合评价交通便捷度较好</v>
      </c>
      <c r="D21" s="60">
        <v>100</v>
      </c>
      <c r="E21" s="1241"/>
      <c r="F21" s="61">
        <f>SUMIF(82:82,E22,83:83)-SUMIF(82:82,C22,83:83)+100</f>
        <v>0</v>
      </c>
      <c r="G21" s="1241"/>
      <c r="H21" s="60">
        <f>SUMIF(82:82,G22,83:83)-SUMIF(82:82,C22,83:83)+100</f>
        <v>0</v>
      </c>
      <c r="I21" s="1256"/>
      <c r="J21" s="60">
        <f>SUMIF(82:82,I22,83:83)-SUMIF(82:82,C22,83:83)+100</f>
        <v>0</v>
      </c>
      <c r="K21" s="154"/>
      <c r="L21" s="427"/>
      <c r="M21" s="418"/>
      <c r="N21" s="418"/>
      <c r="O21" s="426"/>
      <c r="P21" s="1757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57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5"/>
      <c r="C22" s="993" t="s">
        <v>15</v>
      </c>
      <c r="D22" s="60"/>
      <c r="E22" s="1244"/>
      <c r="F22" s="59"/>
      <c r="G22" s="1244"/>
      <c r="H22" s="59"/>
      <c r="I22" s="1244"/>
      <c r="J22" s="59"/>
      <c r="K22" s="1261"/>
      <c r="L22" s="427"/>
      <c r="M22" s="418"/>
      <c r="N22" s="418"/>
      <c r="O22" s="426"/>
      <c r="P22" s="1757"/>
      <c r="Q22" s="197"/>
      <c r="R22" s="198"/>
      <c r="S22" s="199"/>
      <c r="T22" s="198"/>
      <c r="U22" s="199"/>
      <c r="V22" s="198"/>
      <c r="W22" s="199"/>
      <c r="X22" s="193"/>
      <c r="Y22" s="1757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4" t="s">
        <v>134</v>
      </c>
      <c r="C23" s="990" t="str">
        <f>估价对象房地状况!C7</f>
        <v>零星有其他用地，基本不影响本宗地</v>
      </c>
      <c r="D23" s="61">
        <v>100</v>
      </c>
      <c r="E23" s="1241"/>
      <c r="F23" s="61">
        <f>SUMIF(84:84,E24,85:85)-SUMIF(84:84,C24,85:85)+100</f>
        <v>0</v>
      </c>
      <c r="G23" s="1256"/>
      <c r="H23" s="61">
        <f>SUMIF(84:84,G24,85:85)-SUMIF(84:84,C24,85:85)+100</f>
        <v>0</v>
      </c>
      <c r="I23" s="1256"/>
      <c r="J23" s="61">
        <f>SUMIF(84:84,I24,85:85)-SUMIF(84:84,C24,85:85)+100</f>
        <v>0</v>
      </c>
      <c r="K23" s="154"/>
      <c r="L23" s="427"/>
      <c r="M23" s="418"/>
      <c r="N23" s="418"/>
      <c r="O23" s="426"/>
      <c r="P23" s="1757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57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3" t="s">
        <v>15</v>
      </c>
      <c r="D24" s="991"/>
      <c r="E24" s="1245"/>
      <c r="F24" s="59"/>
      <c r="G24" s="1245"/>
      <c r="H24" s="59"/>
      <c r="I24" s="1245"/>
      <c r="J24" s="59"/>
      <c r="K24" s="1261"/>
      <c r="L24" s="427"/>
      <c r="M24" s="418"/>
      <c r="N24" s="418"/>
      <c r="O24" s="426"/>
      <c r="P24" s="1757"/>
      <c r="Q24" s="197"/>
      <c r="R24" s="198"/>
      <c r="S24" s="199"/>
      <c r="T24" s="198"/>
      <c r="U24" s="199"/>
      <c r="V24" s="198"/>
      <c r="W24" s="199"/>
      <c r="X24" s="193"/>
      <c r="Y24" s="1757"/>
      <c r="Z24" s="200"/>
      <c r="AA24" s="200"/>
      <c r="AB24" s="200"/>
      <c r="AC24" s="200"/>
    </row>
    <row r="25" spans="1:29" ht="54" hidden="1">
      <c r="A25" s="39"/>
      <c r="B25" s="985" t="s">
        <v>135</v>
      </c>
      <c r="C25" s="992" t="str">
        <f>估价对象房地状况!C8</f>
        <v>区域自然环境：；人文环境；综合评价环境状况一般</v>
      </c>
      <c r="D25" s="60">
        <v>100</v>
      </c>
      <c r="E25" s="1241"/>
      <c r="F25" s="60">
        <f>SUMIF(86:86,E26,87:87)-SUMIF(86:86,C26,87:87)+100</f>
        <v>0</v>
      </c>
      <c r="G25" s="1241"/>
      <c r="H25" s="60">
        <f>SUMIF(86:86,G26,87:87)-SUMIF(86:86,C26,87:87)+100</f>
        <v>0</v>
      </c>
      <c r="I25" s="1256"/>
      <c r="J25" s="60">
        <f>SUMIF(86:86,I26,87:87)-SUMIF(86:86,C26,87:87)+100</f>
        <v>0</v>
      </c>
      <c r="K25" s="154"/>
      <c r="L25" s="427"/>
      <c r="M25" s="418"/>
      <c r="N25" s="418"/>
      <c r="O25" s="426"/>
      <c r="P25" s="1757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57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3" t="s">
        <v>15</v>
      </c>
      <c r="D26" s="59"/>
      <c r="E26" s="1245"/>
      <c r="F26" s="59"/>
      <c r="G26" s="1245"/>
      <c r="H26" s="59"/>
      <c r="I26" s="1245"/>
      <c r="J26" s="59"/>
      <c r="K26" s="1261"/>
      <c r="L26" s="427"/>
      <c r="M26" s="418"/>
      <c r="N26" s="418"/>
      <c r="O26" s="426"/>
      <c r="P26" s="1757"/>
      <c r="Q26" s="197"/>
      <c r="R26" s="198"/>
      <c r="S26" s="199"/>
      <c r="T26" s="198"/>
      <c r="U26" s="199"/>
      <c r="V26" s="198"/>
      <c r="W26" s="199"/>
      <c r="X26" s="193"/>
      <c r="Y26" s="1757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6" t="s">
        <v>1198</v>
      </c>
      <c r="C27" s="989" t="str">
        <f>估价对象房地状况!C9</f>
        <v>估价对象所在区域公共配套设施齐备情况</v>
      </c>
      <c r="D27" s="60">
        <v>100</v>
      </c>
      <c r="E27" s="1241"/>
      <c r="F27" s="60">
        <f>SUMIF(88:88,E28,89:89)-SUMIF(88:88,C28,89:89)+100</f>
        <v>0</v>
      </c>
      <c r="G27" s="1241"/>
      <c r="H27" s="60">
        <f>SUMIF(88:88,G28,89:89)-SUMIF(88:88,C28,89:89)+100</f>
        <v>0</v>
      </c>
      <c r="I27" s="1256"/>
      <c r="J27" s="60">
        <f>SUMIF(88:88,I28,89:89)-SUMIF(88:88,C28,89:89)+100</f>
        <v>0</v>
      </c>
      <c r="K27" s="154"/>
      <c r="L27" s="419"/>
      <c r="M27" s="420"/>
      <c r="N27" s="420"/>
      <c r="O27" s="421"/>
      <c r="P27" s="1757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57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6" t="s">
        <v>15</v>
      </c>
      <c r="D28" s="59"/>
      <c r="E28" s="1246"/>
      <c r="F28" s="59"/>
      <c r="G28" s="1246"/>
      <c r="H28" s="59"/>
      <c r="I28" s="1246"/>
      <c r="J28" s="59"/>
      <c r="K28" s="1261"/>
      <c r="L28" s="419"/>
      <c r="M28" s="420"/>
      <c r="N28" s="420"/>
      <c r="O28" s="421"/>
      <c r="P28" s="1757"/>
      <c r="Q28" s="17"/>
      <c r="R28" s="194"/>
      <c r="S28" s="195"/>
      <c r="T28" s="194"/>
      <c r="U28" s="195"/>
      <c r="V28" s="194"/>
      <c r="W28" s="195"/>
      <c r="X28" s="196"/>
      <c r="Y28" s="1757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6" t="s">
        <v>1199</v>
      </c>
      <c r="C29" s="989" t="str">
        <f>估价对象房地状况!C10</f>
        <v>估价对象所在区域基础设施水平</v>
      </c>
      <c r="D29" s="60">
        <v>100</v>
      </c>
      <c r="E29" s="1241"/>
      <c r="F29" s="60">
        <f>SUMIF(90:90,E30,91:91)-SUMIF(90:90,C30,91:91)+100</f>
        <v>0</v>
      </c>
      <c r="G29" s="1241"/>
      <c r="H29" s="60">
        <f>SUMIF(90:90,G30,91:91)-SUMIF(90:90,C30,91:91)+100</f>
        <v>0</v>
      </c>
      <c r="I29" s="1256"/>
      <c r="J29" s="60">
        <f>SUMIF(90:90,I30,91:91)-SUMIF(90:90,C30,91:91)+100</f>
        <v>0</v>
      </c>
      <c r="K29" s="154"/>
      <c r="L29" s="419"/>
      <c r="M29" s="420"/>
      <c r="N29" s="420"/>
      <c r="O29" s="421"/>
      <c r="P29" s="1757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57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6" t="s">
        <v>5</v>
      </c>
      <c r="D30" s="59"/>
      <c r="E30" s="1246"/>
      <c r="F30" s="59"/>
      <c r="G30" s="1246"/>
      <c r="H30" s="59"/>
      <c r="I30" s="1246"/>
      <c r="J30" s="59"/>
      <c r="K30" s="1261"/>
      <c r="L30" s="419"/>
      <c r="M30" s="420"/>
      <c r="N30" s="420"/>
      <c r="O30" s="421"/>
      <c r="P30" s="1757"/>
      <c r="Q30" s="17"/>
      <c r="R30" s="194"/>
      <c r="S30" s="195"/>
      <c r="T30" s="194"/>
      <c r="U30" s="195"/>
      <c r="V30" s="194"/>
      <c r="W30" s="195"/>
      <c r="X30" s="196"/>
      <c r="Y30" s="1757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7" t="s">
        <v>29</v>
      </c>
      <c r="D31" s="54">
        <v>100</v>
      </c>
      <c r="E31" s="1247"/>
      <c r="F31" s="54">
        <f>SUMIF(92:92,E31,93:93)-SUMIF(92:92,C31,93:93)+100</f>
        <v>0</v>
      </c>
      <c r="G31" s="1247"/>
      <c r="H31" s="54">
        <f>SUMIF(92:92,G31,93:93)-SUMIF(92:92,C31,93:93)+100</f>
        <v>0</v>
      </c>
      <c r="I31" s="1247"/>
      <c r="J31" s="54">
        <f>SUMIF(92:92,I31,93:93)-SUMIF(92:92,C31,93:93)+100</f>
        <v>0</v>
      </c>
      <c r="K31" s="154"/>
      <c r="L31" s="427"/>
      <c r="M31" s="418"/>
      <c r="N31" s="418"/>
      <c r="O31" s="426"/>
      <c r="P31" s="1757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57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5" t="s">
        <v>129</v>
      </c>
      <c r="C32" s="994" t="s">
        <v>136</v>
      </c>
      <c r="D32" s="60">
        <v>100</v>
      </c>
      <c r="E32" s="1241"/>
      <c r="F32" s="60">
        <f>SUMIF(94:94,E33,95:95)-SUMIF(94:94,C33,95:95)+100</f>
        <v>0</v>
      </c>
      <c r="G32" s="1241"/>
      <c r="H32" s="60">
        <f>SUMIF(94:94,G33,95:95)-SUMIF(94:94,C33,95:95)+100</f>
        <v>0</v>
      </c>
      <c r="I32" s="1256"/>
      <c r="J32" s="60">
        <f>SUMIF(94:94,I33,95:95)-SUMIF(94:94,C33,95:95)+100</f>
        <v>0</v>
      </c>
      <c r="K32" s="154"/>
      <c r="L32" s="427"/>
      <c r="M32" s="418"/>
      <c r="N32" s="418"/>
      <c r="O32" s="426"/>
      <c r="P32" s="1757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57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3" t="s">
        <v>21</v>
      </c>
      <c r="D33" s="59"/>
      <c r="E33" s="1245"/>
      <c r="F33" s="59"/>
      <c r="G33" s="1245"/>
      <c r="H33" s="59"/>
      <c r="I33" s="1245"/>
      <c r="J33" s="59"/>
      <c r="K33" s="1262"/>
      <c r="L33" s="427"/>
      <c r="M33" s="418"/>
      <c r="N33" s="418"/>
      <c r="O33" s="426"/>
      <c r="P33" s="1757"/>
      <c r="Q33" s="197"/>
      <c r="R33" s="198"/>
      <c r="S33" s="199"/>
      <c r="T33" s="198"/>
      <c r="U33" s="199"/>
      <c r="V33" s="198"/>
      <c r="W33" s="199"/>
      <c r="X33" s="193"/>
      <c r="Y33" s="1757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7"/>
      <c r="D34" s="54">
        <v>100</v>
      </c>
      <c r="E34" s="1248"/>
      <c r="F34" s="54">
        <f>SUMIF(96:96,E34,97:97)-SUMIF(96:96,C34,97:97)+100</f>
        <v>100</v>
      </c>
      <c r="G34" s="1248"/>
      <c r="H34" s="54">
        <f>SUMIF(96:96,G34,97:97)-SUMIF(96:96,C34,97:97)+100</f>
        <v>100</v>
      </c>
      <c r="I34" s="1247"/>
      <c r="J34" s="54">
        <f>SUMIF(96:96,I34,97:97)-SUMIF(96:96,C34,97:97)+100</f>
        <v>100</v>
      </c>
      <c r="K34" s="1263"/>
      <c r="L34" s="427"/>
      <c r="M34" s="418"/>
      <c r="N34" s="418"/>
      <c r="O34" s="426"/>
      <c r="P34" s="1757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57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8">
        <v>111</v>
      </c>
      <c r="C35" s="999">
        <v>111</v>
      </c>
      <c r="D35" s="54">
        <v>100</v>
      </c>
      <c r="E35" s="1249"/>
      <c r="F35" s="54">
        <f>SUMIF(98:98,E35,99:99)-SUMIF(98:98,C35,99:99)+100</f>
        <v>0</v>
      </c>
      <c r="G35" s="1249"/>
      <c r="H35" s="54">
        <f>SUMIF(98:98,G35,99:99)-SUMIF(98:98,C35,99:99)+100</f>
        <v>0</v>
      </c>
      <c r="I35" s="1259"/>
      <c r="J35" s="54">
        <f>SUMIF(98:98,I35,99:99)-SUMIF(98:98,C35,99:99)+100</f>
        <v>0</v>
      </c>
      <c r="K35" s="1262"/>
      <c r="L35" s="427"/>
      <c r="M35" s="418"/>
      <c r="N35" s="418"/>
      <c r="O35" s="426"/>
      <c r="P35" s="1757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57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6">
        <v>111</v>
      </c>
      <c r="C36" s="1000">
        <v>111</v>
      </c>
      <c r="D36" s="61">
        <v>100</v>
      </c>
      <c r="E36" s="1250"/>
      <c r="F36" s="61">
        <f>SUMIF(100:100,E37,101:101)-SUMIF(100:100,C37,101:101)+100</f>
        <v>100</v>
      </c>
      <c r="G36" s="1250"/>
      <c r="H36" s="61">
        <f>SUMIF(100:100,G36,101:101)-SUMIF(100:100,C36,101:101)+100</f>
        <v>0</v>
      </c>
      <c r="I36" s="1260"/>
      <c r="J36" s="61">
        <f>SUMIF(100:100,I36,101:101)-SUMIF(100:100,C36,101:101)+100</f>
        <v>0</v>
      </c>
      <c r="K36" s="1262"/>
      <c r="L36" s="427"/>
      <c r="M36" s="418"/>
      <c r="N36" s="418"/>
      <c r="O36" s="426"/>
      <c r="P36" s="174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4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1" t="s">
        <v>1545</v>
      </c>
      <c r="B37" s="1008"/>
      <c r="C37" s="1060"/>
      <c r="D37" s="45">
        <v>100</v>
      </c>
      <c r="E37" s="1060"/>
      <c r="F37" s="1007">
        <f>SUMIF(102:102,E37,103:103)-SUMIF(102:102,C37,103:103)+100</f>
        <v>100</v>
      </c>
      <c r="G37" s="1060"/>
      <c r="H37" s="1007">
        <f>SUMIF(102:102,G37,103:103)-SUMIF(102:102,C37,103:103)+100</f>
        <v>100</v>
      </c>
      <c r="I37" s="1060"/>
      <c r="J37" s="1007">
        <f>SUMIF(102:102,I37,103:103)-SUMIF(102:102,C37,103:103)+100</f>
        <v>100</v>
      </c>
      <c r="K37" s="154"/>
      <c r="L37" s="425"/>
      <c r="M37" s="428"/>
      <c r="N37" s="428"/>
      <c r="O37" s="429"/>
      <c r="P37" s="174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4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4"/>
      <c r="D38" s="59">
        <v>100</v>
      </c>
      <c r="E38" s="1239"/>
      <c r="F38" s="59">
        <f>LOOKUP(E38,105:105,106:106)-LOOKUP(C38,105:105,106:106)+100</f>
        <v>100</v>
      </c>
      <c r="G38" s="1239"/>
      <c r="H38" s="59">
        <f>LOOKUP(G38,105:105,106:106)-LOOKUP(C38,105:105,106:106)+100</f>
        <v>100</v>
      </c>
      <c r="I38" s="1239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4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4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1"/>
      <c r="D39" s="54">
        <v>100</v>
      </c>
      <c r="E39" s="1251"/>
      <c r="F39" s="54">
        <f>SUMIF(107:107,E39,108:108)-SUMIF(107:107,C39,108:108)+100</f>
        <v>100</v>
      </c>
      <c r="G39" s="1251"/>
      <c r="H39" s="54">
        <f>SUMIF(107:107,G39,108:108)-SUMIF(107:107,C39,108:108)+100</f>
        <v>100</v>
      </c>
      <c r="I39" s="1251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4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4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1"/>
      <c r="D40" s="54">
        <v>100</v>
      </c>
      <c r="E40" s="1251"/>
      <c r="F40" s="54">
        <f>SUMIF(109:109,E40,110:110)-SUMIF(109:109,C40,110:110)+100</f>
        <v>100</v>
      </c>
      <c r="G40" s="1251"/>
      <c r="H40" s="54">
        <f>SUMIF(109:109,G40,110:110)-SUMIF(109:109,C40,110:110)+100</f>
        <v>100</v>
      </c>
      <c r="I40" s="1251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4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4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2"/>
      <c r="D41" s="23">
        <v>100</v>
      </c>
      <c r="E41" s="1252"/>
      <c r="F41" s="54">
        <f>SUMIF(111:111,E41,112:112)-SUMIF(111:111,C41,112:112)+100</f>
        <v>100</v>
      </c>
      <c r="G41" s="1252"/>
      <c r="H41" s="54">
        <f>SUMIF(111:111,G41,112:112)-SUMIF(111:111,C41,112:112)+100</f>
        <v>100</v>
      </c>
      <c r="I41" s="1252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4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4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1"/>
      <c r="D42" s="54">
        <v>100</v>
      </c>
      <c r="E42" s="1251"/>
      <c r="F42" s="54">
        <f>SUMIF(113:113,E42,114:114)-SUMIF(113:113,C42,114:114)+100</f>
        <v>100</v>
      </c>
      <c r="G42" s="1251"/>
      <c r="H42" s="54">
        <f>SUMIF(113:113,G42,114:114)-SUMIF(113:113,C42,114:114)+100</f>
        <v>100</v>
      </c>
      <c r="I42" s="1251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4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4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9">
        <v>111</v>
      </c>
      <c r="C43" s="1253"/>
      <c r="D43" s="54">
        <v>100</v>
      </c>
      <c r="E43" s="1253"/>
      <c r="F43" s="54">
        <f>SUMIF(115:115,E43,116:116)-SUMIF(115:115,C43,116:116)+100</f>
        <v>100</v>
      </c>
      <c r="G43" s="1253"/>
      <c r="H43" s="54">
        <f>SUMIF(115:115,G43,116:116)-SUMIF(115:115,C43,116:116)+100</f>
        <v>100</v>
      </c>
      <c r="I43" s="1253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4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4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9">
        <v>111</v>
      </c>
      <c r="C44" s="1253"/>
      <c r="D44" s="54">
        <v>100</v>
      </c>
      <c r="E44" s="1253"/>
      <c r="F44" s="54">
        <f>SUMIF(117:117,E44,118:118)-SUMIF(117:117,C44,118:118)+100</f>
        <v>100</v>
      </c>
      <c r="G44" s="1253"/>
      <c r="H44" s="54">
        <f>SUMIF(117:117,G44,118:118)-SUMIF(117:117,C44,118:118)+100</f>
        <v>100</v>
      </c>
      <c r="I44" s="1253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4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4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2" t="s">
        <v>1547</v>
      </c>
      <c r="B45" s="1010"/>
      <c r="C45" s="1060"/>
      <c r="D45" s="1061">
        <v>100</v>
      </c>
      <c r="E45" s="1060"/>
      <c r="F45" s="56">
        <f>SUMIF(119:119,E45,120:120)-SUMIF(119:119,C45,120:120)+100</f>
        <v>100</v>
      </c>
      <c r="G45" s="1060"/>
      <c r="H45" s="56">
        <f>SUMIF(119:119,G45,120:120)-SUMIF(119:119,C45,120:120)+100</f>
        <v>100</v>
      </c>
      <c r="I45" s="1060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4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4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39" t="str">
        <f>A46</f>
        <v>成交单价</v>
      </c>
      <c r="Q46" s="1739"/>
      <c r="R46" s="1746">
        <f>E46</f>
        <v>0</v>
      </c>
      <c r="S46" s="1746"/>
      <c r="T46" s="1746">
        <f>G46</f>
        <v>0</v>
      </c>
      <c r="U46" s="1746"/>
      <c r="V46" s="1746">
        <f>I46</f>
        <v>0</v>
      </c>
      <c r="W46" s="1746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39" t="str">
        <f>A47</f>
        <v>比较价值（元/平方米）</v>
      </c>
      <c r="Q47" s="1739"/>
      <c r="R47" s="1740" t="e">
        <f>ROUND(PRODUCT(R46,AA7:AA45),0)</f>
        <v>#DIV/0!</v>
      </c>
      <c r="S47" s="1740"/>
      <c r="T47" s="1740" t="e">
        <f>ROUND(PRODUCT(T46,AB7:AB45),0)</f>
        <v>#DIV/0!</v>
      </c>
      <c r="U47" s="1740"/>
      <c r="V47" s="1740" t="e">
        <f>ROUND(PRODUCT(V46,AC7:AC45),0)</f>
        <v>#DIV/0!</v>
      </c>
      <c r="W47" s="1740"/>
      <c r="X47" s="189"/>
      <c r="Y47" s="189"/>
      <c r="Z47" s="189"/>
      <c r="AA47" s="189"/>
      <c r="AB47" s="189"/>
      <c r="AC47" s="189"/>
    </row>
    <row r="48" spans="1:29" ht="15.75" thickBot="1">
      <c r="A48" s="1090" t="str">
        <f>"估价对象比较价值（"&amp;B46&amp;"，元/平方米）"</f>
        <v>估价对象比较价值（单价内涵，元/平方米）</v>
      </c>
      <c r="B48" s="1091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41" t="str">
        <f>A48</f>
        <v>估价对象比较价值（单价内涵，元/平方米）</v>
      </c>
      <c r="Q48" s="1742"/>
      <c r="R48" s="1743" t="e">
        <f>ROUND(AVERAGE(R47:V47),0)</f>
        <v>#DIV/0!</v>
      </c>
      <c r="S48" s="1743"/>
      <c r="T48" s="1743"/>
      <c r="U48" s="1743"/>
      <c r="V48" s="1743"/>
      <c r="W48" s="1743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2004-4-1</v>
      </c>
      <c r="D56" s="1448">
        <f>EDATE(C56,-3)</f>
        <v>37987</v>
      </c>
      <c r="E56" s="1448">
        <f t="shared" ref="E56:O56" si="15">EDATE(D56,-3)</f>
        <v>37895</v>
      </c>
      <c r="F56" s="1448">
        <f t="shared" si="15"/>
        <v>37803</v>
      </c>
      <c r="G56" s="1448">
        <f t="shared" si="15"/>
        <v>37712</v>
      </c>
      <c r="H56" s="1448">
        <f t="shared" si="15"/>
        <v>37622</v>
      </c>
      <c r="I56" s="1448">
        <f t="shared" si="15"/>
        <v>37530</v>
      </c>
      <c r="J56" s="1448">
        <f t="shared" si="15"/>
        <v>37438</v>
      </c>
      <c r="K56" s="1448">
        <f t="shared" si="15"/>
        <v>37347</v>
      </c>
      <c r="L56" s="1448">
        <f t="shared" si="15"/>
        <v>37257</v>
      </c>
      <c r="M56" s="1448">
        <f t="shared" si="15"/>
        <v>37165</v>
      </c>
      <c r="N56" s="1448">
        <f t="shared" si="15"/>
        <v>37073</v>
      </c>
      <c r="O56" s="1448">
        <f t="shared" si="15"/>
        <v>36982</v>
      </c>
    </row>
    <row r="57" spans="1:17" ht="21.75" thickBot="1">
      <c r="A57" s="1082" t="s">
        <v>113</v>
      </c>
      <c r="B57" s="1083"/>
      <c r="C57" s="1084"/>
      <c r="D57" s="1084"/>
      <c r="E57" s="1084"/>
      <c r="F57" s="1085"/>
      <c r="G57" s="1085"/>
      <c r="H57" s="1084"/>
      <c r="I57" s="1086"/>
      <c r="J57" s="1086"/>
      <c r="K57" s="1087"/>
      <c r="L57" s="1088"/>
      <c r="M57" s="1086"/>
      <c r="N57" s="443"/>
      <c r="O57" s="443"/>
      <c r="P57" s="84"/>
      <c r="Q57" s="85"/>
    </row>
    <row r="58" spans="1:17" s="1078" customFormat="1" ht="15">
      <c r="A58" s="86" t="s">
        <v>98</v>
      </c>
      <c r="B58" s="87"/>
      <c r="C58" s="1447" t="str">
        <f>YEAR(C56)&amp;"-"&amp;ROUNDUP(MONTH(C56)/3,0)</f>
        <v>2004-2</v>
      </c>
      <c r="D58" s="1447" t="str">
        <f t="shared" ref="D58:O58" si="16">YEAR(D56)&amp;"-"&amp;ROUNDUP(MONTH(D56)/3,0)</f>
        <v>2004-1</v>
      </c>
      <c r="E58" s="1447" t="str">
        <f t="shared" si="16"/>
        <v>2003-4</v>
      </c>
      <c r="F58" s="1447" t="str">
        <f t="shared" si="16"/>
        <v>2003-3</v>
      </c>
      <c r="G58" s="1447" t="str">
        <f t="shared" si="16"/>
        <v>2003-2</v>
      </c>
      <c r="H58" s="1447" t="str">
        <f t="shared" si="16"/>
        <v>2003-1</v>
      </c>
      <c r="I58" s="1447" t="str">
        <f t="shared" si="16"/>
        <v>2002-4</v>
      </c>
      <c r="J58" s="1447" t="str">
        <f t="shared" si="16"/>
        <v>2002-3</v>
      </c>
      <c r="K58" s="1447" t="str">
        <f t="shared" si="16"/>
        <v>2002-2</v>
      </c>
      <c r="L58" s="1447" t="str">
        <f t="shared" si="16"/>
        <v>2002-1</v>
      </c>
      <c r="M58" s="1447" t="str">
        <f t="shared" si="16"/>
        <v>2001-4</v>
      </c>
      <c r="N58" s="1447" t="str">
        <f t="shared" si="16"/>
        <v>2001-3</v>
      </c>
      <c r="O58" s="1447" t="str">
        <f t="shared" si="16"/>
        <v>2001-2</v>
      </c>
    </row>
    <row r="59" spans="1:17" s="1019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3"/>
      <c r="N59" s="90"/>
      <c r="O59" s="1454"/>
      <c r="P59" s="1015"/>
    </row>
    <row r="60" spans="1:17" s="1019" customFormat="1" ht="15.75" thickBot="1">
      <c r="A60" s="92" t="s">
        <v>114</v>
      </c>
      <c r="B60" s="93"/>
      <c r="C60" s="1079"/>
      <c r="D60" s="1080"/>
      <c r="E60" s="1080"/>
      <c r="F60" s="1080"/>
      <c r="G60" s="1080"/>
      <c r="H60" s="1080"/>
      <c r="I60" s="1080"/>
      <c r="J60" s="1080"/>
      <c r="K60" s="1080"/>
      <c r="L60" s="1080"/>
      <c r="M60" s="1081"/>
      <c r="N60" s="1080"/>
      <c r="O60" s="1446"/>
      <c r="P60" s="1015"/>
      <c r="Q60" s="1015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8" t="s">
        <v>1533</v>
      </c>
      <c r="D70" s="978" t="s">
        <v>1534</v>
      </c>
      <c r="E70" s="978" t="s">
        <v>1535</v>
      </c>
      <c r="F70" s="978" t="s">
        <v>1536</v>
      </c>
      <c r="G70" s="978" t="s">
        <v>1537</v>
      </c>
      <c r="H70" s="978" t="s">
        <v>1538</v>
      </c>
      <c r="I70" s="978" t="s">
        <v>1539</v>
      </c>
      <c r="J70" s="978" t="s">
        <v>1540</v>
      </c>
      <c r="K70" s="978" t="s">
        <v>1541</v>
      </c>
      <c r="L70" s="978" t="s">
        <v>1542</v>
      </c>
      <c r="M70" s="979" t="s">
        <v>1543</v>
      </c>
      <c r="N70" s="979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3" customFormat="1" ht="15.75" hidden="1" thickTop="1">
      <c r="A72" s="117"/>
      <c r="B72" s="102">
        <f>B13</f>
        <v>111</v>
      </c>
      <c r="C72" s="1024">
        <v>111</v>
      </c>
      <c r="D72" s="1024">
        <v>222</v>
      </c>
      <c r="E72" s="1024">
        <v>333</v>
      </c>
      <c r="F72" s="1024">
        <v>444</v>
      </c>
      <c r="G72" s="1024"/>
      <c r="H72" s="1062"/>
      <c r="I72" s="1062"/>
      <c r="J72" s="1062"/>
      <c r="K72" s="1062"/>
      <c r="L72" s="1063"/>
      <c r="M72" s="1064"/>
      <c r="N72" s="1020"/>
      <c r="O72" s="1020"/>
      <c r="Q72" s="1065"/>
    </row>
    <row r="73" spans="1:17" s="1023" customFormat="1" ht="15.75" hidden="1" thickBot="1">
      <c r="A73" s="117"/>
      <c r="B73" s="107"/>
      <c r="C73" s="1033">
        <v>100</v>
      </c>
      <c r="D73" s="1033">
        <v>99</v>
      </c>
      <c r="E73" s="1033">
        <v>98</v>
      </c>
      <c r="F73" s="1033">
        <v>97</v>
      </c>
      <c r="G73" s="1033"/>
      <c r="H73" s="1066"/>
      <c r="I73" s="1066"/>
      <c r="J73" s="1066"/>
      <c r="K73" s="1066"/>
      <c r="L73" s="1066"/>
      <c r="M73" s="1067"/>
      <c r="N73" s="1020"/>
      <c r="O73" s="1020"/>
      <c r="P73" s="1021"/>
      <c r="Q73" s="1022"/>
    </row>
    <row r="74" spans="1:17" s="1023" customFormat="1" ht="15.75" hidden="1" thickTop="1">
      <c r="A74" s="117"/>
      <c r="B74" s="110">
        <f>B14</f>
        <v>111</v>
      </c>
      <c r="C74" s="1036">
        <v>111</v>
      </c>
      <c r="D74" s="1036">
        <v>222</v>
      </c>
      <c r="E74" s="1036">
        <v>333</v>
      </c>
      <c r="F74" s="1036">
        <v>444</v>
      </c>
      <c r="G74" s="1036"/>
      <c r="H74" s="1068"/>
      <c r="I74" s="1068"/>
      <c r="J74" s="1068"/>
      <c r="K74" s="1068"/>
      <c r="L74" s="1069"/>
      <c r="M74" s="1070"/>
      <c r="N74" s="1020"/>
      <c r="O74" s="1020"/>
      <c r="P74" s="1071"/>
      <c r="Q74" s="1022"/>
    </row>
    <row r="75" spans="1:17" s="1023" customFormat="1" ht="15.75" hidden="1" thickBot="1">
      <c r="A75" s="120"/>
      <c r="B75" s="121"/>
      <c r="C75" s="1037">
        <v>100</v>
      </c>
      <c r="D75" s="1037">
        <v>98</v>
      </c>
      <c r="E75" s="1037">
        <v>96</v>
      </c>
      <c r="F75" s="1037">
        <v>94</v>
      </c>
      <c r="G75" s="1037"/>
      <c r="H75" s="1072"/>
      <c r="I75" s="1072"/>
      <c r="J75" s="1072"/>
      <c r="K75" s="1072"/>
      <c r="L75" s="1072"/>
      <c r="M75" s="1073"/>
      <c r="N75" s="1020"/>
      <c r="O75" s="1020"/>
      <c r="P75" s="1021"/>
      <c r="Q75" s="1022"/>
    </row>
    <row r="76" spans="1:17" s="1016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3"/>
      <c r="O76" s="1013"/>
      <c r="P76" s="1014"/>
      <c r="Q76" s="1015"/>
    </row>
    <row r="77" spans="1:17" s="1016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7"/>
      <c r="O77" s="1017"/>
      <c r="P77" s="1018"/>
      <c r="Q77" s="1015"/>
    </row>
    <row r="78" spans="1:17" s="1016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3"/>
      <c r="O78" s="1013"/>
      <c r="P78" s="1018"/>
      <c r="Q78" s="1015"/>
    </row>
    <row r="79" spans="1:17" s="1016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7"/>
      <c r="O79" s="1017"/>
      <c r="P79" s="1018"/>
      <c r="Q79" s="1015"/>
    </row>
    <row r="80" spans="1:17" s="1016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3"/>
      <c r="O80" s="1013"/>
      <c r="P80" s="1018"/>
      <c r="Q80" s="1015"/>
    </row>
    <row r="81" spans="1:17" s="1016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7"/>
      <c r="O81" s="1017"/>
      <c r="P81" s="1018"/>
      <c r="Q81" s="1015"/>
    </row>
    <row r="82" spans="1:17" s="1016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3"/>
      <c r="O82" s="1013"/>
      <c r="P82" s="1018"/>
      <c r="Q82" s="1015"/>
    </row>
    <row r="83" spans="1:17" s="1016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7"/>
      <c r="O83" s="1017"/>
      <c r="P83" s="1018"/>
      <c r="Q83" s="1015"/>
    </row>
    <row r="84" spans="1:17" s="1019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8"/>
      <c r="Q84" s="1015"/>
    </row>
    <row r="85" spans="1:17" s="1019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7"/>
      <c r="O85" s="1017"/>
      <c r="P85" s="1018"/>
      <c r="Q85" s="1015"/>
    </row>
    <row r="86" spans="1:17" s="1019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8"/>
      <c r="Q86" s="1015"/>
    </row>
    <row r="87" spans="1:17" s="1019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7"/>
      <c r="O87" s="1017"/>
      <c r="P87" s="1018"/>
      <c r="Q87" s="1015"/>
    </row>
    <row r="88" spans="1:17" s="1023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20"/>
      <c r="O88" s="1020"/>
      <c r="P88" s="1021"/>
      <c r="Q88" s="1022"/>
    </row>
    <row r="89" spans="1:17" s="1023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20"/>
      <c r="O89" s="1020"/>
      <c r="P89" s="1021"/>
      <c r="Q89" s="1022"/>
    </row>
    <row r="90" spans="1:17" s="1023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20"/>
      <c r="O90" s="1020"/>
      <c r="P90" s="1021"/>
      <c r="Q90" s="1022"/>
    </row>
    <row r="91" spans="1:17" s="1023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20"/>
      <c r="O91" s="1020"/>
      <c r="P91" s="1021"/>
      <c r="Q91" s="1022"/>
    </row>
    <row r="92" spans="1:17" s="1016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3"/>
      <c r="O92" s="1013"/>
      <c r="P92" s="1018"/>
      <c r="Q92" s="1015"/>
    </row>
    <row r="93" spans="1:17" s="1016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7"/>
      <c r="O93" s="1017"/>
      <c r="P93" s="1018"/>
      <c r="Q93" s="1015"/>
    </row>
    <row r="94" spans="1:17" s="1016" customFormat="1" ht="27.75" hidden="1" thickTop="1">
      <c r="A94" s="51"/>
      <c r="B94" s="102" t="s">
        <v>129</v>
      </c>
      <c r="C94" s="1024" t="s">
        <v>19</v>
      </c>
      <c r="D94" s="1024" t="s">
        <v>20</v>
      </c>
      <c r="E94" s="1024" t="s">
        <v>22</v>
      </c>
      <c r="F94" s="1024" t="s">
        <v>23</v>
      </c>
      <c r="G94" s="1024" t="s">
        <v>24</v>
      </c>
      <c r="H94" s="1025"/>
      <c r="I94" s="1025"/>
      <c r="J94" s="1025"/>
      <c r="K94" s="1026"/>
      <c r="L94" s="1027"/>
      <c r="M94" s="1028"/>
      <c r="N94" s="1013"/>
      <c r="O94" s="1013"/>
      <c r="P94" s="1018"/>
      <c r="Q94" s="1015"/>
    </row>
    <row r="95" spans="1:17" s="1016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7"/>
      <c r="O95" s="1017"/>
      <c r="P95" s="1018"/>
      <c r="Q95" s="1015"/>
    </row>
    <row r="96" spans="1:17" s="1016" customFormat="1" ht="15.75" hidden="1" thickTop="1">
      <c r="A96" s="51"/>
      <c r="B96" s="102">
        <v>111</v>
      </c>
      <c r="C96" s="1025">
        <v>111</v>
      </c>
      <c r="D96" s="1025">
        <v>222</v>
      </c>
      <c r="E96" s="1025">
        <v>333</v>
      </c>
      <c r="F96" s="1025"/>
      <c r="G96" s="1025"/>
      <c r="H96" s="1025"/>
      <c r="I96" s="1025"/>
      <c r="J96" s="1025"/>
      <c r="K96" s="1026"/>
      <c r="L96" s="1027"/>
      <c r="M96" s="1028"/>
      <c r="N96" s="1013"/>
      <c r="O96" s="1013"/>
      <c r="P96" s="1018"/>
      <c r="Q96" s="1015"/>
    </row>
    <row r="97" spans="1:17" s="1016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7"/>
      <c r="O97" s="1017"/>
      <c r="P97" s="1018"/>
      <c r="Q97" s="1015"/>
    </row>
    <row r="98" spans="1:17" s="1016" customFormat="1" ht="15.75" hidden="1" thickTop="1">
      <c r="A98" s="51"/>
      <c r="B98" s="110">
        <f>B35</f>
        <v>111</v>
      </c>
      <c r="C98" s="1024">
        <v>111</v>
      </c>
      <c r="D98" s="1024">
        <v>222</v>
      </c>
      <c r="E98" s="1024">
        <v>333</v>
      </c>
      <c r="F98" s="1024">
        <v>444</v>
      </c>
      <c r="G98" s="1029"/>
      <c r="H98" s="1029"/>
      <c r="I98" s="1029"/>
      <c r="J98" s="1029"/>
      <c r="K98" s="1030"/>
      <c r="L98" s="1031"/>
      <c r="M98" s="1032"/>
      <c r="N98" s="1013"/>
      <c r="O98" s="1013"/>
      <c r="P98" s="1018"/>
      <c r="Q98" s="1015"/>
    </row>
    <row r="99" spans="1:17" s="1016" customFormat="1" ht="15.75" hidden="1" thickBot="1">
      <c r="A99" s="51"/>
      <c r="B99" s="121"/>
      <c r="C99" s="1033">
        <v>100</v>
      </c>
      <c r="D99" s="1033">
        <v>99</v>
      </c>
      <c r="E99" s="1033">
        <v>98</v>
      </c>
      <c r="F99" s="1033">
        <v>97</v>
      </c>
      <c r="G99" s="1034"/>
      <c r="H99" s="1034"/>
      <c r="I99" s="1034"/>
      <c r="J99" s="1034"/>
      <c r="K99" s="1034"/>
      <c r="L99" s="1034"/>
      <c r="M99" s="1035"/>
      <c r="N99" s="1017"/>
      <c r="O99" s="1017"/>
      <c r="P99" s="1018"/>
      <c r="Q99" s="1015"/>
    </row>
    <row r="100" spans="1:17" s="1016" customFormat="1" ht="15" hidden="1" thickTop="1">
      <c r="A100" s="155"/>
      <c r="B100" s="102">
        <f>B36</f>
        <v>111</v>
      </c>
      <c r="C100" s="1036">
        <v>111</v>
      </c>
      <c r="D100" s="1036">
        <v>222</v>
      </c>
      <c r="E100" s="1036">
        <v>333</v>
      </c>
      <c r="F100" s="1036">
        <v>444</v>
      </c>
      <c r="G100" s="1025"/>
      <c r="H100" s="1025"/>
      <c r="I100" s="1025"/>
      <c r="J100" s="1025"/>
      <c r="K100" s="1026"/>
      <c r="L100" s="1027"/>
      <c r="M100" s="1028"/>
      <c r="N100" s="1013"/>
      <c r="O100" s="1013"/>
      <c r="P100" s="1018"/>
      <c r="Q100" s="1015"/>
    </row>
    <row r="101" spans="1:17" s="1016" customFormat="1" ht="15" hidden="1">
      <c r="A101" s="51"/>
      <c r="B101" s="110"/>
      <c r="C101" s="1038">
        <v>100</v>
      </c>
      <c r="D101" s="1038">
        <v>98</v>
      </c>
      <c r="E101" s="1038">
        <v>96</v>
      </c>
      <c r="F101" s="1038">
        <v>94</v>
      </c>
      <c r="G101" s="1039"/>
      <c r="H101" s="1039"/>
      <c r="I101" s="1039"/>
      <c r="J101" s="1039"/>
      <c r="K101" s="1039"/>
      <c r="L101" s="1039"/>
      <c r="M101" s="1040"/>
      <c r="N101" s="1017"/>
      <c r="O101" s="1017"/>
      <c r="P101" s="1018"/>
      <c r="Q101" s="1015"/>
    </row>
    <row r="102" spans="1:17" s="63" customFormat="1" ht="15" thickTop="1">
      <c r="A102" s="1057" t="str">
        <f>A37</f>
        <v>区位状况</v>
      </c>
      <c r="B102" s="1058"/>
      <c r="C102" s="1055" t="s">
        <v>1548</v>
      </c>
      <c r="D102" s="1055" t="s">
        <v>1549</v>
      </c>
      <c r="E102" s="1055" t="s">
        <v>1550</v>
      </c>
      <c r="F102" s="1055" t="s">
        <v>1551</v>
      </c>
      <c r="G102" s="1055" t="s">
        <v>1552</v>
      </c>
      <c r="H102" s="1041"/>
      <c r="I102" s="1041"/>
      <c r="J102" s="1042"/>
      <c r="K102" s="1042"/>
      <c r="L102" s="1043"/>
      <c r="M102" s="1044"/>
      <c r="N102" s="442"/>
      <c r="O102" s="442"/>
      <c r="P102" s="118"/>
      <c r="Q102" s="119"/>
    </row>
    <row r="103" spans="1:17" s="63" customFormat="1" ht="15" thickBot="1">
      <c r="A103" s="1059"/>
      <c r="B103" s="121"/>
      <c r="C103" s="1056">
        <v>100</v>
      </c>
      <c r="D103" s="966">
        <f>C103-$K37</f>
        <v>100</v>
      </c>
      <c r="E103" s="966">
        <f>D103-$K37</f>
        <v>100</v>
      </c>
      <c r="F103" s="966">
        <f>E103-$K37</f>
        <v>100</v>
      </c>
      <c r="G103" s="966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6" customFormat="1" ht="30" hidden="1" thickTop="1" thickBot="1">
      <c r="A104" s="1046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5" t="str">
        <f t="shared" si="23"/>
        <v>100000(含)-150000</v>
      </c>
      <c r="I104" s="1405" t="str">
        <f t="shared" si="23"/>
        <v>150000(含)-200000</v>
      </c>
      <c r="J104" s="1405" t="str">
        <f t="shared" si="23"/>
        <v>200000(含)-300000</v>
      </c>
      <c r="K104" s="1406" t="str">
        <f t="shared" si="23"/>
        <v>300000(含)-500000</v>
      </c>
      <c r="L104" s="1407" t="str">
        <f t="shared" si="23"/>
        <v>500000(含)-</v>
      </c>
      <c r="M104" s="1408" t="str">
        <f>M105&amp;"(含)"&amp;"-"&amp;P105</f>
        <v>(含)-</v>
      </c>
      <c r="N104" s="1013"/>
      <c r="O104" s="1013"/>
      <c r="P104" s="1018"/>
      <c r="Q104" s="1015"/>
    </row>
    <row r="105" spans="1:17" s="1016" customFormat="1" ht="15" hidden="1" thickBot="1">
      <c r="A105" s="1046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9">
        <v>100000</v>
      </c>
      <c r="I105" s="1409">
        <v>150000</v>
      </c>
      <c r="J105" s="1410">
        <v>200000</v>
      </c>
      <c r="K105" s="1410">
        <v>300000</v>
      </c>
      <c r="L105" s="1411">
        <v>500000</v>
      </c>
      <c r="M105" s="1412"/>
      <c r="N105" s="1013"/>
      <c r="O105" s="1013"/>
      <c r="P105" s="1018"/>
      <c r="Q105" s="1015"/>
    </row>
    <row r="106" spans="1:17" s="1016" customFormat="1" ht="15" hidden="1" thickBot="1">
      <c r="A106" s="1046"/>
      <c r="B106" s="107"/>
      <c r="C106" s="1050">
        <v>100</v>
      </c>
      <c r="D106" s="966">
        <v>101</v>
      </c>
      <c r="E106" s="966">
        <v>102</v>
      </c>
      <c r="F106" s="966">
        <v>103</v>
      </c>
      <c r="G106" s="966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7"/>
      <c r="O106" s="1017"/>
      <c r="P106" s="1018"/>
      <c r="Q106" s="1015"/>
    </row>
    <row r="107" spans="1:17" s="1016" customFormat="1" ht="15.75" hidden="1" thickTop="1" thickBot="1">
      <c r="A107" s="1047"/>
      <c r="B107" s="102" t="s">
        <v>152</v>
      </c>
      <c r="C107" s="1051" t="s">
        <v>232</v>
      </c>
      <c r="D107" s="1051" t="s">
        <v>233</v>
      </c>
      <c r="E107" s="1051" t="s">
        <v>234</v>
      </c>
      <c r="F107" s="1051" t="s">
        <v>235</v>
      </c>
      <c r="G107" s="1051"/>
      <c r="H107" s="1413"/>
      <c r="I107" s="1413"/>
      <c r="J107" s="1413"/>
      <c r="K107" s="1414"/>
      <c r="L107" s="1415"/>
      <c r="M107" s="1416"/>
      <c r="N107" s="1013"/>
      <c r="O107" s="1013"/>
      <c r="P107" s="1018"/>
      <c r="Q107" s="1015"/>
    </row>
    <row r="108" spans="1:17" s="1016" customFormat="1" ht="15" hidden="1" thickBot="1">
      <c r="A108" s="1046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7">
        <f t="shared" si="24"/>
        <v>100</v>
      </c>
      <c r="N108" s="1017"/>
      <c r="O108" s="1017"/>
      <c r="P108" s="1018"/>
      <c r="Q108" s="1015"/>
    </row>
    <row r="109" spans="1:17" s="1016" customFormat="1" ht="15.75" hidden="1" thickTop="1" thickBot="1">
      <c r="A109" s="1047"/>
      <c r="B109" s="102" t="s">
        <v>153</v>
      </c>
      <c r="C109" s="1052" t="s">
        <v>236</v>
      </c>
      <c r="D109" s="1052" t="s">
        <v>237</v>
      </c>
      <c r="E109" s="1052" t="s">
        <v>238</v>
      </c>
      <c r="F109" s="1051"/>
      <c r="G109" s="1051"/>
      <c r="H109" s="1413"/>
      <c r="I109" s="1413"/>
      <c r="J109" s="1413"/>
      <c r="K109" s="1414"/>
      <c r="L109" s="1415"/>
      <c r="M109" s="1416"/>
      <c r="N109" s="1013"/>
      <c r="O109" s="1013"/>
      <c r="P109" s="1018"/>
      <c r="Q109" s="1015"/>
    </row>
    <row r="110" spans="1:17" s="1016" customFormat="1" ht="15" hidden="1" thickBot="1">
      <c r="A110" s="1046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7">
        <f t="shared" si="25"/>
        <v>100</v>
      </c>
      <c r="N110" s="1017"/>
      <c r="O110" s="1017"/>
      <c r="P110" s="1018"/>
      <c r="Q110" s="1015"/>
    </row>
    <row r="111" spans="1:17" s="1023" customFormat="1" ht="15.75" hidden="1" thickTop="1" thickBot="1">
      <c r="A111" s="1048"/>
      <c r="B111" s="102" t="s">
        <v>154</v>
      </c>
      <c r="C111" s="1052" t="s">
        <v>239</v>
      </c>
      <c r="D111" s="1052" t="s">
        <v>240</v>
      </c>
      <c r="E111" s="1052" t="s">
        <v>241</v>
      </c>
      <c r="F111" s="1052" t="s">
        <v>242</v>
      </c>
      <c r="G111" s="1052" t="s">
        <v>243</v>
      </c>
      <c r="H111" s="1413"/>
      <c r="I111" s="1413"/>
      <c r="J111" s="1413"/>
      <c r="K111" s="1414"/>
      <c r="L111" s="1415"/>
      <c r="M111" s="1416"/>
      <c r="N111" s="1020"/>
      <c r="O111" s="1020"/>
      <c r="P111" s="1021"/>
      <c r="Q111" s="1022"/>
    </row>
    <row r="112" spans="1:17" s="1023" customFormat="1" ht="15" hidden="1" thickBot="1">
      <c r="A112" s="1045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7">
        <f t="shared" si="26"/>
        <v>100</v>
      </c>
      <c r="N112" s="1020"/>
      <c r="O112" s="1020"/>
      <c r="P112" s="1021"/>
      <c r="Q112" s="1022"/>
    </row>
    <row r="113" spans="1:17" s="1016" customFormat="1" ht="15.75" hidden="1" thickTop="1" thickBot="1">
      <c r="A113" s="1047"/>
      <c r="B113" s="102" t="s">
        <v>155</v>
      </c>
      <c r="C113" s="1052" t="s">
        <v>244</v>
      </c>
      <c r="D113" s="1052" t="s">
        <v>245</v>
      </c>
      <c r="E113" s="1051" t="s">
        <v>246</v>
      </c>
      <c r="F113" s="1051" t="s">
        <v>247</v>
      </c>
      <c r="G113" s="1051" t="s">
        <v>248</v>
      </c>
      <c r="H113" s="1413"/>
      <c r="I113" s="1413"/>
      <c r="J113" s="1413"/>
      <c r="K113" s="1414"/>
      <c r="L113" s="1415"/>
      <c r="M113" s="1416"/>
      <c r="N113" s="1013"/>
      <c r="O113" s="1013"/>
      <c r="P113" s="1018"/>
      <c r="Q113" s="1015"/>
    </row>
    <row r="114" spans="1:17" s="1016" customFormat="1" ht="15" hidden="1" thickBot="1">
      <c r="A114" s="1046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7">
        <f t="shared" si="27"/>
        <v>100</v>
      </c>
      <c r="N114" s="1017"/>
      <c r="O114" s="1017"/>
      <c r="P114" s="1018"/>
      <c r="Q114" s="1015"/>
    </row>
    <row r="115" spans="1:17" s="1016" customFormat="1" ht="15.75" hidden="1" thickTop="1" thickBot="1">
      <c r="A115" s="1047"/>
      <c r="B115" s="102">
        <f>B43</f>
        <v>111</v>
      </c>
      <c r="C115" s="1052">
        <v>111</v>
      </c>
      <c r="D115" s="1052">
        <v>222</v>
      </c>
      <c r="E115" s="1052">
        <v>333</v>
      </c>
      <c r="F115" s="1052">
        <v>444</v>
      </c>
      <c r="G115" s="1052"/>
      <c r="H115" s="1413"/>
      <c r="I115" s="1413"/>
      <c r="J115" s="1413"/>
      <c r="K115" s="1414"/>
      <c r="L115" s="1415"/>
      <c r="M115" s="1416"/>
      <c r="N115" s="1013"/>
      <c r="O115" s="1013"/>
      <c r="P115" s="1018"/>
      <c r="Q115" s="1015"/>
    </row>
    <row r="116" spans="1:17" s="1016" customFormat="1" ht="15" hidden="1" thickBot="1">
      <c r="A116" s="1046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7"/>
      <c r="O116" s="1017"/>
      <c r="P116" s="1018"/>
      <c r="Q116" s="1015"/>
    </row>
    <row r="117" spans="1:17" s="1016" customFormat="1" ht="15.75" hidden="1" thickTop="1" thickBot="1">
      <c r="A117" s="1047"/>
      <c r="B117" s="102">
        <f>B44</f>
        <v>111</v>
      </c>
      <c r="C117" s="1053">
        <v>111</v>
      </c>
      <c r="D117" s="1053">
        <v>222</v>
      </c>
      <c r="E117" s="1053">
        <v>333</v>
      </c>
      <c r="F117" s="1053">
        <v>444</v>
      </c>
      <c r="G117" s="1051"/>
      <c r="H117" s="1413"/>
      <c r="I117" s="1413"/>
      <c r="J117" s="1413"/>
      <c r="K117" s="1414"/>
      <c r="L117" s="1415"/>
      <c r="M117" s="1416"/>
      <c r="N117" s="1013"/>
      <c r="O117" s="1013"/>
      <c r="P117" s="1018"/>
      <c r="Q117" s="1015"/>
    </row>
    <row r="118" spans="1:17" s="1016" customFormat="1" ht="15" hidden="1" thickBot="1">
      <c r="A118" s="1046"/>
      <c r="B118" s="110"/>
      <c r="C118" s="1054">
        <v>100</v>
      </c>
      <c r="D118" s="1054">
        <v>98</v>
      </c>
      <c r="E118" s="1054">
        <v>96</v>
      </c>
      <c r="F118" s="1054">
        <v>94</v>
      </c>
      <c r="G118" s="223"/>
      <c r="H118" s="1418"/>
      <c r="I118" s="1418"/>
      <c r="J118" s="1418"/>
      <c r="K118" s="1418"/>
      <c r="L118" s="1418"/>
      <c r="M118" s="1419"/>
      <c r="N118" s="1017"/>
      <c r="O118" s="1017"/>
      <c r="P118" s="1018"/>
      <c r="Q118" s="1015"/>
    </row>
    <row r="119" spans="1:17" s="63" customFormat="1">
      <c r="A119" s="1049" t="str">
        <f>A45</f>
        <v>实物状况</v>
      </c>
      <c r="B119" s="97"/>
      <c r="C119" s="1055" t="s">
        <v>1548</v>
      </c>
      <c r="D119" s="1055" t="s">
        <v>1549</v>
      </c>
      <c r="E119" s="1055" t="s">
        <v>1550</v>
      </c>
      <c r="F119" s="1055" t="s">
        <v>1551</v>
      </c>
      <c r="G119" s="1055" t="s">
        <v>1552</v>
      </c>
      <c r="H119" s="1042"/>
      <c r="I119" s="1042"/>
      <c r="J119" s="1042"/>
      <c r="K119" s="1042"/>
      <c r="L119" s="1043"/>
      <c r="M119" s="1044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6">
        <v>100</v>
      </c>
      <c r="D120" s="966">
        <f>C120-$K45</f>
        <v>100</v>
      </c>
      <c r="E120" s="966">
        <f>D120-$K45</f>
        <v>100</v>
      </c>
      <c r="F120" s="966">
        <f>E120-$K45</f>
        <v>100</v>
      </c>
      <c r="G120" s="966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38084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6">
        <f>IF(C1&gt;C14,0,MATCH(C1,C$14:C$68,-1))+IF(SUMIF(C14:C68,C1,D14:D68)=0,14,13)</f>
        <v>52</v>
      </c>
      <c r="K1" s="1076">
        <f ca="1">MATCH(E1,C4:C8,1)+IF(SUMIF(C4:C8,E1,D4:D8)=0,3,2)</f>
        <v>3</v>
      </c>
      <c r="L1" s="1076">
        <f>IF(C1&gt;M14,0,MATCH(C1,M$14:M$52,-1))+IF(SUMIF(M14:M52,C1,N14:N52)=0,14,13)</f>
        <v>40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38084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6">
        <f>IF(C2&gt;C14,0,MATCH(C2,C$14:C$68,-1))+IF(SUMIF(C14:C68,C2,D14:D68)=0,14,13)</f>
        <v>52</v>
      </c>
      <c r="K2" s="1076">
        <f ca="1">MATCH(E2,C4:C8,1)+IF(SUMIF(C4:C8,E2,D4:D8)=0,3,2)</f>
        <v>3</v>
      </c>
      <c r="L2" s="1076">
        <f>IF(C2&gt;M14,0,MATCH(C2,M$14:M$52,-1))+IF(SUMIF(M14:M52,C2,N14:N52)=0,14,13)</f>
        <v>40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5.4900000000000004E-2</v>
      </c>
      <c r="H3" s="961" t="s">
        <v>1508</v>
      </c>
      <c r="I3" s="962">
        <f ca="1">SUMIF(F4:F8,E3,H4:H8)/100</f>
        <v>2.52E-2</v>
      </c>
      <c r="J3" s="1077"/>
      <c r="K3" s="1076">
        <f ca="1">MATCH(E3,C4:C8,1)+IF(SUMIF(C4:C8,E3,D4:D8)=0,3,2)</f>
        <v>6</v>
      </c>
      <c r="L3" s="1077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5.04</v>
      </c>
      <c r="E4" s="949">
        <f ca="1">INDIRECT("d"&amp;$J$2)</f>
        <v>5.04</v>
      </c>
      <c r="F4" s="950">
        <v>0.5</v>
      </c>
      <c r="G4" s="951">
        <f ca="1">INDIRECT("p"&amp;$L$1)</f>
        <v>1.89</v>
      </c>
      <c r="H4" s="951">
        <f ca="1">INDIRECT("p"&amp;$L$2)</f>
        <v>1.89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5.31</v>
      </c>
      <c r="E5" s="925">
        <f ca="1">INDIRECT("e"&amp;$J$2)</f>
        <v>5.31</v>
      </c>
      <c r="F5" s="924">
        <v>1</v>
      </c>
      <c r="G5" s="917">
        <f ca="1">INDIRECT("q"&amp;$L$1)</f>
        <v>1.98</v>
      </c>
      <c r="H5" s="917">
        <f ca="1">INDIRECT("q"&amp;$L$2)</f>
        <v>1.98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5.49</v>
      </c>
      <c r="E6" s="925">
        <f ca="1">INDIRECT("f"&amp;$J$2)</f>
        <v>5.49</v>
      </c>
      <c r="F6" s="924">
        <v>2</v>
      </c>
      <c r="G6" s="917">
        <f ca="1">INDIRECT("r"&amp;$L$1)</f>
        <v>2.25</v>
      </c>
      <c r="H6" s="917">
        <f ca="1">INDIRECT("r"&amp;$L$2)</f>
        <v>2.25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5.58</v>
      </c>
      <c r="E7" s="925">
        <f ca="1">INDIRECT("g"&amp;$J$2)</f>
        <v>5.58</v>
      </c>
      <c r="F7" s="924">
        <v>3</v>
      </c>
      <c r="G7" s="917">
        <f ca="1">INDIRECT("s"&amp;$L$1)</f>
        <v>2.52</v>
      </c>
      <c r="H7" s="917">
        <f ca="1">INDIRECT("s"&amp;$L$2)</f>
        <v>2.52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5.76</v>
      </c>
      <c r="E8" s="925">
        <f ca="1">INDIRECT("h"&amp;$J$2)</f>
        <v>5.76</v>
      </c>
      <c r="F8" s="924">
        <v>5</v>
      </c>
      <c r="G8" s="917">
        <f ca="1">INDIRECT("t"&amp;$L$1)</f>
        <v>2.79</v>
      </c>
      <c r="H8" s="917">
        <f ca="1">INDIRECT("t"&amp;$L$2)</f>
        <v>2.79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8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8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4" t="s">
        <v>1786</v>
      </c>
      <c r="C22" s="946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3"/>
    <col min="7" max="7" width="8.875" style="1557"/>
    <col min="8" max="8" width="8.875" style="1533"/>
    <col min="9" max="12" width="9" style="1533" customWidth="1"/>
    <col min="13" max="13" width="2.25" style="1533" customWidth="1"/>
    <col min="14" max="14" width="9" style="1557" customWidth="1"/>
    <col min="15" max="17" width="9" style="1533" customWidth="1"/>
    <col min="18" max="18" width="2.375" style="1533" customWidth="1"/>
    <col min="19" max="19" width="7.125" style="1557" customWidth="1"/>
    <col min="20" max="22" width="7.125" style="1533" customWidth="1"/>
    <col min="23" max="23" width="2.5" style="1533" customWidth="1"/>
    <col min="24" max="16384" width="8.875" style="1533"/>
  </cols>
  <sheetData>
    <row r="1" spans="1:32" s="1499" customFormat="1">
      <c r="A1" s="1498" t="s">
        <v>1701</v>
      </c>
      <c r="C1" s="1500"/>
      <c r="D1" s="1500"/>
      <c r="F1" s="1500"/>
    </row>
    <row r="2" spans="1:32" s="1499" customFormat="1" ht="13.5" thickBot="1">
      <c r="B2" s="1500" t="s">
        <v>1636</v>
      </c>
      <c r="C2" s="1500"/>
      <c r="D2" s="1500"/>
      <c r="F2" s="1500"/>
      <c r="G2" s="1788" t="s">
        <v>1637</v>
      </c>
      <c r="H2" s="1788"/>
      <c r="I2" s="1788"/>
      <c r="J2" s="1788"/>
      <c r="K2" s="1788"/>
      <c r="L2" s="1788"/>
      <c r="N2" s="1783" t="s">
        <v>1638</v>
      </c>
      <c r="O2" s="1783"/>
      <c r="P2" s="1783"/>
      <c r="Q2" s="1783"/>
      <c r="S2" s="1783" t="s">
        <v>1639</v>
      </c>
      <c r="T2" s="1783"/>
      <c r="U2" s="1783"/>
      <c r="V2" s="1783"/>
    </row>
    <row r="3" spans="1:32" s="1499" customFormat="1" ht="14.25">
      <c r="B3" s="1501" t="s">
        <v>1695</v>
      </c>
      <c r="C3" s="1501" t="s">
        <v>42</v>
      </c>
      <c r="D3" s="1502" t="s">
        <v>1298</v>
      </c>
      <c r="E3" s="1502" t="s">
        <v>1299</v>
      </c>
      <c r="F3" s="1501" t="s">
        <v>50</v>
      </c>
      <c r="G3" s="1503" t="s">
        <v>1741</v>
      </c>
      <c r="H3" s="1503" t="s">
        <v>1742</v>
      </c>
      <c r="I3" s="1504" t="s">
        <v>1695</v>
      </c>
      <c r="J3" s="1504" t="s">
        <v>1700</v>
      </c>
      <c r="K3" s="1502" t="s">
        <v>1299</v>
      </c>
      <c r="L3" s="1504" t="s">
        <v>50</v>
      </c>
      <c r="N3" s="1504" t="s">
        <v>1695</v>
      </c>
      <c r="O3" s="1504" t="s">
        <v>1700</v>
      </c>
      <c r="P3" s="1502" t="s">
        <v>1299</v>
      </c>
      <c r="Q3" s="1504" t="s">
        <v>50</v>
      </c>
      <c r="S3" s="1504" t="s">
        <v>1695</v>
      </c>
      <c r="T3" s="1504" t="s">
        <v>1700</v>
      </c>
      <c r="U3" s="1502" t="s">
        <v>1299</v>
      </c>
      <c r="V3" s="1504" t="s">
        <v>50</v>
      </c>
    </row>
    <row r="4" spans="1:32" s="1510" customFormat="1" ht="14.25">
      <c r="A4" s="1505" t="s">
        <v>1744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25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5" thickBot="1">
      <c r="A6" s="1518" t="s">
        <v>1791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1745</v>
      </c>
      <c r="Y6" s="1528"/>
      <c r="Z6" s="1528"/>
      <c r="AA6" s="1528"/>
    </row>
    <row r="7" spans="1:32">
      <c r="A7" s="1529" t="s">
        <v>1790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1789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1788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5" thickBot="1">
      <c r="A10" s="1529" t="s">
        <v>1787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1785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1784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1783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5" thickBot="1">
      <c r="A14" s="1529" t="s">
        <v>1782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5" thickBot="1">
      <c r="A15" s="1529" t="s">
        <v>1761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5" thickBot="1">
      <c r="A16" s="1529" t="s">
        <v>1760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1758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5" thickBot="1">
      <c r="A18" s="1529" t="s">
        <v>1759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1753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1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5" customHeight="1">
      <c r="A20" s="1529" t="s">
        <v>1748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1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5" customHeight="1">
      <c r="A21" s="1529" t="s">
        <v>1747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1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1746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89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1743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4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5" customHeight="1">
      <c r="A24" s="1529" t="s">
        <v>1740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1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5" customHeight="1">
      <c r="A25" s="1529" t="s">
        <v>1640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1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1641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89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277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4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276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1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266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1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5" thickBot="1">
      <c r="A30" s="1529" t="s">
        <v>275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2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5" thickBot="1">
      <c r="A31" s="1529" t="s">
        <v>274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0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273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1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272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1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271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2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5" thickBot="1">
      <c r="A35" s="1529" t="s">
        <v>270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0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269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1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5" thickBot="1">
      <c r="A37" s="1529" t="s">
        <v>268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1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5" thickBot="1">
      <c r="A38" s="1564" t="s">
        <v>267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2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5" thickBot="1">
      <c r="A39" s="1529" t="s">
        <v>1642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5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1643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6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1644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6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1645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7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5" thickBot="1">
      <c r="A43" s="1529" t="s">
        <v>1646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0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1647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1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1648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1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5" thickBot="1">
      <c r="A46" s="1529" t="s">
        <v>1649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2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5" thickBot="1">
      <c r="A47" s="1529" t="s">
        <v>1650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0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1651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1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1652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1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5" thickBot="1">
      <c r="A50" s="1529" t="s">
        <v>1653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2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5" thickBot="1">
      <c r="A51" s="1529" t="s">
        <v>1654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0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1655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1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1656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1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5" thickBot="1">
      <c r="A54" s="1529" t="s">
        <v>1657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2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5" thickBot="1">
      <c r="A55" s="1529" t="s">
        <v>1658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0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1659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1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1660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530">
        <f t="shared" si="180"/>
        <v>286.13517466736738</v>
      </c>
      <c r="F57" s="1530">
        <f t="shared" si="180"/>
        <v>165.47535084591149</v>
      </c>
      <c r="G57" s="1781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1661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2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5" thickBot="1">
      <c r="A59" s="1529" t="s">
        <v>1662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0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1663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1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1664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1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5" thickBot="1">
      <c r="A62" s="1529" t="s">
        <v>1665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2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5" thickBot="1">
      <c r="A63" s="1529" t="s">
        <v>1666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0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1667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1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1668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1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1669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2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5" thickBot="1">
      <c r="A67" s="1529" t="s">
        <v>1670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0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1671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1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1672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1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1673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2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5" thickBot="1">
      <c r="A71" s="1529" t="s">
        <v>1674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0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1675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1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1676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1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1677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2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5" thickBot="1">
      <c r="A75" s="1529" t="s">
        <v>1678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0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1679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1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1680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1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5" thickBot="1">
      <c r="A78" s="1529" t="s">
        <v>1681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2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5" thickBot="1">
      <c r="A79" s="1529" t="s">
        <v>1682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0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1683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1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1684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1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5" thickBot="1">
      <c r="A82" s="1529" t="s">
        <v>1685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2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5" thickBot="1">
      <c r="A83" s="1529" t="s">
        <v>1686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0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1687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1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1688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1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5" thickBot="1">
      <c r="A86" s="1564" t="s">
        <v>1689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571">
        <f t="shared" si="202"/>
        <v>103.5</v>
      </c>
      <c r="F86" s="1571">
        <f t="shared" si="202"/>
        <v>100.5</v>
      </c>
      <c r="G86" s="1782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5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1696</v>
      </c>
      <c r="G89" s="1613"/>
      <c r="N89" s="1613"/>
      <c r="S89" s="1613"/>
    </row>
    <row r="90" spans="1:32" s="1612" customFormat="1">
      <c r="A90" s="1612" t="s">
        <v>1697</v>
      </c>
      <c r="G90" s="1613"/>
      <c r="N90" s="1613"/>
      <c r="S90" s="1613"/>
    </row>
    <row r="91" spans="1:32" s="1612" customFormat="1">
      <c r="A91" s="1612" t="s">
        <v>1698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1699</v>
      </c>
      <c r="G92" s="1613"/>
      <c r="N92" s="1613"/>
      <c r="S92" s="1613"/>
    </row>
    <row r="99" spans="14:29" ht="13.5" thickBot="1"/>
    <row r="100" spans="14:29" ht="24">
      <c r="S100" s="1616" t="s">
        <v>1690</v>
      </c>
      <c r="T100" s="1558" t="s">
        <v>1691</v>
      </c>
      <c r="U100" s="1558" t="s">
        <v>1692</v>
      </c>
      <c r="V100" s="1558" t="s">
        <v>1693</v>
      </c>
      <c r="W100" s="1559" t="s">
        <v>1694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5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5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2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A1"/>
  <sheetViews>
    <sheetView workbookViewId="0">
      <selection activeCell="L45" sqref="L45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40"/>
    <col min="4" max="5" width="14" customWidth="1"/>
    <col min="7" max="7" width="9" style="1365" customWidth="1"/>
    <col min="8" max="8" width="9" customWidth="1"/>
    <col min="9" max="10" width="14" customWidth="1"/>
    <col min="11" max="11" width="9" customWidth="1"/>
    <col min="12" max="12" width="9" style="1365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38</v>
      </c>
      <c r="I1" s="673" t="s">
        <v>1633</v>
      </c>
      <c r="J1" s="542" t="str">
        <f>'2014基准地价'!N19</f>
        <v>2017-1</v>
      </c>
      <c r="K1" s="280"/>
      <c r="L1" s="1339" t="s">
        <v>969</v>
      </c>
      <c r="M1" s="233">
        <f>'2002基准地价'!B24</f>
        <v>10</v>
      </c>
      <c r="N1" s="673" t="s">
        <v>1633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9">
        <f ca="1">ROUND(SUMIF(季度2014,$J$1,K4:K19),4)</f>
        <v>0</v>
      </c>
      <c r="L2" s="1334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8" t="s">
        <v>264</v>
      </c>
      <c r="B3" s="1326" t="s">
        <v>278</v>
      </c>
      <c r="C3" s="1326" t="s">
        <v>280</v>
      </c>
      <c r="D3" s="1326" t="s">
        <v>1300</v>
      </c>
      <c r="E3" s="1326" t="s">
        <v>1347</v>
      </c>
      <c r="F3" s="1330" t="s">
        <v>2</v>
      </c>
      <c r="G3" s="1333" t="s">
        <v>278</v>
      </c>
      <c r="H3" s="1326" t="s">
        <v>0</v>
      </c>
      <c r="I3" s="1326" t="s">
        <v>1300</v>
      </c>
      <c r="J3" s="1326" t="s">
        <v>1347</v>
      </c>
      <c r="K3" s="1330" t="s">
        <v>2</v>
      </c>
      <c r="L3" s="1333" t="s">
        <v>278</v>
      </c>
      <c r="M3" s="1326" t="s">
        <v>0</v>
      </c>
      <c r="N3" s="1326" t="s">
        <v>1300</v>
      </c>
      <c r="O3" s="1326" t="s">
        <v>1347</v>
      </c>
      <c r="P3" s="1326" t="s">
        <v>2</v>
      </c>
    </row>
    <row r="4" spans="1:23">
      <c r="A4" s="623" t="s">
        <v>1584</v>
      </c>
      <c r="B4" s="566"/>
      <c r="C4" s="566"/>
      <c r="D4" s="566"/>
      <c r="E4" s="566"/>
      <c r="F4" s="1331"/>
      <c r="G4" s="133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9">
        <f>AVERAGE(F4:F$18)</f>
        <v>1.32E-2</v>
      </c>
      <c r="L4" s="1336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1"/>
      <c r="G5" s="133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9">
        <f>AVERAGE(F5:F$18)</f>
        <v>1.32E-2</v>
      </c>
      <c r="L5" s="1336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1"/>
      <c r="G6" s="133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9">
        <f>AVERAGE(F6:F$18)</f>
        <v>1.32E-2</v>
      </c>
      <c r="L6" s="1336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1"/>
      <c r="G7" s="133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9">
        <f>AVERAGE(F7:F$18)</f>
        <v>1.32E-2</v>
      </c>
      <c r="L7" s="1336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2">
        <f>W8/100</f>
        <v>1.5700000000000002E-2</v>
      </c>
      <c r="G8" s="133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9">
        <f>AVERAGE(F8:F$18)</f>
        <v>1.32E-2</v>
      </c>
      <c r="L8" s="1336"/>
      <c r="M8" s="27"/>
      <c r="N8" s="27"/>
      <c r="O8" s="27"/>
      <c r="P8" s="27"/>
      <c r="R8" s="1341">
        <v>2016</v>
      </c>
      <c r="S8" s="1342">
        <v>4</v>
      </c>
      <c r="T8" s="1342">
        <v>4.5599999999999996</v>
      </c>
      <c r="U8" s="1342">
        <v>2.15</v>
      </c>
      <c r="V8" s="1342">
        <v>5.32</v>
      </c>
      <c r="W8" s="1343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2">
        <f t="shared" ref="F9:F59" si="4">W9/100</f>
        <v>1.9699999999999999E-2</v>
      </c>
      <c r="G9" s="133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9">
        <f>AVERAGE(F9:F$18)</f>
        <v>1.295E-2</v>
      </c>
      <c r="L9" s="1336"/>
      <c r="M9" s="27"/>
      <c r="N9" s="27"/>
      <c r="O9" s="27"/>
      <c r="P9" s="27"/>
      <c r="R9" s="1344">
        <v>2016</v>
      </c>
      <c r="S9" s="1345">
        <v>3</v>
      </c>
      <c r="T9" s="1345">
        <v>4.12</v>
      </c>
      <c r="U9" s="1345">
        <v>2</v>
      </c>
      <c r="V9" s="1345">
        <v>4.79</v>
      </c>
      <c r="W9" s="1346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2">
        <f t="shared" si="4"/>
        <v>1.41E-2</v>
      </c>
      <c r="G10" s="133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9">
        <f>AVERAGE(F10:F$18)</f>
        <v>1.2200000000000001E-2</v>
      </c>
      <c r="L10" s="1336"/>
      <c r="M10" s="27"/>
      <c r="N10" s="27"/>
      <c r="O10" s="27"/>
      <c r="P10" s="27"/>
      <c r="R10" s="1347">
        <v>2016</v>
      </c>
      <c r="S10" s="1348">
        <v>2</v>
      </c>
      <c r="T10" s="1348">
        <v>3.85</v>
      </c>
      <c r="U10" s="1348">
        <v>1.95</v>
      </c>
      <c r="V10" s="1348">
        <v>4.4800000000000004</v>
      </c>
      <c r="W10" s="1349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2">
        <f t="shared" si="4"/>
        <v>1.4800000000000001E-2</v>
      </c>
      <c r="G11" s="133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9">
        <f>AVERAGE(F11:F$18)</f>
        <v>1.1962500000000001E-2</v>
      </c>
      <c r="L11" s="1336"/>
      <c r="M11" s="27"/>
      <c r="N11" s="27"/>
      <c r="O11" s="27"/>
      <c r="P11" s="27"/>
      <c r="R11" s="1344">
        <v>2016</v>
      </c>
      <c r="S11" s="1345">
        <v>1</v>
      </c>
      <c r="T11" s="1345">
        <v>4.09</v>
      </c>
      <c r="U11" s="1345">
        <v>2.93</v>
      </c>
      <c r="V11" s="1345">
        <v>4.54</v>
      </c>
      <c r="W11" s="1346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2">
        <f t="shared" si="4"/>
        <v>1.89E-2</v>
      </c>
      <c r="G12" s="133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9">
        <f>AVERAGE(F12:F$18)</f>
        <v>1.155714285714286E-2</v>
      </c>
      <c r="L12" s="1336"/>
      <c r="M12" s="27"/>
      <c r="N12" s="27"/>
      <c r="O12" s="27"/>
      <c r="P12" s="27"/>
      <c r="R12" s="1350">
        <v>2015</v>
      </c>
      <c r="S12" s="1351">
        <v>4</v>
      </c>
      <c r="T12" s="1351">
        <v>1.63</v>
      </c>
      <c r="U12" s="1351">
        <v>1.1100000000000001</v>
      </c>
      <c r="V12" s="1351">
        <v>1.77</v>
      </c>
      <c r="W12" s="1352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2">
        <f t="shared" si="4"/>
        <v>1.26E-2</v>
      </c>
      <c r="G13" s="133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9">
        <f>AVERAGE(F13:F$18)</f>
        <v>1.0333333333333333E-2</v>
      </c>
      <c r="L13" s="1336"/>
      <c r="M13" s="27"/>
      <c r="N13" s="27"/>
      <c r="O13" s="27"/>
      <c r="P13" s="27"/>
      <c r="R13" s="1353">
        <v>2015</v>
      </c>
      <c r="S13" s="1354">
        <v>3</v>
      </c>
      <c r="T13" s="1354">
        <v>1.65</v>
      </c>
      <c r="U13" s="1354">
        <v>0.92</v>
      </c>
      <c r="V13" s="1354">
        <v>1.88</v>
      </c>
      <c r="W13" s="1355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2">
        <f t="shared" si="4"/>
        <v>8.8000000000000005E-3</v>
      </c>
      <c r="G14" s="133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9">
        <f>AVERAGE(F14:F$18)</f>
        <v>9.8799999999999999E-3</v>
      </c>
      <c r="L14" s="1336"/>
      <c r="M14" s="27"/>
      <c r="N14" s="27"/>
      <c r="O14" s="27"/>
      <c r="P14" s="27"/>
      <c r="R14" s="1347">
        <v>2015</v>
      </c>
      <c r="S14" s="1348">
        <v>2</v>
      </c>
      <c r="T14" s="1348">
        <v>0.77</v>
      </c>
      <c r="U14" s="1348">
        <v>0.69</v>
      </c>
      <c r="V14" s="1348">
        <v>0.8</v>
      </c>
      <c r="W14" s="1349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2">
        <f t="shared" si="4"/>
        <v>9.300000000000001E-3</v>
      </c>
      <c r="G15" s="133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9">
        <f>AVERAGE(F15:F$18)</f>
        <v>1.0149999999999999E-2</v>
      </c>
      <c r="L15" s="1336"/>
      <c r="M15" s="27"/>
      <c r="N15" s="27"/>
      <c r="O15" s="27"/>
      <c r="P15" s="27"/>
      <c r="R15" s="1344">
        <v>2015</v>
      </c>
      <c r="S15" s="1345">
        <v>1</v>
      </c>
      <c r="T15" s="1345">
        <v>0.51</v>
      </c>
      <c r="U15" s="1345">
        <v>0.54</v>
      </c>
      <c r="V15" s="1345">
        <v>0.48</v>
      </c>
      <c r="W15" s="1346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2">
        <f t="shared" si="4"/>
        <v>8.8999999999999999E-3</v>
      </c>
      <c r="G16" s="133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9">
        <f>AVERAGE(F16:F$18)</f>
        <v>1.0433333333333334E-2</v>
      </c>
      <c r="L16" s="1336"/>
      <c r="M16" s="27"/>
      <c r="N16" s="27"/>
      <c r="O16" s="27"/>
      <c r="P16" s="27"/>
      <c r="R16" s="1350">
        <v>2014</v>
      </c>
      <c r="S16" s="1351">
        <v>4</v>
      </c>
      <c r="T16" s="1351">
        <v>0.21</v>
      </c>
      <c r="U16" s="1351">
        <v>0.41</v>
      </c>
      <c r="V16" s="1351">
        <v>0.12</v>
      </c>
      <c r="W16" s="1352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2">
        <f t="shared" si="4"/>
        <v>7.1999999999999998E-3</v>
      </c>
      <c r="G17" s="133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9">
        <f>AVERAGE(F17:F$18)</f>
        <v>1.12E-2</v>
      </c>
      <c r="L17" s="133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6">
        <v>2014</v>
      </c>
      <c r="S17" s="1357">
        <v>3</v>
      </c>
      <c r="T17" s="1357">
        <v>0.83</v>
      </c>
      <c r="U17" s="1357">
        <v>1.47</v>
      </c>
      <c r="V17" s="1357">
        <v>0.65</v>
      </c>
      <c r="W17" s="1358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2">
        <f t="shared" si="4"/>
        <v>1.52E-2</v>
      </c>
      <c r="G18" s="133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7">
        <f t="shared" si="5"/>
        <v>1.52E-2</v>
      </c>
      <c r="L18" s="133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9">
        <v>2014</v>
      </c>
      <c r="S18" s="1360">
        <v>2</v>
      </c>
      <c r="T18" s="1360">
        <v>2.4</v>
      </c>
      <c r="U18" s="1360">
        <v>2.0299999999999998</v>
      </c>
      <c r="V18" s="1360">
        <v>2.59</v>
      </c>
      <c r="W18" s="1361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2">
        <f t="shared" si="4"/>
        <v>1.3600000000000001E-2</v>
      </c>
      <c r="G19" s="1335">
        <v>0</v>
      </c>
      <c r="H19" s="25">
        <v>0</v>
      </c>
      <c r="I19" s="25">
        <v>0</v>
      </c>
      <c r="J19" s="25">
        <v>0</v>
      </c>
      <c r="K19" s="1338">
        <v>0</v>
      </c>
      <c r="L19" s="133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2">
        <v>2014</v>
      </c>
      <c r="S19" s="1363">
        <v>1</v>
      </c>
      <c r="T19" s="1363">
        <v>2.97</v>
      </c>
      <c r="U19" s="1363">
        <v>2.34</v>
      </c>
      <c r="V19" s="1363">
        <v>3.28</v>
      </c>
      <c r="W19" s="1364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2">
        <f t="shared" si="4"/>
        <v>8.6999999999999994E-3</v>
      </c>
      <c r="L20" s="133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6">
        <v>2013</v>
      </c>
      <c r="S20" s="1367">
        <v>4</v>
      </c>
      <c r="T20" s="1367">
        <v>1.83</v>
      </c>
      <c r="U20" s="1367">
        <v>1.68</v>
      </c>
      <c r="V20" s="1367">
        <v>1.97</v>
      </c>
      <c r="W20" s="1368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2">
        <f t="shared" si="4"/>
        <v>8.8000000000000005E-3</v>
      </c>
      <c r="L21" s="133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3">
        <v>2013</v>
      </c>
      <c r="S21" s="1354">
        <v>3</v>
      </c>
      <c r="T21" s="1354">
        <v>1.86</v>
      </c>
      <c r="U21" s="1354">
        <v>1.72</v>
      </c>
      <c r="V21" s="1354">
        <v>1.98</v>
      </c>
      <c r="W21" s="1355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2">
        <f t="shared" si="4"/>
        <v>6.8999999999999999E-3</v>
      </c>
      <c r="L22" s="133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7">
        <v>2013</v>
      </c>
      <c r="S22" s="1348">
        <v>2</v>
      </c>
      <c r="T22" s="1348">
        <v>2.04</v>
      </c>
      <c r="U22" s="1348">
        <v>2.33</v>
      </c>
      <c r="V22" s="1348">
        <v>2.0699999999999998</v>
      </c>
      <c r="W22" s="1349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2">
        <f t="shared" si="4"/>
        <v>9.5999999999999992E-3</v>
      </c>
      <c r="L23" s="133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4">
        <v>2013</v>
      </c>
      <c r="S23" s="1345">
        <v>1</v>
      </c>
      <c r="T23" s="1345">
        <v>1.67</v>
      </c>
      <c r="U23" s="1345">
        <v>1.31</v>
      </c>
      <c r="V23" s="1345">
        <v>1.85</v>
      </c>
      <c r="W23" s="1346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2">
        <f t="shared" si="4"/>
        <v>9.0000000000000011E-3</v>
      </c>
      <c r="L24" s="133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50">
        <v>2012</v>
      </c>
      <c r="S24" s="1351">
        <v>4</v>
      </c>
      <c r="T24" s="1351">
        <v>0.91</v>
      </c>
      <c r="U24" s="1351">
        <v>0.68</v>
      </c>
      <c r="V24" s="1351">
        <v>0.98</v>
      </c>
      <c r="W24" s="1352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2">
        <f t="shared" si="4"/>
        <v>5.7999999999999996E-3</v>
      </c>
      <c r="L25" s="133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3">
        <v>2012</v>
      </c>
      <c r="S25" s="1354">
        <v>3</v>
      </c>
      <c r="T25" s="1354">
        <v>0.09</v>
      </c>
      <c r="U25" s="1354">
        <v>0.28999999999999998</v>
      </c>
      <c r="V25" s="1354">
        <v>-0.01</v>
      </c>
      <c r="W25" s="1355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2">
        <f t="shared" si="4"/>
        <v>1.24E-2</v>
      </c>
      <c r="L26" s="133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7">
        <v>2012</v>
      </c>
      <c r="S26" s="1348">
        <v>2</v>
      </c>
      <c r="T26" s="1348">
        <v>0.02</v>
      </c>
      <c r="U26" s="1348">
        <v>0.12</v>
      </c>
      <c r="V26" s="1348">
        <v>-0.08</v>
      </c>
      <c r="W26" s="1349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2">
        <f t="shared" si="4"/>
        <v>4.5999999999999999E-3</v>
      </c>
      <c r="L27" s="133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4">
        <v>2012</v>
      </c>
      <c r="S27" s="1345">
        <v>1</v>
      </c>
      <c r="T27" s="1345">
        <v>0.02</v>
      </c>
      <c r="U27" s="1345">
        <v>0.13</v>
      </c>
      <c r="V27" s="1345">
        <v>-0.04</v>
      </c>
      <c r="W27" s="1346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2">
        <f t="shared" si="4"/>
        <v>4.5999999999999999E-3</v>
      </c>
      <c r="L28" s="133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50">
        <v>2011</v>
      </c>
      <c r="S28" s="1351">
        <v>4</v>
      </c>
      <c r="T28" s="1351">
        <v>-0.2</v>
      </c>
      <c r="U28" s="1351">
        <v>0.04</v>
      </c>
      <c r="V28" s="1351">
        <v>-0.34</v>
      </c>
      <c r="W28" s="1352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2">
        <f t="shared" si="4"/>
        <v>5.3E-3</v>
      </c>
      <c r="L29" s="133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3">
        <v>2011</v>
      </c>
      <c r="S29" s="1354">
        <v>3</v>
      </c>
      <c r="T29" s="1354">
        <v>0.13</v>
      </c>
      <c r="U29" s="1354">
        <v>0.75</v>
      </c>
      <c r="V29" s="1354">
        <v>-0.08</v>
      </c>
      <c r="W29" s="1355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2">
        <f t="shared" si="4"/>
        <v>-2E-3</v>
      </c>
      <c r="L30" s="133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7">
        <v>2011</v>
      </c>
      <c r="S30" s="1348">
        <v>2</v>
      </c>
      <c r="T30" s="1348">
        <v>-0.4</v>
      </c>
      <c r="U30" s="1348">
        <v>0.17</v>
      </c>
      <c r="V30" s="1348">
        <v>-0.57999999999999996</v>
      </c>
      <c r="W30" s="1349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2">
        <f t="shared" si="4"/>
        <v>7.9500000000000001E-2</v>
      </c>
      <c r="L31" s="133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4">
        <v>2011</v>
      </c>
      <c r="S31" s="1345">
        <v>1</v>
      </c>
      <c r="T31" s="1345">
        <v>2.65</v>
      </c>
      <c r="U31" s="1345">
        <v>3.76</v>
      </c>
      <c r="V31" s="1345">
        <v>1.89</v>
      </c>
      <c r="W31" s="1346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2">
        <f t="shared" si="4"/>
        <v>2.7200000000000002E-2</v>
      </c>
      <c r="L32" s="133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50">
        <v>2010</v>
      </c>
      <c r="S32" s="1351">
        <v>4</v>
      </c>
      <c r="T32" s="1351">
        <v>5.72</v>
      </c>
      <c r="U32" s="1351">
        <v>6.57</v>
      </c>
      <c r="V32" s="1351">
        <v>5.72</v>
      </c>
      <c r="W32" s="1352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2">
        <f t="shared" si="4"/>
        <v>4.2099999999999999E-2</v>
      </c>
      <c r="L33" s="133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3">
        <v>2010</v>
      </c>
      <c r="S33" s="1354">
        <v>3</v>
      </c>
      <c r="T33" s="1354">
        <v>4.7300000000000004</v>
      </c>
      <c r="U33" s="1354">
        <v>3.9</v>
      </c>
      <c r="V33" s="1354">
        <v>5.03</v>
      </c>
      <c r="W33" s="1355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2">
        <f t="shared" si="4"/>
        <v>4.2300000000000004E-2</v>
      </c>
      <c r="L34" s="133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7">
        <v>2010</v>
      </c>
      <c r="S34" s="1348">
        <v>2</v>
      </c>
      <c r="T34" s="1348">
        <v>4.6900000000000004</v>
      </c>
      <c r="U34" s="1348">
        <v>3.55</v>
      </c>
      <c r="V34" s="1348">
        <v>5.07</v>
      </c>
      <c r="W34" s="1349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2">
        <f t="shared" si="4"/>
        <v>4.5100000000000001E-2</v>
      </c>
      <c r="L35" s="133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4">
        <v>2010</v>
      </c>
      <c r="S35" s="1345">
        <v>1</v>
      </c>
      <c r="T35" s="1345">
        <v>5.4</v>
      </c>
      <c r="U35" s="1345">
        <v>3.2</v>
      </c>
      <c r="V35" s="1345">
        <v>6.16</v>
      </c>
      <c r="W35" s="1346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2">
        <f t="shared" si="4"/>
        <v>6.7000000000000002E-3</v>
      </c>
      <c r="L36" s="133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50">
        <v>2009</v>
      </c>
      <c r="S36" s="1351">
        <v>4</v>
      </c>
      <c r="T36" s="1351">
        <v>2.2999999999999998</v>
      </c>
      <c r="U36" s="1351">
        <v>1.04</v>
      </c>
      <c r="V36" s="1351">
        <v>2.84</v>
      </c>
      <c r="W36" s="1352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2">
        <f t="shared" si="4"/>
        <v>8.5000000000000006E-3</v>
      </c>
      <c r="L37" s="133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3">
        <v>2009</v>
      </c>
      <c r="S37" s="1354">
        <v>3</v>
      </c>
      <c r="T37" s="1354">
        <v>2.1</v>
      </c>
      <c r="U37" s="1354">
        <v>1.86</v>
      </c>
      <c r="V37" s="1354">
        <v>2.29</v>
      </c>
      <c r="W37" s="1355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2">
        <f t="shared" si="4"/>
        <v>-2.07E-2</v>
      </c>
      <c r="L38" s="133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7">
        <v>2009</v>
      </c>
      <c r="S38" s="1348">
        <v>2</v>
      </c>
      <c r="T38" s="1348">
        <v>0.86</v>
      </c>
      <c r="U38" s="1348">
        <v>-1.1299999999999999</v>
      </c>
      <c r="V38" s="1348">
        <v>1.79</v>
      </c>
      <c r="W38" s="1349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2">
        <f t="shared" si="4"/>
        <v>1.52E-2</v>
      </c>
      <c r="L39" s="133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4">
        <v>2009</v>
      </c>
      <c r="S39" s="1345">
        <v>1</v>
      </c>
      <c r="T39" s="1345">
        <v>-2.64</v>
      </c>
      <c r="U39" s="1345">
        <v>-2.5299999999999998</v>
      </c>
      <c r="V39" s="1345">
        <v>-3.02</v>
      </c>
      <c r="W39" s="1346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2">
        <f t="shared" si="4"/>
        <v>-1.66E-2</v>
      </c>
      <c r="L40" s="133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50">
        <v>2008</v>
      </c>
      <c r="S40" s="1351">
        <v>4</v>
      </c>
      <c r="T40" s="1351">
        <v>1.73</v>
      </c>
      <c r="U40" s="1351">
        <v>0.03</v>
      </c>
      <c r="V40" s="1351">
        <v>2.59</v>
      </c>
      <c r="W40" s="1352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2">
        <f t="shared" si="4"/>
        <v>2.2200000000000001E-2</v>
      </c>
      <c r="L41" s="133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3">
        <v>2008</v>
      </c>
      <c r="S41" s="1354">
        <v>3</v>
      </c>
      <c r="T41" s="1354">
        <v>1.96</v>
      </c>
      <c r="U41" s="1354">
        <v>2.36</v>
      </c>
      <c r="V41" s="1354">
        <v>1.82</v>
      </c>
      <c r="W41" s="1355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2">
        <f t="shared" si="4"/>
        <v>6.8600000000000008E-2</v>
      </c>
      <c r="L42" s="133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7">
        <v>2008</v>
      </c>
      <c r="S42" s="1348">
        <v>2</v>
      </c>
      <c r="T42" s="1348">
        <v>4.93</v>
      </c>
      <c r="U42" s="1348">
        <v>7.38</v>
      </c>
      <c r="V42" s="1348">
        <v>3.98</v>
      </c>
      <c r="W42" s="1349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2">
        <f t="shared" si="4"/>
        <v>4.82E-2</v>
      </c>
      <c r="L43" s="133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4">
        <v>2008</v>
      </c>
      <c r="S43" s="1345">
        <v>1</v>
      </c>
      <c r="T43" s="1345">
        <v>4.1399999999999997</v>
      </c>
      <c r="U43" s="1345">
        <v>3.45</v>
      </c>
      <c r="V43" s="1345">
        <v>4.95</v>
      </c>
      <c r="W43" s="1346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2">
        <f t="shared" si="4"/>
        <v>5.3600000000000002E-2</v>
      </c>
      <c r="L44" s="133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50">
        <v>2007</v>
      </c>
      <c r="S44" s="1351">
        <v>4</v>
      </c>
      <c r="T44" s="1351">
        <v>5.51</v>
      </c>
      <c r="U44" s="1351">
        <v>4.8899999999999997</v>
      </c>
      <c r="V44" s="1351">
        <v>6.43</v>
      </c>
      <c r="W44" s="1352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2">
        <f t="shared" si="4"/>
        <v>5.7999999999999996E-2</v>
      </c>
      <c r="L45" s="133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3">
        <v>2007</v>
      </c>
      <c r="S45" s="1354">
        <v>3</v>
      </c>
      <c r="T45" s="1354">
        <v>8.65</v>
      </c>
      <c r="U45" s="1354">
        <v>8.06</v>
      </c>
      <c r="V45" s="1354">
        <v>9.94</v>
      </c>
      <c r="W45" s="1355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2">
        <f t="shared" si="4"/>
        <v>6.7099999999999993E-2</v>
      </c>
      <c r="L46" s="133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7">
        <v>2007</v>
      </c>
      <c r="S46" s="1348">
        <v>2</v>
      </c>
      <c r="T46" s="1348">
        <v>3.67</v>
      </c>
      <c r="U46" s="1348">
        <v>2.3199999999999998</v>
      </c>
      <c r="V46" s="1348">
        <v>5.0199999999999996</v>
      </c>
      <c r="W46" s="1349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2">
        <f t="shared" si="4"/>
        <v>3.2099999999999997E-2</v>
      </c>
      <c r="L47" s="133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4">
        <v>2007</v>
      </c>
      <c r="S47" s="1345">
        <v>1</v>
      </c>
      <c r="T47" s="1345">
        <v>3.58</v>
      </c>
      <c r="U47" s="1345">
        <v>3.08</v>
      </c>
      <c r="V47" s="1345">
        <v>4.34</v>
      </c>
      <c r="W47" s="1346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2">
        <f t="shared" si="4"/>
        <v>5.4100000000000002E-2</v>
      </c>
      <c r="L48" s="133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50">
        <v>2006</v>
      </c>
      <c r="S48" s="1351">
        <v>4</v>
      </c>
      <c r="T48" s="1351">
        <v>3.79</v>
      </c>
      <c r="U48" s="1351">
        <v>2.21</v>
      </c>
      <c r="V48" s="1351">
        <v>5.65</v>
      </c>
      <c r="W48" s="1352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2">
        <f t="shared" si="4"/>
        <v>1.0800000000000001E-2</v>
      </c>
      <c r="L49" s="133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3">
        <v>2006</v>
      </c>
      <c r="S49" s="1354">
        <v>3</v>
      </c>
      <c r="T49" s="1354">
        <v>0.92</v>
      </c>
      <c r="U49" s="1354">
        <v>1.08</v>
      </c>
      <c r="V49" s="1354">
        <v>0.73</v>
      </c>
      <c r="W49" s="1355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2">
        <f t="shared" si="4"/>
        <v>9.4999999999999998E-3</v>
      </c>
      <c r="L50" s="133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7">
        <v>2006</v>
      </c>
      <c r="S50" s="1348">
        <v>2</v>
      </c>
      <c r="T50" s="1348">
        <v>0.96</v>
      </c>
      <c r="U50" s="1348">
        <v>0.25</v>
      </c>
      <c r="V50" s="1348">
        <v>1.9</v>
      </c>
      <c r="W50" s="1349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2">
        <f t="shared" si="4"/>
        <v>4.0000000000000002E-4</v>
      </c>
      <c r="L51" s="133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4">
        <v>2006</v>
      </c>
      <c r="S51" s="1345">
        <v>1</v>
      </c>
      <c r="T51" s="1345">
        <v>2.29</v>
      </c>
      <c r="U51" s="1345">
        <v>3.72</v>
      </c>
      <c r="V51" s="1345">
        <v>0.75</v>
      </c>
      <c r="W51" s="1346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2">
        <f t="shared" si="4"/>
        <v>7.7800000000000008E-2</v>
      </c>
      <c r="L52" s="133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50">
        <v>2005</v>
      </c>
      <c r="S52" s="1351">
        <v>4</v>
      </c>
      <c r="T52" s="1351">
        <v>3.29</v>
      </c>
      <c r="U52" s="1351">
        <v>1.44</v>
      </c>
      <c r="V52" s="1351">
        <v>0.66</v>
      </c>
      <c r="W52" s="1352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2">
        <f t="shared" si="4"/>
        <v>6.4000000000000003E-3</v>
      </c>
      <c r="L53" s="133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3">
        <v>2005</v>
      </c>
      <c r="S53" s="1354">
        <v>3</v>
      </c>
      <c r="T53" s="1354">
        <v>0.46</v>
      </c>
      <c r="U53" s="1354">
        <v>0.32</v>
      </c>
      <c r="V53" s="1354">
        <v>0.42</v>
      </c>
      <c r="W53" s="1355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2">
        <f t="shared" si="4"/>
        <v>7.9000000000000008E-3</v>
      </c>
      <c r="L54" s="133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7">
        <v>2005</v>
      </c>
      <c r="S54" s="1348">
        <v>2</v>
      </c>
      <c r="T54" s="1348">
        <v>0.47</v>
      </c>
      <c r="U54" s="1348">
        <v>0.1</v>
      </c>
      <c r="V54" s="1348">
        <v>0.52</v>
      </c>
      <c r="W54" s="1349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2">
        <f t="shared" si="4"/>
        <v>5.5000000000000005E-3</v>
      </c>
      <c r="L55" s="133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4">
        <v>2005</v>
      </c>
      <c r="S55" s="1345">
        <v>1</v>
      </c>
      <c r="T55" s="1345">
        <v>0.43</v>
      </c>
      <c r="U55" s="1345">
        <v>0.37</v>
      </c>
      <c r="V55" s="1345">
        <v>0.37</v>
      </c>
      <c r="W55" s="1346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2">
        <f t="shared" si="4"/>
        <v>0</v>
      </c>
      <c r="L56" s="133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50">
        <v>2004</v>
      </c>
      <c r="S56" s="1351">
        <v>4</v>
      </c>
      <c r="T56" s="1351">
        <v>0.33</v>
      </c>
      <c r="U56" s="1351">
        <v>0.5</v>
      </c>
      <c r="V56" s="1351">
        <v>0.5</v>
      </c>
      <c r="W56" s="1352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2">
        <f t="shared" si="4"/>
        <v>5.9999999999999995E-4</v>
      </c>
      <c r="L57" s="133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3">
        <v>2004</v>
      </c>
      <c r="S57" s="1354">
        <v>3</v>
      </c>
      <c r="T57" s="1354">
        <v>0.56000000000000005</v>
      </c>
      <c r="U57" s="1354">
        <v>0.8</v>
      </c>
      <c r="V57" s="1354">
        <v>0.83</v>
      </c>
      <c r="W57" s="1355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2">
        <f t="shared" si="4"/>
        <v>0</v>
      </c>
      <c r="L58" s="133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7">
        <v>2004</v>
      </c>
      <c r="S58" s="1348">
        <v>2</v>
      </c>
      <c r="T58" s="1348">
        <v>1</v>
      </c>
      <c r="U58" s="1348">
        <v>1.5</v>
      </c>
      <c r="V58" s="1348">
        <v>1.5</v>
      </c>
      <c r="W58" s="1349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2">
        <f t="shared" si="4"/>
        <v>0</v>
      </c>
      <c r="L59" s="133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9">
        <v>2004</v>
      </c>
      <c r="S59" s="1370">
        <v>1</v>
      </c>
      <c r="T59" s="1370">
        <v>0.33</v>
      </c>
      <c r="U59" s="1370">
        <v>0.5</v>
      </c>
      <c r="V59" s="1370">
        <v>0.5</v>
      </c>
      <c r="W59" s="1371">
        <v>0</v>
      </c>
      <c r="X59" s="1341">
        <v>2004</v>
      </c>
      <c r="Y59" s="1342">
        <v>121</v>
      </c>
      <c r="Z59" s="1342">
        <v>122</v>
      </c>
      <c r="AA59" s="1342">
        <v>124</v>
      </c>
      <c r="AB59" s="1343">
        <v>107</v>
      </c>
    </row>
    <row r="60" spans="1:28" ht="15" thickBot="1">
      <c r="A60" s="623" t="s">
        <v>1625</v>
      </c>
      <c r="B60" s="1372">
        <f t="shared" ref="B60:C67" si="6">T60</f>
        <v>1.14E-2</v>
      </c>
      <c r="C60" s="1372">
        <f t="shared" si="6"/>
        <v>1.5599999999999999E-2</v>
      </c>
      <c r="D60" s="458">
        <f t="shared" si="2"/>
        <v>1.5599999999999999E-2</v>
      </c>
      <c r="E60" s="1372">
        <f t="shared" ref="E60:F67" si="7">V60</f>
        <v>7.0000000000000001E-3</v>
      </c>
      <c r="F60" s="1373">
        <f t="shared" si="7"/>
        <v>4.7999999999999996E-3</v>
      </c>
      <c r="L60" s="133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1">
        <v>2003</v>
      </c>
      <c r="S60" s="1351">
        <v>4</v>
      </c>
      <c r="T60" s="1374">
        <f>ROUND(Y60/Y61-1,4)</f>
        <v>1.14E-2</v>
      </c>
      <c r="U60" s="1374">
        <f t="shared" ref="U60:W60" si="8">ROUND(Z60/Z61-1,4)</f>
        <v>1.5599999999999999E-2</v>
      </c>
      <c r="V60" s="1374">
        <f t="shared" si="8"/>
        <v>7.0000000000000001E-3</v>
      </c>
      <c r="W60" s="1374">
        <f t="shared" si="8"/>
        <v>4.7999999999999996E-3</v>
      </c>
      <c r="X60" s="1344">
        <v>2003</v>
      </c>
      <c r="Y60" s="1345">
        <v>111</v>
      </c>
      <c r="Z60" s="1345">
        <v>114</v>
      </c>
      <c r="AA60" s="1345">
        <v>108</v>
      </c>
      <c r="AB60" s="1346">
        <v>104</v>
      </c>
    </row>
    <row r="61" spans="1:28" ht="14.25">
      <c r="A61" s="623" t="s">
        <v>1626</v>
      </c>
      <c r="B61" s="1372">
        <f t="shared" si="6"/>
        <v>1.15E-2</v>
      </c>
      <c r="C61" s="1372">
        <f t="shared" si="6"/>
        <v>1.5800000000000002E-2</v>
      </c>
      <c r="D61" s="458">
        <f t="shared" si="2"/>
        <v>1.5800000000000002E-2</v>
      </c>
      <c r="E61" s="1372">
        <f t="shared" si="7"/>
        <v>7.0000000000000001E-3</v>
      </c>
      <c r="F61" s="1373">
        <f t="shared" si="7"/>
        <v>4.8999999999999998E-3</v>
      </c>
      <c r="L61" s="133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4">
        <v>3</v>
      </c>
      <c r="T61" s="1374">
        <f t="shared" ref="T61:T66" si="9">ROUND(Y61/Y62-1,4)</f>
        <v>1.15E-2</v>
      </c>
      <c r="U61" s="1374">
        <f t="shared" ref="U61:U66" si="10">ROUND(Z61/Z62-1,4)</f>
        <v>1.5800000000000002E-2</v>
      </c>
      <c r="V61" s="1374">
        <f t="shared" ref="V61:V66" si="11">ROUND(AA61/AA62-1,4)</f>
        <v>7.0000000000000001E-3</v>
      </c>
      <c r="W61" s="1374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2">
        <f t="shared" si="6"/>
        <v>1.17E-2</v>
      </c>
      <c r="C62" s="1372">
        <f t="shared" si="6"/>
        <v>1.61E-2</v>
      </c>
      <c r="D62" s="458">
        <f t="shared" si="2"/>
        <v>1.61E-2</v>
      </c>
      <c r="E62" s="1372">
        <f t="shared" si="7"/>
        <v>7.1000000000000004E-3</v>
      </c>
      <c r="F62" s="1373">
        <f t="shared" si="7"/>
        <v>4.8999999999999998E-3</v>
      </c>
      <c r="L62" s="133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8">
        <v>2</v>
      </c>
      <c r="T62" s="1374">
        <f t="shared" si="9"/>
        <v>1.17E-2</v>
      </c>
      <c r="U62" s="1374">
        <f t="shared" si="10"/>
        <v>1.61E-2</v>
      </c>
      <c r="V62" s="1374">
        <f t="shared" si="11"/>
        <v>7.1000000000000004E-3</v>
      </c>
      <c r="W62" s="1374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2">
        <f t="shared" si="6"/>
        <v>1.18E-2</v>
      </c>
      <c r="C63" s="1372">
        <f t="shared" si="6"/>
        <v>1.6400000000000001E-2</v>
      </c>
      <c r="D63" s="458">
        <f t="shared" si="2"/>
        <v>1.6400000000000001E-2</v>
      </c>
      <c r="E63" s="1372">
        <f t="shared" si="7"/>
        <v>7.1000000000000004E-3</v>
      </c>
      <c r="F63" s="1373">
        <f t="shared" si="7"/>
        <v>4.8999999999999998E-3</v>
      </c>
      <c r="L63" s="133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70">
        <v>1</v>
      </c>
      <c r="T63" s="1374">
        <f t="shared" si="9"/>
        <v>1.18E-2</v>
      </c>
      <c r="U63" s="1374">
        <f t="shared" si="10"/>
        <v>1.6400000000000001E-2</v>
      </c>
      <c r="V63" s="1374">
        <f t="shared" si="11"/>
        <v>7.1000000000000004E-3</v>
      </c>
      <c r="W63" s="1374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2">
        <f t="shared" si="6"/>
        <v>9.4999999999999998E-3</v>
      </c>
      <c r="C64" s="1372">
        <f t="shared" si="6"/>
        <v>9.4000000000000004E-3</v>
      </c>
      <c r="D64" s="458">
        <f t="shared" si="2"/>
        <v>9.4000000000000004E-3</v>
      </c>
      <c r="E64" s="1372">
        <f t="shared" si="7"/>
        <v>4.7999999999999996E-3</v>
      </c>
      <c r="F64" s="1373">
        <f t="shared" si="7"/>
        <v>4.8999999999999998E-3</v>
      </c>
      <c r="L64" s="133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4">
        <v>2002</v>
      </c>
      <c r="S64" s="1351">
        <v>4</v>
      </c>
      <c r="T64" s="1374">
        <f t="shared" si="9"/>
        <v>9.4999999999999998E-3</v>
      </c>
      <c r="U64" s="1374">
        <f t="shared" si="10"/>
        <v>9.4000000000000004E-3</v>
      </c>
      <c r="V64" s="1374">
        <f t="shared" si="11"/>
        <v>4.7999999999999996E-3</v>
      </c>
      <c r="W64" s="1374">
        <f t="shared" si="12"/>
        <v>4.8999999999999998E-3</v>
      </c>
      <c r="X64" s="1347">
        <v>2002</v>
      </c>
      <c r="Y64" s="1348">
        <v>106</v>
      </c>
      <c r="Z64" s="1348">
        <v>107</v>
      </c>
      <c r="AA64" s="1348">
        <v>105</v>
      </c>
      <c r="AB64" s="1349">
        <v>102</v>
      </c>
    </row>
    <row r="65" spans="1:28" ht="14.25">
      <c r="A65" s="623" t="s">
        <v>1630</v>
      </c>
      <c r="B65" s="1372">
        <f t="shared" si="6"/>
        <v>9.5999999999999992E-3</v>
      </c>
      <c r="C65" s="1372">
        <f t="shared" si="6"/>
        <v>9.4999999999999998E-3</v>
      </c>
      <c r="D65" s="458">
        <f t="shared" si="2"/>
        <v>9.4999999999999998E-3</v>
      </c>
      <c r="E65" s="1372">
        <f t="shared" si="7"/>
        <v>4.7999999999999996E-3</v>
      </c>
      <c r="F65" s="1373">
        <f t="shared" si="7"/>
        <v>5.0000000000000001E-3</v>
      </c>
      <c r="L65" s="133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4">
        <v>3</v>
      </c>
      <c r="T65" s="1374">
        <f t="shared" si="9"/>
        <v>9.5999999999999992E-3</v>
      </c>
      <c r="U65" s="1374">
        <f t="shared" si="10"/>
        <v>9.4999999999999998E-3</v>
      </c>
      <c r="V65" s="1374">
        <f t="shared" si="11"/>
        <v>4.7999999999999996E-3</v>
      </c>
      <c r="W65" s="1374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2">
        <f t="shared" si="6"/>
        <v>9.7000000000000003E-3</v>
      </c>
      <c r="C66" s="1372">
        <f t="shared" si="6"/>
        <v>9.5999999999999992E-3</v>
      </c>
      <c r="D66" s="458">
        <f t="shared" si="2"/>
        <v>9.5999999999999992E-3</v>
      </c>
      <c r="E66" s="1372">
        <f t="shared" si="7"/>
        <v>4.7999999999999996E-3</v>
      </c>
      <c r="F66" s="1373">
        <f t="shared" si="7"/>
        <v>5.0000000000000001E-3</v>
      </c>
      <c r="L66" s="133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8">
        <v>2</v>
      </c>
      <c r="T66" s="1374">
        <f t="shared" si="9"/>
        <v>9.7000000000000003E-3</v>
      </c>
      <c r="U66" s="1374">
        <f t="shared" si="10"/>
        <v>9.5999999999999992E-3</v>
      </c>
      <c r="V66" s="1374">
        <f t="shared" si="11"/>
        <v>4.7999999999999996E-3</v>
      </c>
      <c r="W66" s="1374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2">
        <f t="shared" si="6"/>
        <v>9.7999999999999997E-3</v>
      </c>
      <c r="C67" s="1372">
        <f t="shared" si="6"/>
        <v>9.7000000000000003E-3</v>
      </c>
      <c r="D67" s="458">
        <f t="shared" si="2"/>
        <v>9.7000000000000003E-3</v>
      </c>
      <c r="E67" s="1372">
        <f t="shared" si="7"/>
        <v>4.8999999999999998E-3</v>
      </c>
      <c r="F67" s="1373">
        <f t="shared" si="7"/>
        <v>5.0000000000000001E-3</v>
      </c>
      <c r="L67" s="1335">
        <v>0</v>
      </c>
      <c r="M67" s="25">
        <v>0</v>
      </c>
      <c r="N67" s="25">
        <v>0</v>
      </c>
      <c r="O67" s="25">
        <v>0</v>
      </c>
      <c r="P67" s="25">
        <v>0</v>
      </c>
      <c r="S67" s="1370">
        <v>1</v>
      </c>
      <c r="T67" s="1374">
        <f>ROUND(Y67/Y68-1,4)</f>
        <v>9.7999999999999997E-3</v>
      </c>
      <c r="U67" s="1374">
        <f>ROUND(Z67/Z68-1,4)</f>
        <v>9.7000000000000003E-3</v>
      </c>
      <c r="V67" s="1374">
        <f>ROUND(AA67/AA68-1,4)</f>
        <v>4.8999999999999998E-3</v>
      </c>
      <c r="W67" s="1374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4">
        <v>2001</v>
      </c>
      <c r="Y68" s="1345">
        <v>102</v>
      </c>
      <c r="Z68" s="1345">
        <v>103</v>
      </c>
      <c r="AA68" s="1345">
        <v>103</v>
      </c>
      <c r="AB68" s="1346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8" customWidth="1"/>
    <col min="3" max="3" width="45.5" style="1208" customWidth="1"/>
    <col min="4" max="4" width="2.625" style="1208" customWidth="1"/>
    <col min="5" max="5" width="5.875" style="1208" customWidth="1"/>
    <col min="6" max="6" width="30.25" style="1208" customWidth="1"/>
    <col min="7" max="7" width="41.875" style="1208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1"/>
      <c r="E1" s="461"/>
      <c r="F1" s="461"/>
      <c r="G1" s="461"/>
    </row>
    <row r="2" spans="1:17" ht="19.5" thickBot="1">
      <c r="A2" s="1182"/>
      <c r="B2" s="1183"/>
      <c r="C2" s="1184" t="s">
        <v>205</v>
      </c>
      <c r="D2" s="1185"/>
      <c r="E2" s="1186"/>
      <c r="F2" s="1186"/>
      <c r="G2" s="1187" t="s">
        <v>206</v>
      </c>
    </row>
    <row r="3" spans="1:17" ht="75">
      <c r="A3" s="1188" t="s">
        <v>207</v>
      </c>
      <c r="B3" s="1189" t="s">
        <v>4</v>
      </c>
      <c r="C3" s="1190" t="s">
        <v>216</v>
      </c>
      <c r="D3" s="1185"/>
      <c r="E3" s="1191" t="s">
        <v>208</v>
      </c>
      <c r="F3" s="1189" t="s">
        <v>209</v>
      </c>
      <c r="G3" s="1192" t="s">
        <v>1734</v>
      </c>
    </row>
    <row r="4" spans="1:17" ht="56.25">
      <c r="A4" s="1193"/>
      <c r="B4" s="1194" t="s">
        <v>210</v>
      </c>
      <c r="C4" s="1195" t="s">
        <v>217</v>
      </c>
      <c r="D4" s="1185"/>
      <c r="E4" s="1196"/>
      <c r="F4" s="1197" t="s">
        <v>211</v>
      </c>
      <c r="G4" s="1198" t="s">
        <v>218</v>
      </c>
    </row>
    <row r="5" spans="1:17" ht="37.5">
      <c r="A5" s="1193"/>
      <c r="B5" s="1194" t="s">
        <v>212</v>
      </c>
      <c r="C5" s="1195" t="s">
        <v>219</v>
      </c>
      <c r="D5" s="1199"/>
      <c r="E5" s="1196"/>
      <c r="F5" s="1197" t="s">
        <v>213</v>
      </c>
      <c r="G5" s="1200" t="s">
        <v>952</v>
      </c>
    </row>
    <row r="6" spans="1:17" ht="56.25">
      <c r="A6" s="1193"/>
      <c r="B6" s="1197" t="s">
        <v>7</v>
      </c>
      <c r="C6" s="1198" t="s">
        <v>200</v>
      </c>
      <c r="D6" s="1199"/>
      <c r="E6" s="1196"/>
      <c r="F6" s="1197" t="s">
        <v>201</v>
      </c>
      <c r="G6" s="1198" t="s">
        <v>202</v>
      </c>
    </row>
    <row r="7" spans="1:17" ht="37.5">
      <c r="A7" s="1193"/>
      <c r="B7" s="1197" t="s">
        <v>11</v>
      </c>
      <c r="C7" s="1200" t="s">
        <v>952</v>
      </c>
      <c r="D7" s="1185"/>
      <c r="E7" s="1196"/>
      <c r="F7" s="1201" t="s">
        <v>1189</v>
      </c>
      <c r="G7" s="1192" t="s">
        <v>1191</v>
      </c>
    </row>
    <row r="8" spans="1:17" ht="37.5">
      <c r="A8" s="1193"/>
      <c r="B8" s="1197" t="s">
        <v>10</v>
      </c>
      <c r="C8" s="1195" t="s">
        <v>203</v>
      </c>
      <c r="D8" s="1199"/>
      <c r="E8" s="1196"/>
      <c r="F8" s="1201" t="s">
        <v>1190</v>
      </c>
      <c r="G8" s="1198" t="s">
        <v>1192</v>
      </c>
    </row>
    <row r="9" spans="1:17" ht="37.5">
      <c r="A9" s="1193"/>
      <c r="B9" s="1201" t="s">
        <v>1189</v>
      </c>
      <c r="C9" s="1198" t="s">
        <v>1191</v>
      </c>
      <c r="D9" s="1185"/>
      <c r="E9" s="1196"/>
      <c r="F9" s="1197" t="s">
        <v>9</v>
      </c>
      <c r="G9" s="1202"/>
    </row>
    <row r="10" spans="1:17">
      <c r="A10" s="1193"/>
      <c r="B10" s="1201" t="s">
        <v>1190</v>
      </c>
      <c r="C10" s="1198" t="s">
        <v>1192</v>
      </c>
      <c r="D10" s="1185"/>
      <c r="E10" s="1196"/>
      <c r="F10" s="1197" t="s">
        <v>214</v>
      </c>
      <c r="G10" s="1200"/>
    </row>
    <row r="11" spans="1:17" s="412" customFormat="1" ht="19.5" thickBot="1">
      <c r="A11" s="1193"/>
      <c r="B11" s="1197" t="s">
        <v>9</v>
      </c>
      <c r="C11" s="1202"/>
      <c r="D11" s="414"/>
      <c r="E11" s="1203"/>
      <c r="F11" s="1204" t="s">
        <v>215</v>
      </c>
      <c r="G11" s="1205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6"/>
      <c r="B12" s="1204" t="s">
        <v>8</v>
      </c>
      <c r="C12" s="1207"/>
      <c r="D12" s="414"/>
      <c r="E12" s="1199"/>
      <c r="F12" s="1199"/>
      <c r="G12" s="1199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9" customWidth="1"/>
    <col min="2" max="9" width="15.75" style="1629" customWidth="1"/>
    <col min="10" max="16384" width="9" style="1629"/>
  </cols>
  <sheetData>
    <row r="1" spans="1:9" ht="16.5">
      <c r="A1" s="1626" t="s">
        <v>1702</v>
      </c>
      <c r="B1" s="1627">
        <f>SUM(B14:B23)</f>
        <v>91.09</v>
      </c>
      <c r="C1" s="1625"/>
      <c r="D1" s="1625"/>
      <c r="E1" s="1625"/>
      <c r="F1" s="1625"/>
      <c r="G1" s="1628"/>
      <c r="H1" s="1628"/>
      <c r="I1" s="1628"/>
    </row>
    <row r="2" spans="1:9" ht="16.5">
      <c r="A2" s="1626" t="s">
        <v>1703</v>
      </c>
      <c r="B2" s="1627">
        <f>SUM(C14:C23)</f>
        <v>0</v>
      </c>
      <c r="C2" s="1625"/>
      <c r="D2" s="1625"/>
      <c r="E2" s="1625"/>
      <c r="F2" s="1625"/>
      <c r="G2" s="1628"/>
      <c r="H2" s="1628"/>
      <c r="I2" s="1628"/>
    </row>
    <row r="3" spans="1:9" ht="16.5">
      <c r="A3" s="1627" t="s">
        <v>1704</v>
      </c>
      <c r="B3" s="1630">
        <f>主表!B3</f>
        <v>38084</v>
      </c>
      <c r="C3" s="1625"/>
      <c r="D3" s="1625"/>
      <c r="E3" s="1625"/>
      <c r="F3" s="1625"/>
      <c r="G3" s="1628"/>
      <c r="H3" s="1628"/>
      <c r="I3" s="1628"/>
    </row>
    <row r="4" spans="1:9" ht="33">
      <c r="A4" s="1627" t="s">
        <v>1705</v>
      </c>
      <c r="B4" s="1627" t="s">
        <v>1706</v>
      </c>
      <c r="C4" s="1627" t="s">
        <v>1707</v>
      </c>
      <c r="D4" s="1627" t="s">
        <v>1708</v>
      </c>
      <c r="E4" s="1625"/>
      <c r="F4" s="1628"/>
      <c r="G4" s="1628"/>
      <c r="H4" s="1628"/>
      <c r="I4" s="1628"/>
    </row>
    <row r="5" spans="1:9" ht="16.5">
      <c r="A5" s="1627" t="s">
        <v>1709</v>
      </c>
      <c r="B5" s="1627">
        <f>SUM(D14:D23)</f>
        <v>0</v>
      </c>
      <c r="C5" s="1627">
        <f>ROUND(B5*10000/$B$1,0)</f>
        <v>0</v>
      </c>
      <c r="D5" s="1627" t="e">
        <f>ROUND(B5*10000/$B$2,0)</f>
        <v>#DIV/0!</v>
      </c>
      <c r="E5" s="1625"/>
      <c r="F5" s="1628"/>
      <c r="G5" s="1628"/>
      <c r="H5" s="1628"/>
      <c r="I5" s="1628"/>
    </row>
    <row r="6" spans="1:9" ht="16.5">
      <c r="A6" s="1627" t="s">
        <v>1710</v>
      </c>
      <c r="B6" s="1627">
        <f>SUM(G14:G23)</f>
        <v>0</v>
      </c>
      <c r="C6" s="1627">
        <f>ROUND(B6*10000/$B$1,0)</f>
        <v>0</v>
      </c>
      <c r="D6" s="1627" t="e">
        <f>ROUND(B6*10000/$B$2,0)</f>
        <v>#DIV/0!</v>
      </c>
      <c r="E6" s="1625"/>
      <c r="F6" s="1628"/>
      <c r="G6" s="1628"/>
      <c r="H6" s="1628"/>
      <c r="I6" s="1628"/>
    </row>
    <row r="7" spans="1:9" ht="16.5">
      <c r="A7" s="1627" t="s">
        <v>1711</v>
      </c>
      <c r="B7" s="1627">
        <f>SUM(H14:H23)</f>
        <v>0</v>
      </c>
      <c r="C7" s="1627">
        <f>ROUND(B7*10000/$B$1,0)</f>
        <v>0</v>
      </c>
      <c r="D7" s="1627" t="e">
        <f>ROUND(B7*10000/$B$2,0)</f>
        <v>#DIV/0!</v>
      </c>
      <c r="E7" s="1625"/>
      <c r="F7" s="1628"/>
      <c r="G7" s="1628"/>
      <c r="H7" s="1628"/>
      <c r="I7" s="1628"/>
    </row>
    <row r="8" spans="1:9" ht="16.5">
      <c r="A8" s="1627" t="s">
        <v>1712</v>
      </c>
      <c r="B8" s="1627">
        <f>SUM(I14:I23)</f>
        <v>0</v>
      </c>
      <c r="C8" s="1627">
        <f>ROUND(B8*10000/$B$1,0)</f>
        <v>0</v>
      </c>
      <c r="D8" s="1627" t="e">
        <f>ROUND(B8*10000/$B$2,0)</f>
        <v>#DIV/0!</v>
      </c>
      <c r="E8" s="1625"/>
      <c r="F8" s="1628"/>
      <c r="G8" s="1628"/>
      <c r="H8" s="1628"/>
      <c r="I8" s="1628"/>
    </row>
    <row r="9" spans="1:9" ht="16.5">
      <c r="A9" s="1627" t="s">
        <v>1713</v>
      </c>
      <c r="B9" s="1450"/>
      <c r="C9" s="1625"/>
      <c r="D9" s="1625"/>
      <c r="E9" s="1625"/>
      <c r="F9" s="1628"/>
      <c r="G9" s="1628"/>
      <c r="H9" s="1628"/>
      <c r="I9" s="1628"/>
    </row>
    <row r="10" spans="1:9" ht="16.5">
      <c r="A10" s="1627" t="s">
        <v>1714</v>
      </c>
      <c r="B10" s="1450"/>
      <c r="C10" s="1625"/>
      <c r="D10" s="1625"/>
      <c r="E10" s="1625"/>
      <c r="F10" s="1628"/>
      <c r="G10" s="1628"/>
      <c r="H10" s="1628"/>
      <c r="I10" s="1628"/>
    </row>
    <row r="11" spans="1:9" ht="16.5">
      <c r="A11" s="1626" t="s">
        <v>1733</v>
      </c>
      <c r="B11" s="1626" t="e">
        <f ca="1">结果表!B19</f>
        <v>#DIV/0!</v>
      </c>
      <c r="C11" s="1626" t="e">
        <f ca="1">结果表!B18</f>
        <v>#DIV/0!</v>
      </c>
      <c r="D11" s="1625"/>
      <c r="E11" s="1625"/>
      <c r="F11" s="1628"/>
      <c r="G11" s="1628"/>
      <c r="H11" s="1628"/>
      <c r="I11" s="1628"/>
    </row>
    <row r="12" spans="1:9" ht="16.5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3">
      <c r="A13" s="1631" t="s">
        <v>1715</v>
      </c>
      <c r="B13" s="1632" t="s">
        <v>1716</v>
      </c>
      <c r="C13" s="1632" t="s">
        <v>1717</v>
      </c>
      <c r="D13" s="1632" t="s">
        <v>1718</v>
      </c>
      <c r="E13" s="1627" t="s">
        <v>1707</v>
      </c>
      <c r="F13" s="1627" t="s">
        <v>1719</v>
      </c>
      <c r="G13" s="1632" t="s">
        <v>1720</v>
      </c>
      <c r="H13" s="1632" t="s">
        <v>1721</v>
      </c>
      <c r="I13" s="1632" t="s">
        <v>1722</v>
      </c>
    </row>
    <row r="14" spans="1:9" ht="16.5">
      <c r="A14" s="1633" t="s">
        <v>1723</v>
      </c>
      <c r="B14" s="1634">
        <f>主表!B7</f>
        <v>91.09</v>
      </c>
      <c r="C14" s="1634">
        <f>主表!B6</f>
        <v>0</v>
      </c>
      <c r="D14" s="1634"/>
      <c r="E14" s="1634">
        <f>ROUND(D14*10000/B14,0)</f>
        <v>0</v>
      </c>
      <c r="F14" s="1634" t="e">
        <f>ROUND(D14*10000/C14,0)</f>
        <v>#DIV/0!</v>
      </c>
      <c r="G14" s="1634"/>
      <c r="H14" s="1634"/>
      <c r="I14" s="1634"/>
    </row>
    <row r="15" spans="1:9" ht="16.5">
      <c r="A15" s="1633" t="s">
        <v>1724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50"/>
      <c r="H15" s="1450"/>
      <c r="I15" s="1635"/>
    </row>
    <row r="16" spans="1:9" ht="16.5">
      <c r="A16" s="1633" t="s">
        <v>1725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50"/>
      <c r="H16" s="1450"/>
      <c r="I16" s="1635"/>
    </row>
    <row r="17" spans="1:9" ht="16.5">
      <c r="A17" s="1633" t="s">
        <v>1726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50"/>
      <c r="H17" s="1450"/>
      <c r="I17" s="1635"/>
    </row>
    <row r="18" spans="1:9" ht="16.5">
      <c r="A18" s="1633" t="s">
        <v>1727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6.5">
      <c r="A19" s="1633" t="s">
        <v>1728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6.5">
      <c r="A20" s="1633" t="s">
        <v>1729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6.5">
      <c r="A21" s="1633" t="s">
        <v>1730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6.5">
      <c r="A22" s="1633" t="s">
        <v>1731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6.5">
      <c r="A23" s="1633" t="s">
        <v>1732</v>
      </c>
      <c r="B23" s="1635"/>
      <c r="C23" s="1635"/>
      <c r="D23" s="1635"/>
      <c r="E23" s="1450" t="e">
        <f t="shared" si="0"/>
        <v>#DIV/0!</v>
      </c>
      <c r="F23" s="1450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9.5" thickBot="1">
      <c r="A2" s="1660" t="s">
        <v>1353</v>
      </c>
      <c r="B2" s="1660"/>
      <c r="C2" s="1660"/>
      <c r="D2" s="1660"/>
      <c r="E2" s="1660"/>
      <c r="F2" s="1660"/>
      <c r="G2" s="1660"/>
      <c r="H2" s="1637"/>
      <c r="I2" s="1636"/>
      <c r="X2" s="210"/>
      <c r="AG2" s="182"/>
    </row>
    <row r="3" spans="1:33" ht="13.5">
      <c r="A3" s="1661" t="s">
        <v>1354</v>
      </c>
      <c r="B3" s="1662"/>
      <c r="C3" s="1663"/>
      <c r="D3" s="1664" t="s">
        <v>1355</v>
      </c>
      <c r="E3" s="1662"/>
      <c r="F3" s="1662"/>
      <c r="G3" s="1665"/>
      <c r="H3" s="1637"/>
      <c r="I3" s="1636"/>
      <c r="X3" s="210"/>
      <c r="AG3" s="182"/>
    </row>
    <row r="4" spans="1:33" ht="27">
      <c r="A4" s="1214" t="s">
        <v>1356</v>
      </c>
      <c r="B4" s="1215" t="s">
        <v>1357</v>
      </c>
      <c r="C4" s="1216" t="s">
        <v>1358</v>
      </c>
      <c r="D4" s="1666" t="s">
        <v>1356</v>
      </c>
      <c r="E4" s="1667"/>
      <c r="F4" s="1215" t="s">
        <v>1357</v>
      </c>
      <c r="G4" s="1217" t="s">
        <v>1359</v>
      </c>
      <c r="H4" s="1637"/>
      <c r="I4" s="1636"/>
      <c r="X4" s="210"/>
      <c r="AG4" s="182"/>
    </row>
    <row r="5" spans="1:33" ht="13.5">
      <c r="A5" s="1668" t="s">
        <v>1360</v>
      </c>
      <c r="B5" s="1669">
        <f>主表!F5</f>
        <v>1908</v>
      </c>
      <c r="C5" s="1670" t="s">
        <v>1361</v>
      </c>
      <c r="D5" s="1667" t="s">
        <v>1362</v>
      </c>
      <c r="E5" s="1671"/>
      <c r="F5" s="1218">
        <f>SUM(F6:F10)</f>
        <v>0</v>
      </c>
      <c r="G5" s="1219" t="s">
        <v>1635</v>
      </c>
      <c r="H5" s="1637"/>
      <c r="I5" s="1636"/>
      <c r="X5" s="210"/>
      <c r="AG5" s="182"/>
    </row>
    <row r="6" spans="1:33" ht="27">
      <c r="A6" s="1668"/>
      <c r="B6" s="1669"/>
      <c r="C6" s="1670"/>
      <c r="D6" s="1672" t="s">
        <v>1383</v>
      </c>
      <c r="E6" s="1218" t="s">
        <v>1363</v>
      </c>
      <c r="F6" s="1218">
        <f>主表!F14</f>
        <v>0</v>
      </c>
      <c r="G6" s="1219" t="s">
        <v>1364</v>
      </c>
      <c r="H6" s="1637"/>
      <c r="I6" s="1636"/>
      <c r="X6" s="210"/>
      <c r="AG6" s="182"/>
    </row>
    <row r="7" spans="1:33" ht="13.5">
      <c r="A7" s="1668"/>
      <c r="B7" s="1669"/>
      <c r="C7" s="1670"/>
      <c r="D7" s="1672"/>
      <c r="E7" s="1218" t="s">
        <v>1365</v>
      </c>
      <c r="F7" s="1218">
        <f>主表!F15</f>
        <v>0</v>
      </c>
      <c r="G7" s="1219"/>
      <c r="H7" s="1637"/>
      <c r="I7" s="1636"/>
      <c r="X7" s="210"/>
      <c r="AG7" s="182"/>
    </row>
    <row r="8" spans="1:33" ht="13.5">
      <c r="A8" s="1668"/>
      <c r="B8" s="1669"/>
      <c r="C8" s="1670"/>
      <c r="D8" s="1673" t="s">
        <v>1384</v>
      </c>
      <c r="E8" s="1674"/>
      <c r="F8" s="1218">
        <f>主表!F16</f>
        <v>0</v>
      </c>
      <c r="G8" s="1219" t="str">
        <f>"按建安工程费的"&amp;TEXT(主表!G16,"0.0%")&amp;"计取"</f>
        <v>按建安工程费的0.0%计取</v>
      </c>
      <c r="H8" s="1637"/>
      <c r="I8" s="1636"/>
      <c r="X8" s="210"/>
      <c r="AG8" s="182"/>
    </row>
    <row r="9" spans="1:33" ht="13.5">
      <c r="A9" s="1668"/>
      <c r="B9" s="1669"/>
      <c r="C9" s="1670"/>
      <c r="D9" s="1673" t="s">
        <v>1385</v>
      </c>
      <c r="E9" s="1674"/>
      <c r="F9" s="1218">
        <f>主表!F18</f>
        <v>0</v>
      </c>
      <c r="G9" s="1219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3.5">
      <c r="A10" s="1668"/>
      <c r="B10" s="1669"/>
      <c r="C10" s="1670"/>
      <c r="D10" s="1673" t="s">
        <v>1386</v>
      </c>
      <c r="E10" s="1674"/>
      <c r="F10" s="1218">
        <f>主表!F19</f>
        <v>0</v>
      </c>
      <c r="G10" s="1219" t="str">
        <f>"按建安工程费的"&amp;TEXT(主表!G19,"0.0%")&amp;"计取"</f>
        <v>按建安工程费的0.0%计取</v>
      </c>
      <c r="H10" s="1637"/>
      <c r="I10" s="1636"/>
      <c r="X10" s="210"/>
      <c r="AG10" s="182"/>
    </row>
    <row r="11" spans="1:33" ht="13.5">
      <c r="A11" s="1214" t="s">
        <v>1366</v>
      </c>
      <c r="B11" s="1218">
        <f>主表!F8</f>
        <v>0</v>
      </c>
      <c r="C11" s="1220" t="str">
        <f>"按前期开发成本的"&amp;TEXT(主表!G8,"0.0%")&amp;"计取"</f>
        <v>按前期开发成本的0.0%计取</v>
      </c>
      <c r="D11" s="1667" t="s">
        <v>1367</v>
      </c>
      <c r="E11" s="1671"/>
      <c r="F11" s="1218">
        <f>主表!F20</f>
        <v>0</v>
      </c>
      <c r="G11" s="1219" t="str">
        <f>"按房屋建设成本的"&amp;主表!G20&amp;"计取"</f>
        <v>按房屋建设成本的计取</v>
      </c>
      <c r="H11" s="1637"/>
      <c r="I11" s="1636"/>
      <c r="X11" s="210"/>
      <c r="AG11" s="182"/>
    </row>
    <row r="12" spans="1:33" ht="40.5">
      <c r="A12" s="1214" t="s">
        <v>1368</v>
      </c>
      <c r="B12" s="1218">
        <f ca="1">主表!F9</f>
        <v>0</v>
      </c>
      <c r="C12" s="1221" t="str">
        <f ca="1">"前期开发期为"&amp;主表!B24&amp;"年，贷款利率为"&amp;TEXT(主表!G9,"0.00%")&amp;"，"&amp;主表!H9</f>
        <v>前期开发期为年，贷款利率为3.00%，计息期为年，复利计息</v>
      </c>
      <c r="D12" s="1667" t="s">
        <v>1369</v>
      </c>
      <c r="E12" s="1671"/>
      <c r="F12" s="1218">
        <f ca="1">主表!F21</f>
        <v>0</v>
      </c>
      <c r="G12" s="1219" t="str">
        <f ca="1">"房屋建设期为"&amp;主表!B23&amp;"年，贷款利率为"&amp;TEXT(主表!G21,"0.00%")&amp;"，"&amp;主表!H21</f>
        <v>房屋建设期为年，贷款利率为0.00%，计息期为年，复利计息</v>
      </c>
      <c r="H12" s="1637"/>
      <c r="I12" s="1636"/>
      <c r="X12" s="210"/>
      <c r="AG12" s="182"/>
    </row>
    <row r="13" spans="1:33" ht="27">
      <c r="A13" s="1214" t="s">
        <v>1370</v>
      </c>
      <c r="B13" s="1218">
        <f>主表!F10</f>
        <v>0</v>
      </c>
      <c r="C13" s="1221" t="str">
        <f>"按前期开发成本及其管理费用的"&amp;TEXT(主表!G10,"0%")&amp;"计取"</f>
        <v>按前期开发成本及其管理费用的0%计取</v>
      </c>
      <c r="D13" s="1667" t="s">
        <v>1370</v>
      </c>
      <c r="E13" s="1671"/>
      <c r="F13" s="1218">
        <f>主表!F22</f>
        <v>0</v>
      </c>
      <c r="G13" s="1219" t="str">
        <f>"按房屋建设成本及其管理费用的"&amp;TEXT(主表!G22,"0%")&amp;"计取"</f>
        <v>按房屋建设成本及其管理费用的0%计取</v>
      </c>
      <c r="H13" s="1637"/>
      <c r="I13" s="1636"/>
      <c r="X13" s="210"/>
      <c r="AG13" s="182"/>
    </row>
    <row r="14" spans="1:33" ht="13.5">
      <c r="A14" s="1214" t="s">
        <v>1371</v>
      </c>
      <c r="B14" s="1218">
        <f ca="1">SUM(B5:B13)</f>
        <v>1908</v>
      </c>
      <c r="C14" s="1221" t="s">
        <v>1372</v>
      </c>
      <c r="D14" s="1667" t="s">
        <v>1371</v>
      </c>
      <c r="E14" s="1671"/>
      <c r="F14" s="1218">
        <f ca="1">F5+F11+F12+F13</f>
        <v>0</v>
      </c>
      <c r="G14" s="1219" t="s">
        <v>1372</v>
      </c>
      <c r="H14" s="1637"/>
      <c r="I14" s="1636"/>
      <c r="X14" s="210"/>
      <c r="AG14" s="182"/>
    </row>
    <row r="15" spans="1:33" ht="27.75" thickBot="1">
      <c r="A15" s="1214" t="s">
        <v>1373</v>
      </c>
      <c r="B15" s="1669">
        <f ca="1">主表!F24</f>
        <v>1908</v>
      </c>
      <c r="C15" s="1675"/>
      <c r="D15" s="1673" t="s">
        <v>1374</v>
      </c>
      <c r="E15" s="1674"/>
      <c r="F15" s="1674"/>
      <c r="G15" s="1676"/>
      <c r="H15" s="1637"/>
      <c r="I15" s="1636"/>
      <c r="X15" s="210"/>
      <c r="AG15" s="182"/>
    </row>
    <row r="16" spans="1:33" ht="27.75" thickBot="1">
      <c r="A16" s="1214" t="s">
        <v>1375</v>
      </c>
      <c r="B16" s="1669">
        <f ca="1">主表!F25</f>
        <v>17.38</v>
      </c>
      <c r="C16" s="1675"/>
      <c r="D16" s="1673" t="s">
        <v>1376</v>
      </c>
      <c r="E16" s="1674"/>
      <c r="F16" s="1674"/>
      <c r="G16" s="1676"/>
      <c r="H16" s="1223" t="str">
        <f ca="1">NUMBERSTRING(INT(B16*10000),2)&amp;"元整"</f>
        <v>壹拾柒万叁仟捌佰元整</v>
      </c>
      <c r="I16" s="1224"/>
      <c r="X16" s="210"/>
      <c r="AG16" s="182"/>
    </row>
    <row r="17" spans="1:33" ht="13.5">
      <c r="A17" s="1214" t="s">
        <v>1377</v>
      </c>
      <c r="B17" s="1682" t="e">
        <f>主表!F33</f>
        <v>#DIV/0!</v>
      </c>
      <c r="C17" s="1675"/>
      <c r="D17" s="1673" t="s">
        <v>1378</v>
      </c>
      <c r="E17" s="1674"/>
      <c r="F17" s="1674"/>
      <c r="G17" s="1676"/>
      <c r="H17" s="1637"/>
      <c r="I17" s="1636"/>
      <c r="X17" s="210"/>
      <c r="AG17" s="182"/>
    </row>
    <row r="18" spans="1:33" ht="27.75" thickBot="1">
      <c r="A18" s="1214" t="s">
        <v>1379</v>
      </c>
      <c r="B18" s="1669" t="e">
        <f ca="1">主表!F35</f>
        <v>#DIV/0!</v>
      </c>
      <c r="C18" s="1675"/>
      <c r="D18" s="1673" t="s">
        <v>1380</v>
      </c>
      <c r="E18" s="1674"/>
      <c r="F18" s="1674"/>
      <c r="G18" s="1676"/>
      <c r="H18" s="1637"/>
      <c r="I18" s="1636"/>
      <c r="X18" s="210"/>
      <c r="AG18" s="182"/>
    </row>
    <row r="19" spans="1:33" ht="27.75" thickBot="1">
      <c r="A19" s="1222" t="s">
        <v>1381</v>
      </c>
      <c r="B19" s="1677" t="e">
        <f ca="1">主表!F36</f>
        <v>#DIV/0!</v>
      </c>
      <c r="C19" s="1678"/>
      <c r="D19" s="1679" t="s">
        <v>1382</v>
      </c>
      <c r="E19" s="1680"/>
      <c r="F19" s="1680"/>
      <c r="G19" s="1681"/>
      <c r="H19" s="1223" t="e">
        <f ca="1">NUMBERSTRING(INT(B19*10000),2)&amp;"元整"</f>
        <v>#DIV/0!</v>
      </c>
      <c r="I19" s="1224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7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8" t="s">
        <v>222</v>
      </c>
      <c r="H26" s="216"/>
      <c r="I26" s="216"/>
      <c r="W26" s="210"/>
      <c r="X26" s="210"/>
      <c r="AF26" s="182"/>
      <c r="AG26" s="182"/>
    </row>
    <row r="27" spans="1:33">
      <c r="A27" s="1225" t="s">
        <v>223</v>
      </c>
      <c r="B27" s="1226"/>
      <c r="C27" s="1226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8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8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23" sqref="B23"/>
    </sheetView>
  </sheetViews>
  <sheetFormatPr defaultColWidth="9" defaultRowHeight="15.75" customHeight="1"/>
  <cols>
    <col min="1" max="1" width="25.625" style="1170" customWidth="1"/>
    <col min="2" max="2" width="15.625" style="1099" customWidth="1"/>
    <col min="3" max="3" width="6" style="1099" customWidth="1"/>
    <col min="4" max="4" width="7.75" style="1099" customWidth="1"/>
    <col min="5" max="5" width="22.25" style="1099" customWidth="1"/>
    <col min="6" max="6" width="12.375" style="1099" customWidth="1"/>
    <col min="7" max="7" width="9" style="1099"/>
    <col min="8" max="8" width="29" style="1099" customWidth="1"/>
    <col min="9" max="9" width="27.875" style="1099" customWidth="1"/>
    <col min="10" max="10" width="14.375" style="1099" customWidth="1"/>
    <col min="11" max="12" width="9" style="1099"/>
    <col min="13" max="13" width="2.125" style="1099" customWidth="1"/>
    <col min="14" max="14" width="18.125" style="1099" customWidth="1"/>
    <col min="15" max="15" width="10.875" style="1099" customWidth="1"/>
    <col min="16" max="16" width="17.25" style="1099" customWidth="1"/>
    <col min="17" max="17" width="14" style="1099" customWidth="1"/>
    <col min="18" max="16384" width="9" style="1099"/>
  </cols>
  <sheetData>
    <row r="1" spans="1:18" ht="26.25" customHeight="1" thickBot="1">
      <c r="A1" s="1093" t="s">
        <v>1217</v>
      </c>
      <c r="B1" s="1094"/>
      <c r="C1" s="1095"/>
      <c r="D1" s="1095"/>
      <c r="E1" s="1096"/>
      <c r="F1" s="1095"/>
      <c r="G1" s="1095"/>
      <c r="H1" s="1097"/>
      <c r="I1" s="1098"/>
      <c r="J1" s="1098"/>
      <c r="K1" s="1098"/>
      <c r="L1" s="1098"/>
    </row>
    <row r="2" spans="1:18" ht="15.75" customHeight="1" thickTop="1" thickBot="1">
      <c r="A2" s="1495" t="s">
        <v>1284</v>
      </c>
      <c r="B2" s="1100"/>
      <c r="C2" s="1101"/>
      <c r="D2" s="1688" t="s">
        <v>1275</v>
      </c>
      <c r="E2" s="1689"/>
      <c r="F2" s="1689"/>
      <c r="G2" s="1689"/>
      <c r="H2" s="1690"/>
      <c r="I2" s="1102"/>
      <c r="J2" s="1102"/>
      <c r="K2" s="1098"/>
      <c r="L2" s="1098"/>
      <c r="N2" s="465" t="s">
        <v>1153</v>
      </c>
      <c r="O2" s="451">
        <f>SUMPRODUCT((N6:N12=B20)*(O5:Q5=B21)*(O6:Q12))</f>
        <v>0</v>
      </c>
    </row>
    <row r="3" spans="1:18" ht="15.75" customHeight="1">
      <c r="A3" s="1116" t="s">
        <v>1775</v>
      </c>
      <c r="B3" s="1480">
        <v>38084</v>
      </c>
      <c r="C3" s="1101"/>
      <c r="D3" s="1103" t="s">
        <v>1220</v>
      </c>
      <c r="E3" s="1104" t="s">
        <v>1221</v>
      </c>
      <c r="F3" s="1104" t="s">
        <v>1222</v>
      </c>
      <c r="G3" s="1104" t="s">
        <v>1289</v>
      </c>
      <c r="H3" s="1105" t="s">
        <v>1281</v>
      </c>
      <c r="I3" s="1106"/>
      <c r="J3" s="1107"/>
      <c r="K3" s="1098"/>
      <c r="L3" s="1098"/>
      <c r="N3" s="452" t="s">
        <v>1266</v>
      </c>
      <c r="O3" s="1313">
        <f>IF(B22="",O2,YEAR(B3)-B22)</f>
        <v>-1</v>
      </c>
    </row>
    <row r="4" spans="1:18" ht="15.75" customHeight="1">
      <c r="A4" s="1128" t="s">
        <v>1776</v>
      </c>
      <c r="B4" s="1480">
        <f>B3</f>
        <v>38084</v>
      </c>
      <c r="C4" s="1101"/>
      <c r="D4" s="1108" t="s">
        <v>1276</v>
      </c>
      <c r="E4" s="1109" t="s">
        <v>1569</v>
      </c>
      <c r="F4" s="1110">
        <f ca="1">F5+F8+F9+F10</f>
        <v>1908</v>
      </c>
      <c r="G4" s="1111"/>
      <c r="H4" s="1112" t="s">
        <v>1223</v>
      </c>
      <c r="I4" s="1113"/>
      <c r="J4" s="1098"/>
      <c r="K4" s="1098"/>
      <c r="L4" s="1098"/>
      <c r="N4" s="452" t="s">
        <v>1265</v>
      </c>
      <c r="O4" s="466">
        <f>SUMIF(N6:N12,B20,R6:R12)</f>
        <v>0</v>
      </c>
      <c r="P4" s="1114"/>
      <c r="Q4" s="1114"/>
    </row>
    <row r="5" spans="1:18" ht="15.75" customHeight="1">
      <c r="A5" s="1481"/>
      <c r="B5" s="1100"/>
      <c r="C5" s="1101"/>
      <c r="D5" s="1115">
        <v>1</v>
      </c>
      <c r="E5" s="1116" t="s">
        <v>1570</v>
      </c>
      <c r="F5" s="963">
        <f>IF(B4&lt;DATE(2002,12,10),F6,F6-F7)</f>
        <v>1908</v>
      </c>
      <c r="G5" s="1117"/>
      <c r="H5" s="1118" t="s">
        <v>1286</v>
      </c>
      <c r="I5" s="1113"/>
      <c r="J5" s="1098"/>
      <c r="K5" s="1098"/>
      <c r="L5" s="1098"/>
      <c r="N5" s="464" t="s">
        <v>1152</v>
      </c>
      <c r="O5" s="1119" t="s">
        <v>1147</v>
      </c>
      <c r="P5" s="1119" t="s">
        <v>1149</v>
      </c>
      <c r="Q5" s="1119" t="s">
        <v>1145</v>
      </c>
      <c r="R5" s="1119" t="s">
        <v>1260</v>
      </c>
    </row>
    <row r="6" spans="1:18" ht="15.75" customHeight="1">
      <c r="A6" s="1128" t="s">
        <v>1762</v>
      </c>
      <c r="B6" s="1482"/>
      <c r="C6" s="1101"/>
      <c r="D6" s="1120" t="s">
        <v>1268</v>
      </c>
      <c r="E6" s="1116" t="s">
        <v>1224</v>
      </c>
      <c r="F6" s="963">
        <f>IF(B4&lt;DATE(2002,12,10),'1993基准地价'!B3,IF(B4&gt;=DATE(2014,8,28),'2014基准地价'!B3,'2002基准地价'!B3))</f>
        <v>2246</v>
      </c>
      <c r="G6" s="1117"/>
      <c r="H6" s="1121" t="str">
        <f>"采用"&amp;IF(B4&lt;DATE(2002,12,10),"1993版",IF(B4&gt;=DATE(2014,8,28),"2014版","2002版"))&amp;"基准地价系数修正法计算"</f>
        <v>采用2002版基准地价系数修正法计算</v>
      </c>
      <c r="I6" s="1449" t="s">
        <v>1564</v>
      </c>
      <c r="J6" s="1098"/>
      <c r="K6" s="1098"/>
      <c r="L6" s="1098"/>
      <c r="N6" s="464" t="s">
        <v>1154</v>
      </c>
      <c r="O6" s="1123">
        <v>70</v>
      </c>
      <c r="P6" s="1123">
        <v>50</v>
      </c>
      <c r="Q6" s="1123">
        <v>80</v>
      </c>
      <c r="R6" s="1124">
        <v>0</v>
      </c>
    </row>
    <row r="7" spans="1:18" ht="15.75" customHeight="1">
      <c r="A7" s="1128" t="s">
        <v>1763</v>
      </c>
      <c r="B7" s="1482">
        <v>91.09</v>
      </c>
      <c r="C7" s="1101"/>
      <c r="D7" s="1120" t="s">
        <v>1269</v>
      </c>
      <c r="E7" s="1116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338</v>
      </c>
      <c r="G7" s="1125"/>
      <c r="H7" s="1266"/>
      <c r="I7" s="1126" t="s">
        <v>1557</v>
      </c>
      <c r="J7" s="1098"/>
      <c r="K7" s="1098"/>
      <c r="L7" s="1098"/>
      <c r="N7" s="464" t="s">
        <v>1155</v>
      </c>
      <c r="O7" s="1123">
        <v>50</v>
      </c>
      <c r="P7" s="1123">
        <v>35</v>
      </c>
      <c r="Q7" s="1123">
        <v>60</v>
      </c>
      <c r="R7" s="1124">
        <v>0</v>
      </c>
    </row>
    <row r="8" spans="1:18" ht="15.75" customHeight="1">
      <c r="A8" s="1128" t="s">
        <v>1764</v>
      </c>
      <c r="B8" s="1483" t="e">
        <f>ROUND(B7/B6,2)</f>
        <v>#DIV/0!</v>
      </c>
      <c r="C8" s="1101"/>
      <c r="D8" s="1127">
        <v>2</v>
      </c>
      <c r="E8" s="1128" t="s">
        <v>1227</v>
      </c>
      <c r="F8" s="1129">
        <f>ROUND(F5*G8,0)</f>
        <v>0</v>
      </c>
      <c r="G8" s="605"/>
      <c r="H8" s="1130"/>
      <c r="I8" s="1113" t="s">
        <v>1285</v>
      </c>
      <c r="J8" s="1098"/>
      <c r="K8" s="1098"/>
      <c r="L8" s="1098"/>
      <c r="N8" s="464" t="s">
        <v>1156</v>
      </c>
      <c r="O8" s="1123">
        <v>40</v>
      </c>
      <c r="P8" s="1123">
        <v>30</v>
      </c>
      <c r="Q8" s="1123">
        <v>50</v>
      </c>
      <c r="R8" s="1124">
        <v>0.02</v>
      </c>
    </row>
    <row r="9" spans="1:18" ht="15.75" customHeight="1">
      <c r="A9" s="1128" t="s">
        <v>1765</v>
      </c>
      <c r="B9" s="1482">
        <v>3.3</v>
      </c>
      <c r="C9" s="1101"/>
      <c r="D9" s="1127">
        <v>3</v>
      </c>
      <c r="E9" s="1128" t="s">
        <v>1228</v>
      </c>
      <c r="F9" s="1129">
        <f ca="1">ROUND(F5*(POWER((1+G9),B24)-1)+F8*(POWER((1+G9),B24/2)-1),0)</f>
        <v>0</v>
      </c>
      <c r="G9" s="1131">
        <f ca="1">存贷款利率!G2</f>
        <v>0.03</v>
      </c>
      <c r="H9" s="1132" t="str">
        <f>"计息期为"&amp;B24&amp;"年，"&amp;"复利计息"</f>
        <v>计息期为年，复利计息</v>
      </c>
      <c r="I9" s="1133"/>
      <c r="J9" s="1134"/>
      <c r="K9" s="1098"/>
      <c r="L9" s="1098"/>
      <c r="N9" s="464" t="s">
        <v>1261</v>
      </c>
      <c r="O9" s="1123">
        <v>30</v>
      </c>
      <c r="P9" s="1123">
        <v>20</v>
      </c>
      <c r="Q9" s="1123">
        <v>40</v>
      </c>
      <c r="R9" s="1124">
        <v>0.06</v>
      </c>
    </row>
    <row r="10" spans="1:18" ht="15.75" customHeight="1" thickBot="1">
      <c r="A10" s="1128" t="s">
        <v>1766</v>
      </c>
      <c r="B10" s="1655" t="s">
        <v>663</v>
      </c>
      <c r="C10" s="1101"/>
      <c r="D10" s="1135">
        <v>4</v>
      </c>
      <c r="E10" s="1136" t="s">
        <v>1229</v>
      </c>
      <c r="F10" s="1137">
        <f>ROUND((F5+F8)*G10,0)</f>
        <v>0</v>
      </c>
      <c r="G10" s="468"/>
      <c r="H10" s="1138" t="s">
        <v>1231</v>
      </c>
      <c r="I10" s="1139" t="s">
        <v>1230</v>
      </c>
      <c r="J10" s="1140"/>
      <c r="K10" s="1098"/>
      <c r="L10" s="1098"/>
      <c r="N10" s="464" t="s">
        <v>1262</v>
      </c>
      <c r="O10" s="1123">
        <v>30</v>
      </c>
      <c r="P10" s="1123">
        <v>20</v>
      </c>
      <c r="Q10" s="1123">
        <v>40</v>
      </c>
      <c r="R10" s="1124">
        <v>0.04</v>
      </c>
    </row>
    <row r="11" spans="1:18" ht="15.75" customHeight="1" thickTop="1">
      <c r="A11" s="1128" t="s">
        <v>1767</v>
      </c>
      <c r="B11" s="1484"/>
      <c r="C11" s="1101"/>
      <c r="D11" s="1141" t="s">
        <v>1282</v>
      </c>
      <c r="E11" s="1142" t="s">
        <v>1571</v>
      </c>
      <c r="F11" s="1110">
        <f ca="1">F12+F20+F21+F22</f>
        <v>0</v>
      </c>
      <c r="G11" s="1143"/>
      <c r="H11" s="1144" t="s">
        <v>1232</v>
      </c>
      <c r="I11" s="1113"/>
      <c r="J11" s="1098"/>
      <c r="K11" s="1098"/>
      <c r="L11" s="1098"/>
      <c r="N11" s="464" t="s">
        <v>1263</v>
      </c>
      <c r="O11" s="1123">
        <v>30</v>
      </c>
      <c r="P11" s="1123">
        <v>20</v>
      </c>
      <c r="Q11" s="1123">
        <v>40</v>
      </c>
      <c r="R11" s="1124">
        <v>0.03</v>
      </c>
    </row>
    <row r="12" spans="1:18" ht="15.75" customHeight="1">
      <c r="A12" s="1128" t="s">
        <v>1768</v>
      </c>
      <c r="B12" s="1485" t="s">
        <v>1794</v>
      </c>
      <c r="C12" s="1101"/>
      <c r="D12" s="1127">
        <v>1</v>
      </c>
      <c r="E12" s="1128" t="s">
        <v>1572</v>
      </c>
      <c r="F12" s="1129">
        <f>F13+F16+F17</f>
        <v>0</v>
      </c>
      <c r="G12" s="1145"/>
      <c r="H12" s="1146" t="s">
        <v>1287</v>
      </c>
      <c r="I12" s="1113"/>
      <c r="J12" s="1098"/>
      <c r="K12" s="1098"/>
      <c r="L12" s="1098"/>
      <c r="N12" s="464" t="s">
        <v>1264</v>
      </c>
      <c r="O12" s="1123">
        <v>10</v>
      </c>
      <c r="P12" s="1123">
        <v>10</v>
      </c>
      <c r="Q12" s="1123">
        <v>10</v>
      </c>
      <c r="R12" s="1124">
        <v>0</v>
      </c>
    </row>
    <row r="13" spans="1:18" ht="15.75" customHeight="1">
      <c r="A13" s="1128" t="s">
        <v>1769</v>
      </c>
      <c r="B13" s="1486">
        <v>70</v>
      </c>
      <c r="C13" s="1101"/>
      <c r="D13" s="1120" t="s">
        <v>1268</v>
      </c>
      <c r="E13" s="1128" t="s">
        <v>1233</v>
      </c>
      <c r="F13" s="1129">
        <f>F14+F15</f>
        <v>0</v>
      </c>
      <c r="G13" s="1145"/>
      <c r="H13" s="1146" t="s">
        <v>1288</v>
      </c>
      <c r="I13" s="1113"/>
      <c r="J13" s="1098"/>
      <c r="K13" s="1098"/>
      <c r="L13" s="1098"/>
    </row>
    <row r="14" spans="1:18" ht="15.75" customHeight="1">
      <c r="A14" s="1128" t="s">
        <v>1770</v>
      </c>
      <c r="B14" s="1487"/>
      <c r="C14" s="1101"/>
      <c r="D14" s="1127" t="s">
        <v>1271</v>
      </c>
      <c r="E14" s="1128" t="s">
        <v>1234</v>
      </c>
      <c r="F14" s="469"/>
      <c r="G14" s="1147"/>
      <c r="H14" s="1121"/>
      <c r="I14" s="1113"/>
      <c r="J14" s="1098"/>
      <c r="K14" s="1098"/>
      <c r="L14" s="1098"/>
    </row>
    <row r="15" spans="1:18" ht="15.75" customHeight="1">
      <c r="A15" s="1128" t="s">
        <v>1771</v>
      </c>
      <c r="B15" s="1488">
        <f>IF(B14="",B13-(YEAR($B$4)-B22+B23+B24),ROUNDDOWN(MIN((B14-$B$4)/365,B13),2))</f>
        <v>71</v>
      </c>
      <c r="C15" s="1101"/>
      <c r="D15" s="1127" t="s">
        <v>1272</v>
      </c>
      <c r="E15" s="1128" t="s">
        <v>1235</v>
      </c>
      <c r="F15" s="469"/>
      <c r="G15" s="1147"/>
      <c r="H15" s="1121"/>
      <c r="I15" s="1113"/>
      <c r="J15" s="1098"/>
      <c r="K15" s="1098"/>
      <c r="L15" s="1098"/>
    </row>
    <row r="16" spans="1:18" ht="15.75" customHeight="1">
      <c r="A16" s="1128" t="s">
        <v>1772</v>
      </c>
      <c r="B16" s="1482">
        <v>70</v>
      </c>
      <c r="C16" s="1101"/>
      <c r="D16" s="1120" t="s">
        <v>1269</v>
      </c>
      <c r="E16" s="1128" t="s">
        <v>1236</v>
      </c>
      <c r="F16" s="963">
        <f>ROUND(F13*G16,0)</f>
        <v>0</v>
      </c>
      <c r="G16" s="467"/>
      <c r="H16" s="1149" t="s">
        <v>1238</v>
      </c>
      <c r="I16" s="1133" t="s">
        <v>1237</v>
      </c>
      <c r="J16" s="1098"/>
      <c r="K16" s="1098"/>
      <c r="L16" s="1098"/>
    </row>
    <row r="17" spans="1:18" ht="15.75" customHeight="1">
      <c r="A17" s="1128" t="s">
        <v>1773</v>
      </c>
      <c r="B17" s="1489">
        <f>IF(B4&lt;DATE(2002,12,10),'1993基准地价'!C23,IF(B4&gt;=DATE(2014,8,28),'2014基准地价'!G20,'2002基准地价'!E10))</f>
        <v>0.04</v>
      </c>
      <c r="C17" s="1101"/>
      <c r="D17" s="1120" t="s">
        <v>1270</v>
      </c>
      <c r="E17" s="1128" t="s">
        <v>1239</v>
      </c>
      <c r="F17" s="1129">
        <f>F18+F19</f>
        <v>0</v>
      </c>
      <c r="G17" s="1145"/>
      <c r="H17" s="1146" t="s">
        <v>1288</v>
      </c>
      <c r="I17" s="1098"/>
      <c r="J17" s="1098"/>
      <c r="K17" s="1098"/>
      <c r="L17" s="1098"/>
    </row>
    <row r="18" spans="1:18" ht="15.75" customHeight="1">
      <c r="A18" s="1128" t="s">
        <v>1774</v>
      </c>
      <c r="B18" s="1490">
        <f>IF(ISERROR(ROUND(POWER(1+B17,B13-B15)*(POWER(1+B17,B15)-1)/(POWER(1+B17,B13)-1),3)),0,ROUND(POWER(1+B17,B13-B15)*(POWER(1+B17,B15)-1)/(POWER(1+B17,B13)-1),3))</f>
        <v>1.0029999999999999</v>
      </c>
      <c r="C18" s="1101"/>
      <c r="D18" s="1127" t="s">
        <v>1273</v>
      </c>
      <c r="E18" s="1128" t="s">
        <v>1283</v>
      </c>
      <c r="F18" s="963">
        <f>ROUND(IF(B12="住宅/居住",F13*G18,0),0)</f>
        <v>0</v>
      </c>
      <c r="G18" s="467"/>
      <c r="H18" s="1149" t="s">
        <v>1238</v>
      </c>
      <c r="I18" s="1133" t="s">
        <v>1240</v>
      </c>
      <c r="J18" s="1098" t="s">
        <v>1267</v>
      </c>
      <c r="K18" s="1098"/>
      <c r="L18" s="1098"/>
    </row>
    <row r="19" spans="1:18" ht="15.75" customHeight="1">
      <c r="A19" s="1113"/>
      <c r="B19" s="1098"/>
      <c r="C19" s="1101"/>
      <c r="D19" s="1127" t="s">
        <v>1274</v>
      </c>
      <c r="E19" s="1128" t="s">
        <v>1241</v>
      </c>
      <c r="F19" s="963">
        <f>ROUND(F13*G19,0)</f>
        <v>0</v>
      </c>
      <c r="G19" s="467"/>
      <c r="H19" s="1149" t="s">
        <v>1238</v>
      </c>
      <c r="I19" s="1133" t="s">
        <v>1242</v>
      </c>
      <c r="J19" s="1098"/>
      <c r="K19" s="1098"/>
      <c r="L19" s="1098"/>
    </row>
    <row r="20" spans="1:18" ht="15.75" customHeight="1">
      <c r="A20" s="1128" t="s">
        <v>1777</v>
      </c>
      <c r="B20" s="1491"/>
      <c r="C20" s="1101"/>
      <c r="D20" s="1127">
        <v>2</v>
      </c>
      <c r="E20" s="1128" t="s">
        <v>1227</v>
      </c>
      <c r="F20" s="1129">
        <f>ROUND(F12*G20,0)</f>
        <v>0</v>
      </c>
      <c r="G20" s="605"/>
      <c r="H20" s="1121"/>
      <c r="I20" s="1133" t="s">
        <v>1243</v>
      </c>
      <c r="J20" s="1098"/>
      <c r="K20" s="1098"/>
      <c r="L20" s="1098"/>
    </row>
    <row r="21" spans="1:18" ht="15.75" customHeight="1">
      <c r="A21" s="1128" t="s">
        <v>1778</v>
      </c>
      <c r="B21" s="1492"/>
      <c r="C21" s="1101"/>
      <c r="D21" s="1300">
        <v>3</v>
      </c>
      <c r="E21" s="1301" t="s">
        <v>1573</v>
      </c>
      <c r="F21" s="1302">
        <f ca="1">ROUND((F12+F20)*(POWER((1+G21),B23/2)-1),0)</f>
        <v>0</v>
      </c>
      <c r="G21" s="1303">
        <f ca="1">存贷款利率!G1</f>
        <v>0</v>
      </c>
      <c r="H21" s="1132" t="str">
        <f>"计息期为"&amp;B23&amp;"年，"&amp;"复利计息"</f>
        <v>计息期为年，复利计息</v>
      </c>
      <c r="I21" s="1122"/>
      <c r="J21" s="1106"/>
      <c r="K21" s="1098"/>
      <c r="L21" s="1098"/>
    </row>
    <row r="22" spans="1:18" ht="15.75" customHeight="1" thickBot="1">
      <c r="A22" s="1128" t="s">
        <v>1779</v>
      </c>
      <c r="B22" s="1493">
        <v>2005</v>
      </c>
      <c r="C22" s="1101"/>
      <c r="D22" s="1135">
        <v>4</v>
      </c>
      <c r="E22" s="1136" t="s">
        <v>1574</v>
      </c>
      <c r="F22" s="1137">
        <f>ROUND((F12+F20)*G22,0)</f>
        <v>0</v>
      </c>
      <c r="G22" s="468"/>
      <c r="H22" s="1138" t="s">
        <v>1231</v>
      </c>
      <c r="I22" s="1122" t="str">
        <f>IF(B12="商业","商业用途35%-50%",IF(B12="工业","工业用途18%-28%",IF(B12="办公/综合","办公用途25%-40%","居住用途30%-50%")))</f>
        <v>居住用途30%-50%</v>
      </c>
      <c r="J22" s="1098"/>
      <c r="K22" s="1098"/>
      <c r="L22" s="1098"/>
    </row>
    <row r="23" spans="1:18" ht="15.75" customHeight="1" thickTop="1">
      <c r="A23" s="1128" t="s">
        <v>1780</v>
      </c>
      <c r="B23" s="1494"/>
      <c r="C23" s="1098"/>
      <c r="D23" s="1141" t="s">
        <v>1575</v>
      </c>
      <c r="E23" s="1142" t="s">
        <v>1244</v>
      </c>
      <c r="F23" s="1110"/>
      <c r="G23" s="1150"/>
      <c r="H23" s="1151"/>
      <c r="I23" s="1152"/>
      <c r="J23" s="1098"/>
      <c r="K23" s="1098"/>
      <c r="L23" s="1098"/>
    </row>
    <row r="24" spans="1:18" ht="15.75" customHeight="1">
      <c r="A24" s="1128" t="s">
        <v>1781</v>
      </c>
      <c r="B24" s="1494"/>
      <c r="C24" s="1098"/>
      <c r="D24" s="1115">
        <v>1</v>
      </c>
      <c r="E24" s="1116" t="s">
        <v>1245</v>
      </c>
      <c r="F24" s="963">
        <f ca="1">F4+F11</f>
        <v>1908</v>
      </c>
      <c r="G24" s="1153"/>
      <c r="H24" s="1130"/>
      <c r="I24" s="1152"/>
      <c r="J24" s="1098"/>
      <c r="K24" s="1098"/>
      <c r="L24" s="1098"/>
    </row>
    <row r="25" spans="1:18" ht="15.75" customHeight="1" thickBot="1">
      <c r="A25" s="1148"/>
      <c r="B25" s="1098"/>
      <c r="C25" s="1098"/>
      <c r="D25" s="1154">
        <v>2</v>
      </c>
      <c r="E25" s="1155" t="s">
        <v>1246</v>
      </c>
      <c r="F25" s="1156">
        <f ca="1">ROUND(F24*B7/10000,4)</f>
        <v>17.38</v>
      </c>
      <c r="G25" s="1157"/>
      <c r="H25" s="1158"/>
      <c r="I25" s="1152"/>
      <c r="J25" s="1098"/>
      <c r="K25" s="1098"/>
      <c r="L25" s="1098"/>
    </row>
    <row r="26" spans="1:18" ht="15.75" customHeight="1" thickBot="1">
      <c r="A26" s="1148"/>
      <c r="B26" s="1098"/>
      <c r="C26" s="1098"/>
      <c r="D26" s="1691" t="s">
        <v>1277</v>
      </c>
      <c r="E26" s="1692"/>
      <c r="F26" s="1692"/>
      <c r="G26" s="1692"/>
      <c r="H26" s="1693"/>
      <c r="I26" s="1113"/>
      <c r="J26" s="1102"/>
      <c r="K26" s="1098"/>
      <c r="L26" s="1098"/>
    </row>
    <row r="27" spans="1:18" ht="15.75" customHeight="1">
      <c r="A27" s="1148"/>
      <c r="B27" s="1098"/>
      <c r="C27" s="1098"/>
      <c r="D27" s="1159" t="s">
        <v>1220</v>
      </c>
      <c r="E27" s="1160" t="s">
        <v>1226</v>
      </c>
      <c r="F27" s="1104" t="s">
        <v>1247</v>
      </c>
      <c r="G27" s="1104" t="s">
        <v>1248</v>
      </c>
      <c r="H27" s="1161"/>
      <c r="I27" s="1180"/>
      <c r="J27" s="1106"/>
      <c r="K27" s="1098"/>
      <c r="L27" s="1098"/>
    </row>
    <row r="28" spans="1:18" ht="15.75" customHeight="1" thickBot="1">
      <c r="A28" s="1148"/>
      <c r="B28" s="1098"/>
      <c r="C28" s="1098"/>
      <c r="D28" s="1115" t="s">
        <v>1276</v>
      </c>
      <c r="E28" s="1116" t="s">
        <v>1249</v>
      </c>
      <c r="F28" s="1162" t="e">
        <f>ROUND(IF(AND(B12&lt;&gt;"住宅/居住",B13&lt;O2),1-(1-O4)*O3/B13,1-(1-O4)*O3/O2),2)</f>
        <v>#DIV/0!</v>
      </c>
      <c r="G28" s="470"/>
      <c r="H28" s="1163"/>
      <c r="I28" s="1113" t="s">
        <v>1250</v>
      </c>
      <c r="J28" s="1098"/>
      <c r="K28" s="1098"/>
      <c r="L28" s="1098"/>
    </row>
    <row r="29" spans="1:18" ht="15.75" customHeight="1">
      <c r="A29" s="1148"/>
      <c r="B29" s="1098"/>
      <c r="C29" s="1098"/>
      <c r="D29" s="1115" t="s">
        <v>1278</v>
      </c>
      <c r="E29" s="1116" t="s">
        <v>1251</v>
      </c>
      <c r="F29" s="1162">
        <f>ROUND((F30*G30+F31*G31+F32*G32)/100,2)</f>
        <v>0</v>
      </c>
      <c r="G29" s="1162">
        <f>1-G28</f>
        <v>1</v>
      </c>
      <c r="H29" s="1121"/>
      <c r="I29" s="1113"/>
      <c r="J29" s="1098"/>
      <c r="K29" s="1098"/>
      <c r="L29" s="1098"/>
      <c r="N29" s="1319"/>
      <c r="O29" s="1320" t="s">
        <v>1579</v>
      </c>
      <c r="P29" s="1320" t="s">
        <v>1580</v>
      </c>
      <c r="Q29" s="1320" t="s">
        <v>1581</v>
      </c>
      <c r="R29" s="1321" t="s">
        <v>1582</v>
      </c>
    </row>
    <row r="30" spans="1:18" ht="15.75" customHeight="1">
      <c r="A30" s="1148"/>
      <c r="B30" s="1098"/>
      <c r="C30" s="1098"/>
      <c r="D30" s="1115">
        <v>1</v>
      </c>
      <c r="E30" s="1164" t="s">
        <v>1252</v>
      </c>
      <c r="F30" s="471"/>
      <c r="G30" s="1162">
        <f>IF(ISNUMBER(FIND("砖木",B20)),O30,SUMPRODUCT((N30:N32=E30)*(O29:R29=B20)*(O30:R32)))</f>
        <v>0</v>
      </c>
      <c r="H30" s="1163"/>
      <c r="I30" s="1683" t="s">
        <v>1583</v>
      </c>
      <c r="J30" s="1314"/>
      <c r="K30" s="1098"/>
      <c r="L30" s="1098"/>
      <c r="N30" s="1322" t="s">
        <v>1576</v>
      </c>
      <c r="O30" s="1323">
        <v>0.2</v>
      </c>
      <c r="P30" s="1323">
        <v>0.2</v>
      </c>
      <c r="Q30" s="1323">
        <v>0.2</v>
      </c>
      <c r="R30" s="1324">
        <v>0.25</v>
      </c>
    </row>
    <row r="31" spans="1:18" ht="15.75" customHeight="1">
      <c r="A31" s="1148"/>
      <c r="B31" s="1098"/>
      <c r="C31" s="1098"/>
      <c r="D31" s="1115">
        <v>2</v>
      </c>
      <c r="E31" s="1164" t="s">
        <v>1253</v>
      </c>
      <c r="F31" s="963">
        <f>F30</f>
        <v>0</v>
      </c>
      <c r="G31" s="1162">
        <f>IF(ISNUMBER(FIND("砖木",B20)),O31,SUMPRODUCT((N30:N32=E31)*(O29:R29=B20)*(O30:R32)))</f>
        <v>0</v>
      </c>
      <c r="H31" s="1163"/>
      <c r="I31" s="1683"/>
      <c r="J31" s="1314"/>
      <c r="K31" s="1098"/>
      <c r="L31" s="1098"/>
      <c r="N31" s="1322" t="s">
        <v>1577</v>
      </c>
      <c r="O31" s="1323">
        <v>0.55000000000000004</v>
      </c>
      <c r="P31" s="1323">
        <v>0.45</v>
      </c>
      <c r="Q31" s="1323">
        <v>0.5</v>
      </c>
      <c r="R31" s="1324">
        <v>0.55000000000000004</v>
      </c>
    </row>
    <row r="32" spans="1:18" ht="15.75" customHeight="1">
      <c r="A32" s="1148"/>
      <c r="B32" s="1098"/>
      <c r="C32" s="1098"/>
      <c r="D32" s="1115">
        <v>3</v>
      </c>
      <c r="E32" s="1164" t="s">
        <v>1254</v>
      </c>
      <c r="F32" s="963">
        <f>F31</f>
        <v>0</v>
      </c>
      <c r="G32" s="1162">
        <f>IF(ISNUMBER(FIND("砖木",B20)),O32,SUMPRODUCT((N30:N32=E32)*(O29:R29=B20)*(O30:R32)))</f>
        <v>0</v>
      </c>
      <c r="H32" s="1163"/>
      <c r="I32" s="1683"/>
      <c r="J32" s="1314"/>
      <c r="K32" s="1098"/>
      <c r="L32" s="1098"/>
      <c r="N32" s="1322" t="s">
        <v>1578</v>
      </c>
      <c r="O32" s="1323">
        <v>0.25</v>
      </c>
      <c r="P32" s="1323">
        <v>0.35</v>
      </c>
      <c r="Q32" s="1323">
        <v>0.3</v>
      </c>
      <c r="R32" s="1324">
        <v>0.2</v>
      </c>
    </row>
    <row r="33" spans="1:18" ht="15.75" customHeight="1" thickBot="1">
      <c r="A33" s="1148"/>
      <c r="B33" s="1098"/>
      <c r="C33" s="1098"/>
      <c r="D33" s="1165" t="s">
        <v>1279</v>
      </c>
      <c r="E33" s="1155" t="s">
        <v>1255</v>
      </c>
      <c r="F33" s="1166" t="e">
        <f>ROUND(F28*G28+F29*G29,2)</f>
        <v>#DIV/0!</v>
      </c>
      <c r="G33" s="1157"/>
      <c r="H33" s="1158"/>
      <c r="I33" s="1098"/>
      <c r="J33" s="1098"/>
      <c r="K33" s="1098"/>
      <c r="L33" s="1098"/>
      <c r="N33" s="1325"/>
      <c r="O33" s="1400">
        <f>SUM(O30:O32)</f>
        <v>1</v>
      </c>
      <c r="P33" s="1400">
        <f t="shared" ref="P33:R33" si="0">SUM(P30:P32)</f>
        <v>1</v>
      </c>
      <c r="Q33" s="1400">
        <f t="shared" si="0"/>
        <v>1</v>
      </c>
      <c r="R33" s="1401">
        <f t="shared" si="0"/>
        <v>1</v>
      </c>
    </row>
    <row r="34" spans="1:18" ht="15.75" customHeight="1" thickBot="1">
      <c r="A34" s="1148"/>
      <c r="B34" s="1098"/>
      <c r="C34" s="1098"/>
      <c r="D34" s="1691" t="s">
        <v>1280</v>
      </c>
      <c r="E34" s="1692"/>
      <c r="F34" s="1692"/>
      <c r="G34" s="1692"/>
      <c r="H34" s="1693"/>
      <c r="I34" s="1102"/>
      <c r="J34" s="1102"/>
      <c r="K34" s="1098"/>
      <c r="L34" s="1098"/>
    </row>
    <row r="35" spans="1:18" ht="15.75" customHeight="1">
      <c r="A35" s="1148"/>
      <c r="B35" s="1098"/>
      <c r="C35" s="1098"/>
      <c r="D35" s="1115" t="s">
        <v>1276</v>
      </c>
      <c r="E35" s="1167" t="s">
        <v>1256</v>
      </c>
      <c r="F35" s="1168" t="e">
        <f ca="1">ROUND(F24*F33,0)</f>
        <v>#DIV/0!</v>
      </c>
      <c r="G35" s="1684" t="s">
        <v>1257</v>
      </c>
      <c r="H35" s="1685"/>
      <c r="I35" s="1107"/>
      <c r="J35" s="1107"/>
      <c r="K35" s="1098"/>
      <c r="L35" s="1098"/>
    </row>
    <row r="36" spans="1:18" ht="15.75" customHeight="1" thickBot="1">
      <c r="A36" s="1148"/>
      <c r="B36" s="1098"/>
      <c r="C36" s="1098"/>
      <c r="D36" s="1154" t="s">
        <v>1278</v>
      </c>
      <c r="E36" s="1155" t="s">
        <v>1258</v>
      </c>
      <c r="F36" s="1169" t="e">
        <f ca="1">ROUND(F25*F33,4)</f>
        <v>#DIV/0!</v>
      </c>
      <c r="G36" s="1686" t="s">
        <v>1259</v>
      </c>
      <c r="H36" s="1687"/>
      <c r="I36" s="1107"/>
      <c r="J36" s="1107"/>
      <c r="K36" s="1098"/>
      <c r="L36" s="1098"/>
    </row>
    <row r="37" spans="1:18" ht="15.75" customHeight="1">
      <c r="A37" s="1148"/>
      <c r="B37" s="1098"/>
    </row>
    <row r="38" spans="1:18" ht="15.75" customHeight="1">
      <c r="A38" s="1148"/>
      <c r="B38" s="1098"/>
    </row>
    <row r="39" spans="1:18" ht="15.75" customHeight="1">
      <c r="A39" s="1148"/>
      <c r="B39" s="1098"/>
    </row>
    <row r="43" spans="1:18" ht="15.75" customHeight="1">
      <c r="N43" s="1171"/>
      <c r="O43" s="1171"/>
    </row>
    <row r="44" spans="1:18" ht="15.75" customHeight="1">
      <c r="N44" s="1171"/>
      <c r="O44" s="1171"/>
    </row>
    <row r="45" spans="1:18" ht="15.75" customHeight="1">
      <c r="N45" s="1171"/>
      <c r="O45" s="1171"/>
    </row>
    <row r="46" spans="1:18" ht="15.75" customHeight="1">
      <c r="N46" s="1171"/>
      <c r="O46" s="1171"/>
    </row>
    <row r="51" spans="1:13" ht="15.75" customHeight="1">
      <c r="G51" s="1176" t="s">
        <v>1204</v>
      </c>
    </row>
    <row r="52" spans="1:13" ht="15.75" customHeight="1">
      <c r="C52" s="1173" t="s">
        <v>1203</v>
      </c>
      <c r="D52" s="1173"/>
      <c r="E52" s="1173"/>
      <c r="F52" s="1173"/>
      <c r="G52" s="1177" t="s">
        <v>1208</v>
      </c>
      <c r="I52" s="1171"/>
      <c r="J52" s="1171"/>
      <c r="K52" s="1171"/>
      <c r="L52" s="1171"/>
      <c r="M52" s="1171"/>
    </row>
    <row r="53" spans="1:13" ht="15.75" customHeight="1">
      <c r="A53" s="1172" t="s">
        <v>1201</v>
      </c>
      <c r="B53" s="1173" t="s">
        <v>1202</v>
      </c>
      <c r="C53" s="1175" t="s">
        <v>1207</v>
      </c>
      <c r="D53" s="1175"/>
      <c r="E53" s="1175"/>
      <c r="F53" s="1175"/>
      <c r="G53" s="1177" t="s">
        <v>1212</v>
      </c>
      <c r="I53" s="1171"/>
      <c r="J53" s="1171"/>
      <c r="K53" s="1171"/>
      <c r="L53" s="1171"/>
      <c r="M53" s="1171"/>
    </row>
    <row r="54" spans="1:13" ht="15.75" customHeight="1">
      <c r="A54" s="1174" t="s">
        <v>1205</v>
      </c>
      <c r="B54" s="1175" t="s">
        <v>1206</v>
      </c>
      <c r="C54" s="1175" t="s">
        <v>1211</v>
      </c>
      <c r="D54" s="1175"/>
      <c r="E54" s="1175"/>
      <c r="F54" s="1175"/>
      <c r="G54" s="1177" t="s">
        <v>1216</v>
      </c>
      <c r="I54" s="1171"/>
      <c r="J54" s="1171"/>
      <c r="K54" s="1171"/>
      <c r="L54" s="1171"/>
      <c r="M54" s="1171"/>
    </row>
    <row r="55" spans="1:13" ht="15.75" customHeight="1">
      <c r="A55" s="1174" t="s">
        <v>1209</v>
      </c>
      <c r="B55" s="1175" t="s">
        <v>1210</v>
      </c>
      <c r="C55" s="1175" t="s">
        <v>1215</v>
      </c>
      <c r="D55" s="1175"/>
      <c r="E55" s="1175"/>
      <c r="F55" s="1175"/>
      <c r="G55" s="1177" t="s">
        <v>1218</v>
      </c>
      <c r="I55" s="1171"/>
      <c r="J55" s="1171"/>
      <c r="K55" s="1171"/>
      <c r="L55" s="1171"/>
      <c r="M55" s="1171"/>
    </row>
    <row r="56" spans="1:13" ht="15.75" customHeight="1">
      <c r="A56" s="1174" t="s">
        <v>1213</v>
      </c>
      <c r="B56" s="1175" t="s">
        <v>1214</v>
      </c>
    </row>
    <row r="57" spans="1:13" ht="15.75" customHeight="1">
      <c r="A57" s="1178"/>
      <c r="B57" s="117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91.09</v>
      </c>
      <c r="E1" s="663" t="s">
        <v>1555</v>
      </c>
      <c r="F1" s="1232"/>
      <c r="G1" s="1402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五级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6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1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5">
        <f>ROUND(C6+C16,0)</f>
        <v>-120</v>
      </c>
      <c r="E5" s="1455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694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695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695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695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695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694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696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696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697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694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03" t="s">
        <v>928</v>
      </c>
      <c r="E16" s="1704"/>
      <c r="F16" s="1703" t="s">
        <v>926</v>
      </c>
      <c r="G16" s="1705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698"/>
      <c r="B17" s="1471" t="s">
        <v>927</v>
      </c>
      <c r="C17" s="1472">
        <f>SUMPRODUCT(('2014修正'!A2:A5=E2)*('2014修正'!B1:M1=G2)*('2014修正'!B2:M5))</f>
        <v>2.5</v>
      </c>
      <c r="D17" s="1473" t="str">
        <f>IF(OR(G2="八级",G2="九级",G2="十级",G2="十一级",G2="十二级"),"五通一平","七通一平")</f>
        <v>七通一平</v>
      </c>
      <c r="E17" s="1476">
        <f>SUMPRODUCT(('2014修正'!B1:M1=G2)*('2014修正'!B15:M15))</f>
        <v>300</v>
      </c>
      <c r="F17" s="1477"/>
      <c r="G17" s="1478">
        <f>SUM(H17:O17)</f>
        <v>0</v>
      </c>
      <c r="H17" s="1474">
        <f>SUMPRODUCT((七通一平=H16)*('2014修正'!B1:M1=G2)*('2014修正'!B6:M14))</f>
        <v>0</v>
      </c>
      <c r="I17" s="1474">
        <f>SUMPRODUCT((七通一平=I16)*('2014修正'!B1:M1=G2)*('2014修正'!B6:M14))</f>
        <v>0</v>
      </c>
      <c r="J17" s="1475">
        <f>SUMPRODUCT((七通一平=J16)*('2014修正'!B1:M1=G2)*('2014修正'!B6:M14))</f>
        <v>0</v>
      </c>
      <c r="K17" s="1474">
        <f>SUMPRODUCT((七通一平=K16)*('2014修正'!B1:M1=G2)*('2014修正'!B6:M14))</f>
        <v>0</v>
      </c>
      <c r="L17" s="1474">
        <f>SUMPRODUCT((七通一平=L16)*('2014修正'!B1:M1=G2)*('2014修正'!B6:M14))</f>
        <v>0</v>
      </c>
      <c r="M17" s="1474">
        <f>SUMPRODUCT((七通一平=M16)*('2014修正'!B1:M1=G2)*('2014修正'!B6:M14))</f>
        <v>0</v>
      </c>
      <c r="N17" s="1474">
        <f>SUMPRODUCT((七通一平=N16)*('2014修正'!B1:M1=G2)*('2014修正'!B6:M14))</f>
        <v>0</v>
      </c>
      <c r="O17" s="1475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2" t="s">
        <v>929</v>
      </c>
      <c r="B18" s="1463" t="s">
        <v>930</v>
      </c>
      <c r="C18" s="1464">
        <f>SUMIF('2014修正'!C18:C39,E3,'2014修正'!E18:E39)</f>
        <v>1</v>
      </c>
      <c r="D18" s="1465"/>
      <c r="E18" s="1466"/>
      <c r="F18" s="1466"/>
      <c r="G18" s="1466"/>
      <c r="H18" s="1466"/>
      <c r="I18" s="1467"/>
      <c r="J18" s="1468"/>
      <c r="K18" s="721"/>
      <c r="L18" s="1469" t="s">
        <v>969</v>
      </c>
      <c r="M18" s="1470">
        <f>ROUNDDOWN(IF(H19&gt;=E19,DATEDIF(E19,H19,"M")/3,DATEDIF(H19,E19,"M")/3),0)</f>
        <v>38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80">
        <f>IF(H19&lt;DATE(2014,8,28),0,ROUND(I19/F19,4))</f>
        <v>0</v>
      </c>
      <c r="D19" s="1383" t="s">
        <v>262</v>
      </c>
      <c r="E19" s="1420">
        <v>41640</v>
      </c>
      <c r="F19" s="1421">
        <f>ROUND(SUMIF(地价!B3:F3,E2,地价!B38:F38),0)</f>
        <v>423</v>
      </c>
      <c r="G19" s="1383" t="s">
        <v>263</v>
      </c>
      <c r="H19" s="1229">
        <f>主表!B4</f>
        <v>38084</v>
      </c>
      <c r="I19" s="1422">
        <f>ROUND(SUMPRODUCT((地价!A5:A38=YEAR(H19)&amp;"-"&amp;ROUNDUP(MONTH(H19)/3,0))*(地价!B3:F3=E2)*(地价!B5:F38)),0)</f>
        <v>0</v>
      </c>
      <c r="J19" s="1423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1">
        <f ca="1">ROUND(POWER(1+G20,J20-I20)*(POWER(1+G20,I20)-1)/(POWER(1+G20,J20)-1),4)</f>
        <v>1.0008999999999999</v>
      </c>
      <c r="D20" s="1384" t="s">
        <v>935</v>
      </c>
      <c r="E20" s="1385">
        <f ca="1">INDIRECT("'存贷款利率'!e"&amp;存贷款利率!$K$4)/100</f>
        <v>5.3099999999999994E-2</v>
      </c>
      <c r="F20" s="1382" t="s">
        <v>936</v>
      </c>
      <c r="G20" s="1386">
        <f ca="1">SUMIF(P18:S18,E2,P20:S20)</f>
        <v>6.0999999999999999E-2</v>
      </c>
      <c r="H20" s="1387" t="s">
        <v>1634</v>
      </c>
      <c r="I20" s="964">
        <f>IF(H20="剩余土地使用年限",主表!B15,主表!B16)</f>
        <v>71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6.6000000000000003E-2</v>
      </c>
      <c r="Q20" s="567">
        <f ca="1">ROUND($E$20*(1+Q19),3)</f>
        <v>6.4000000000000001E-2</v>
      </c>
      <c r="R20" s="567">
        <f ca="1">ROUND($E$20*(1+R19),3)</f>
        <v>6.0999999999999999E-2</v>
      </c>
      <c r="S20" s="882">
        <f ca="1">ROUND($E$20*(1+S19),3)</f>
        <v>5.8000000000000003E-2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7" t="s">
        <v>1481</v>
      </c>
      <c r="D22" s="1377" t="e">
        <f>IF(E22=G22,F22,IF(G3&lt;=10,ROUND(F22+(H22-F22)*(G3-E22)/(G22-E22),4),"——"))</f>
        <v>#DIV/0!</v>
      </c>
      <c r="E22" s="1390" t="e">
        <f>ROUNDDOWN(G3,1)</f>
        <v>#DIV/0!</v>
      </c>
      <c r="F22" s="1391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9" t="e">
        <f>ROUNDUP(G3,1)</f>
        <v>#DIV/0!</v>
      </c>
      <c r="H22" s="137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8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60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0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1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1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2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7" t="s">
        <v>1752</v>
      </c>
      <c r="C41" s="1458">
        <f ca="1">ROUND(POWER(1+E41,H41-G41)*(POWER(1+E41,G41)-1)/(POWER(1+E41,H41)-1),4)</f>
        <v>0</v>
      </c>
      <c r="D41" s="25" t="s">
        <v>1749</v>
      </c>
      <c r="E41" s="1456">
        <f ca="1">G20</f>
        <v>6.0999999999999999E-2</v>
      </c>
      <c r="F41" s="25" t="s">
        <v>1750</v>
      </c>
      <c r="G41" s="1459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1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2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1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2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2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2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699" t="s">
        <v>1159</v>
      </c>
      <c r="B91" s="1699"/>
      <c r="C91" s="1699"/>
      <c r="D91" s="1699"/>
      <c r="E91" s="1699"/>
      <c r="F91" s="1699"/>
      <c r="G91" s="1699"/>
      <c r="H91" s="1699"/>
      <c r="I91" s="1699"/>
      <c r="J91" s="1699"/>
      <c r="K91" s="611"/>
      <c r="L91" s="611"/>
      <c r="M91" s="611"/>
      <c r="N91" s="611"/>
    </row>
    <row r="92" spans="1:37">
      <c r="A92" s="1707" t="s">
        <v>1160</v>
      </c>
      <c r="B92" s="1707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707"/>
      <c r="B93" s="1707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708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709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709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709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709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709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709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710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708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709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709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709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709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709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709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709"/>
      <c r="B109" s="1711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710"/>
      <c r="B110" s="1712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706" t="s">
        <v>1175</v>
      </c>
      <c r="B111" s="1706"/>
      <c r="C111" s="1706"/>
      <c r="D111" s="1706"/>
      <c r="E111" s="1706"/>
      <c r="F111" s="1706"/>
      <c r="G111" s="1706"/>
      <c r="H111" s="1706"/>
      <c r="I111" s="1706"/>
      <c r="J111" s="1706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五级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2024-11-01T09:05:56Z</dcterms:modified>
</cp:coreProperties>
</file>