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320" windowHeight="57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E104" i="33" l="1"/>
  <c r="F104" i="33" s="1"/>
  <c r="G104" i="33" s="1"/>
  <c r="D104" i="33"/>
  <c r="C36" i="33"/>
  <c r="J52" i="67"/>
  <c r="AM6" i="1"/>
  <c r="Y6" i="1"/>
  <c r="U6" i="1"/>
  <c r="X22" i="1"/>
  <c r="V21" i="1" l="1"/>
  <c r="V20" i="1"/>
  <c r="V22" i="1"/>
  <c r="X21" i="1"/>
  <c r="B55" i="1"/>
  <c r="B56" i="1"/>
  <c r="B57" i="1"/>
  <c r="B58" i="1"/>
  <c r="B59" i="1"/>
  <c r="B54" i="1"/>
  <c r="N6" i="1"/>
  <c r="C33" i="33"/>
  <c r="I10" i="33"/>
  <c r="G10" i="33"/>
  <c r="E10" i="33"/>
  <c r="C10" i="33"/>
  <c r="G112" i="33"/>
  <c r="F112" i="33"/>
  <c r="E112" i="33"/>
  <c r="D112" i="33"/>
  <c r="C112" i="33"/>
  <c r="E59" i="33"/>
  <c r="F59" i="33" s="1"/>
  <c r="G59" i="33" s="1"/>
  <c r="H59" i="33" s="1"/>
  <c r="I59" i="33" s="1"/>
  <c r="J59" i="33" s="1"/>
  <c r="K59" i="33" s="1"/>
  <c r="L59" i="33" s="1"/>
  <c r="M59" i="33" s="1"/>
  <c r="D59" i="33"/>
  <c r="F19" i="6"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J21" i="33"/>
  <c r="AC21" i="33" s="1"/>
  <c r="F83" i="21"/>
  <c r="H21" i="21"/>
  <c r="F38" i="69"/>
  <c r="E37" i="69"/>
  <c r="F36" i="69"/>
  <c r="F35" i="69"/>
  <c r="F21" i="69"/>
  <c r="F40" i="69" s="1"/>
  <c r="F20" i="69"/>
  <c r="F39" i="69" s="1"/>
  <c r="E10" i="69"/>
  <c r="E9" i="69"/>
  <c r="AC21" i="37"/>
  <c r="W21" i="37"/>
  <c r="AC21" i="34"/>
  <c r="W21" i="34"/>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J41" i="33" s="1"/>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D87" i="33"/>
  <c r="E87" i="33" s="1"/>
  <c r="D85" i="33"/>
  <c r="E85" i="33" s="1"/>
  <c r="D81" i="33"/>
  <c r="E81" i="33" s="1"/>
  <c r="F81" i="33" s="1"/>
  <c r="G81" i="33" s="1"/>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AC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F121" i="33"/>
  <c r="G121" i="33" s="1"/>
  <c r="H121" i="33" s="1"/>
  <c r="I121" i="33" s="1"/>
  <c r="J121" i="33" s="1"/>
  <c r="K121" i="33" s="1"/>
  <c r="L121" i="33" s="1"/>
  <c r="M121" i="33" s="1"/>
  <c r="U42" i="33"/>
  <c r="J35" i="33"/>
  <c r="AC35" i="33" s="1"/>
  <c r="S37" i="33"/>
  <c r="AA37" i="33"/>
  <c r="S39" i="33"/>
  <c r="S46" i="33"/>
  <c r="W43" i="33"/>
  <c r="S43" i="33"/>
  <c r="F19" i="33"/>
  <c r="S19" i="33" s="1"/>
  <c r="J17" i="33"/>
  <c r="F79" i="33"/>
  <c r="G79"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S33" i="33"/>
  <c r="AB34" i="33"/>
  <c r="U44" i="33"/>
  <c r="AB44" i="33"/>
  <c r="S30" i="33"/>
  <c r="AA30" i="33"/>
  <c r="AC14" i="33"/>
  <c r="W14" i="33"/>
  <c r="AC30" i="33"/>
  <c r="W30" i="33"/>
  <c r="S31" i="33"/>
  <c r="AA31" i="33"/>
  <c r="W13" i="33"/>
  <c r="AC13" i="33"/>
  <c r="S11" i="33"/>
  <c r="U37"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H19" i="33"/>
  <c r="U19" i="33" s="1"/>
  <c r="H17" i="33"/>
  <c r="AB17" i="33" s="1"/>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17" i="33"/>
  <c r="S17" i="33"/>
  <c r="U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D5" i="73"/>
  <c r="F8" i="67"/>
  <c r="D35" i="9"/>
  <c r="L48" i="15"/>
  <c r="B9" i="76"/>
  <c r="B7" i="76"/>
  <c r="F7" i="73"/>
  <c r="F16" i="67"/>
  <c r="F20" i="31"/>
  <c r="M29" i="67"/>
  <c r="E2" i="69"/>
  <c r="F40" i="67"/>
  <c r="F6" i="67"/>
  <c r="F42" i="67"/>
  <c r="M6" i="15"/>
  <c r="E8" i="76"/>
  <c r="E10" i="76"/>
  <c r="M29" i="15"/>
  <c r="F16" i="15"/>
  <c r="D34" i="9"/>
  <c r="M9" i="67"/>
  <c r="E7" i="76"/>
  <c r="L47" i="15"/>
  <c r="M6" i="67"/>
  <c r="D3" i="73"/>
  <c r="L48" i="67"/>
  <c r="F6" i="73"/>
  <c r="F13" i="15"/>
  <c r="F43" i="67"/>
  <c r="D6" i="73"/>
  <c r="F42" i="15"/>
  <c r="F26" i="15"/>
  <c r="B11" i="76"/>
  <c r="C76" i="67"/>
  <c r="B13" i="76"/>
  <c r="F8" i="15"/>
  <c r="F6" i="15"/>
  <c r="M24" i="15"/>
  <c r="M28" i="67"/>
  <c r="E2" i="68"/>
  <c r="D4" i="73"/>
  <c r="F7" i="15"/>
  <c r="B10" i="76"/>
  <c r="E13" i="76"/>
  <c r="M8" i="67"/>
  <c r="F7" i="67"/>
  <c r="M28" i="15"/>
  <c r="M24" i="67"/>
  <c r="M26" i="15"/>
  <c r="D7" i="73"/>
  <c r="M9" i="15"/>
  <c r="F4" i="73"/>
  <c r="M26" i="67"/>
  <c r="F5" i="73"/>
  <c r="B8" i="76"/>
  <c r="J15" i="67"/>
  <c r="E11" i="76"/>
  <c r="F36" i="67"/>
  <c r="E12" i="76"/>
  <c r="M22" i="15"/>
  <c r="F37" i="67"/>
  <c r="F37" i="15"/>
  <c r="E9" i="76"/>
  <c r="F9" i="67"/>
  <c r="F9" i="15"/>
  <c r="F40" i="15"/>
  <c r="F36" i="15"/>
  <c r="F13" i="67"/>
  <c r="F38" i="67"/>
  <c r="AO13" i="1"/>
  <c r="M23" i="15"/>
  <c r="J15" i="15"/>
  <c r="M23" i="67"/>
  <c r="F3" i="73"/>
  <c r="F38" i="15"/>
  <c r="F43" i="15"/>
  <c r="B12" i="76"/>
  <c r="M22" i="67"/>
  <c r="F26" i="67"/>
  <c r="C76" i="15"/>
  <c r="M8" i="15"/>
  <c r="D22" i="15" l="1"/>
  <c r="C40" i="11"/>
  <c r="W41" i="33"/>
  <c r="AC41" i="33"/>
  <c r="U43" i="33"/>
  <c r="U39" i="33"/>
  <c r="U38" i="33"/>
  <c r="W38" i="33"/>
  <c r="S38" i="33"/>
  <c r="F111" i="33"/>
  <c r="G111" i="33" s="1"/>
  <c r="H111" i="33" s="1"/>
  <c r="I111" i="33" s="1"/>
  <c r="J111" i="33" s="1"/>
  <c r="K111" i="33" s="1"/>
  <c r="L111" i="33" s="1"/>
  <c r="M111" i="33" s="1"/>
  <c r="H36" i="33"/>
  <c r="F36" i="33"/>
  <c r="J36" i="33"/>
  <c r="W36" i="33" s="1"/>
  <c r="F30" i="69"/>
  <c r="F48" i="69" s="1"/>
  <c r="D68" i="9"/>
  <c r="F31" i="12"/>
  <c r="C31" i="12" s="1"/>
  <c r="M18" i="15"/>
  <c r="M18" i="67"/>
  <c r="F30" i="11"/>
  <c r="C48" i="11" s="1"/>
  <c r="F54" i="9"/>
  <c r="F28" i="15"/>
  <c r="C28" i="15" s="1"/>
  <c r="F32" i="15"/>
  <c r="F60" i="15" s="1"/>
  <c r="F32" i="67"/>
  <c r="F60" i="67" s="1"/>
  <c r="F52" i="9"/>
  <c r="F28" i="67"/>
  <c r="C28" i="67" s="1"/>
  <c r="F30" i="68"/>
  <c r="F48" i="68" s="1"/>
  <c r="U33" i="33"/>
  <c r="F32" i="33"/>
  <c r="AA32" i="33" s="1"/>
  <c r="J32" i="33"/>
  <c r="AC32" i="33" s="1"/>
  <c r="G101" i="33"/>
  <c r="H101" i="33" s="1"/>
  <c r="I101" i="33" s="1"/>
  <c r="J101" i="33" s="1"/>
  <c r="K101" i="33" s="1"/>
  <c r="L101" i="33" s="1"/>
  <c r="M101" i="33" s="1"/>
  <c r="H32" i="33"/>
  <c r="S32" i="33"/>
  <c r="S28" i="33"/>
  <c r="W28" i="33"/>
  <c r="F27" i="33"/>
  <c r="AA27" i="33" s="1"/>
  <c r="H27" i="33"/>
  <c r="U27" i="33" s="1"/>
  <c r="F91" i="33"/>
  <c r="G91" i="33" s="1"/>
  <c r="H91" i="33" s="1"/>
  <c r="I91" i="33" s="1"/>
  <c r="J91" i="33" s="1"/>
  <c r="K91" i="33" s="1"/>
  <c r="L91" i="33" s="1"/>
  <c r="M91" i="33" s="1"/>
  <c r="J27" i="33"/>
  <c r="AC27" i="33" s="1"/>
  <c r="AB27" i="33"/>
  <c r="S27" i="33"/>
  <c r="AB26" i="33"/>
  <c r="S26" i="33"/>
  <c r="F87" i="33"/>
  <c r="G87" i="33" s="1"/>
  <c r="H87" i="33" s="1"/>
  <c r="I87" i="33" s="1"/>
  <c r="J87" i="33" s="1"/>
  <c r="K87" i="33" s="1"/>
  <c r="L87" i="33" s="1"/>
  <c r="M87" i="33" s="1"/>
  <c r="F25" i="33"/>
  <c r="J25" i="33"/>
  <c r="W25" i="33" s="1"/>
  <c r="H25" i="33"/>
  <c r="AB25" i="33" s="1"/>
  <c r="F85" i="33"/>
  <c r="G85" i="33" s="1"/>
  <c r="F23" i="33"/>
  <c r="J23" i="33"/>
  <c r="AC23" i="33" s="1"/>
  <c r="H23" i="33"/>
  <c r="U23" i="33" s="1"/>
  <c r="W23" i="33"/>
  <c r="AB23" i="33"/>
  <c r="W21" i="33"/>
  <c r="W19" i="33"/>
  <c r="AB19" i="33"/>
  <c r="AA19" i="33"/>
  <c r="J15" i="33"/>
  <c r="AC15" i="33" s="1"/>
  <c r="F77" i="33"/>
  <c r="G77" i="33" s="1"/>
  <c r="F15" i="33"/>
  <c r="H15" i="33"/>
  <c r="AB15" i="33" s="1"/>
  <c r="U15" i="33"/>
  <c r="W15" i="33"/>
  <c r="S42" i="33"/>
  <c r="W42" i="33"/>
  <c r="AB41" i="33"/>
  <c r="W39" i="33"/>
  <c r="W35" i="33"/>
  <c r="S35" i="33"/>
  <c r="U35" i="33"/>
  <c r="AC34" i="33"/>
  <c r="W32" i="33"/>
  <c r="AC25" i="33"/>
  <c r="G28" i="6"/>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AC36" i="33" l="1"/>
  <c r="U36" i="33"/>
  <c r="AB36" i="33"/>
  <c r="AA36" i="33"/>
  <c r="S36" i="33"/>
  <c r="C48" i="68"/>
  <c r="C48" i="69"/>
  <c r="C30" i="11"/>
  <c r="AB32" i="33"/>
  <c r="U32" i="33"/>
  <c r="W27" i="33"/>
  <c r="S25" i="33"/>
  <c r="AA25" i="33"/>
  <c r="U25" i="33"/>
  <c r="S23" i="33"/>
  <c r="AA23" i="33"/>
  <c r="AA15" i="33"/>
  <c r="S15" i="33"/>
  <c r="D18" i="53"/>
  <c r="B35" i="72" s="1"/>
  <c r="C7" i="74"/>
  <c r="F7" i="36"/>
  <c r="J7" i="37"/>
  <c r="H7" i="36"/>
  <c r="AB7" i="36" s="1"/>
  <c r="T36" i="36" s="1"/>
  <c r="G36" i="36"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8" i="69" l="1"/>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AA7" i="21" s="1"/>
  <c r="R48" i="21" s="1"/>
  <c r="C8" i="68"/>
  <c r="C5" i="68" s="1"/>
  <c r="C23" i="68" s="1"/>
  <c r="C18" i="12"/>
  <c r="C21" i="12" s="1"/>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J63" i="40"/>
  <c r="I65" i="40"/>
  <c r="K48" i="35"/>
  <c r="L48" i="35" s="1"/>
  <c r="M48" i="35" s="1"/>
  <c r="N48" i="35" s="1"/>
  <c r="O48" i="35" s="1"/>
  <c r="H7" i="35" s="1"/>
  <c r="AC7" i="21"/>
  <c r="V48" i="21" s="1"/>
  <c r="I48" i="21" s="1"/>
  <c r="W7" i="21"/>
  <c r="J7" i="35" l="1"/>
  <c r="AC7" i="35" s="1"/>
  <c r="V38" i="35" s="1"/>
  <c r="I38" i="35" s="1"/>
  <c r="C20" i="68"/>
  <c r="C28" i="68" s="1"/>
  <c r="C27" i="68"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M21" i="67"/>
  <c r="F35" i="67"/>
  <c r="F35" i="15"/>
  <c r="M21" i="15"/>
  <c r="C32" i="12" l="1"/>
  <c r="B2" i="12" s="1"/>
  <c r="B3" i="12" s="1"/>
  <c r="C25" i="68"/>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D2" i="34"/>
  <c r="D2" i="37"/>
  <c r="L51" i="15"/>
  <c r="D2" i="35"/>
  <c r="D2" i="36"/>
  <c r="C102" i="9" l="1"/>
  <c r="C21" i="9"/>
  <c r="B3" i="33"/>
  <c r="D102" i="9"/>
  <c r="G19" i="9"/>
  <c r="G21" i="9" s="1"/>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D20" i="9"/>
  <c r="AO12" i="1"/>
  <c r="AO8" i="1"/>
  <c r="AO7" i="1"/>
  <c r="AO9" i="1"/>
  <c r="AO11" i="1"/>
  <c r="AO6" i="1"/>
  <c r="AO10" i="1"/>
  <c r="C103" i="9" l="1"/>
  <c r="G20" i="9"/>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H4" i="52" s="1"/>
  <c r="H119" i="9" l="1"/>
  <c r="H5" i="52" s="1"/>
  <c r="H101" i="9"/>
  <c r="D14" i="74" s="1"/>
  <c r="G14" i="74" s="1"/>
  <c r="B6" i="74" s="1"/>
  <c r="D6" i="74" s="1"/>
  <c r="C104" i="9"/>
  <c r="M48" i="9"/>
  <c r="D5" i="53"/>
  <c r="D45" i="9"/>
  <c r="H107" i="9"/>
  <c r="C105" i="9"/>
  <c r="I4" i="52"/>
  <c r="H102" i="9"/>
  <c r="F14" i="74" l="1"/>
  <c r="E14" i="74"/>
  <c r="B5" i="74"/>
  <c r="D5" i="74" s="1"/>
  <c r="D7" i="53"/>
  <c r="B21" i="72" s="1"/>
  <c r="D13" i="53"/>
  <c r="D122" i="9"/>
  <c r="H108" i="9"/>
  <c r="M49" i="9"/>
  <c r="B20" i="72"/>
  <c r="D6" i="53"/>
  <c r="B22" i="72" s="1"/>
  <c r="D53" i="9"/>
  <c r="C93" i="9"/>
  <c r="C86" i="9" s="1"/>
  <c r="C72" i="9"/>
  <c r="C78" i="9"/>
  <c r="C73" i="9" s="1"/>
  <c r="D52" i="9"/>
  <c r="C64" i="9"/>
  <c r="C63" i="9" s="1"/>
  <c r="C67" i="9" s="1"/>
  <c r="C85" i="9"/>
  <c r="D55" i="9"/>
  <c r="M53" i="9" s="1"/>
  <c r="C5" i="74" l="1"/>
  <c r="L68" i="9"/>
  <c r="M68" i="9" s="1"/>
  <c r="L65" i="9"/>
  <c r="M65" i="9" s="1"/>
  <c r="L67" i="9"/>
  <c r="M67" i="9" s="1"/>
  <c r="L63" i="9"/>
  <c r="M63" i="9" s="1"/>
  <c r="L66" i="9"/>
  <c r="M66" i="9" s="1"/>
  <c r="L64" i="9"/>
  <c r="M64" i="9" s="1"/>
  <c r="D123" i="9"/>
  <c r="D9" i="52" s="1"/>
  <c r="D8" i="52"/>
  <c r="C68" i="9"/>
  <c r="D54" i="9" s="1"/>
  <c r="D59" i="9"/>
  <c r="M55" i="9" s="1"/>
  <c r="C95" i="9"/>
  <c r="C79" i="9"/>
  <c r="C6" i="74"/>
  <c r="D15" i="53"/>
  <c r="B31" i="72" s="1"/>
  <c r="B30" i="72"/>
  <c r="D14" i="53"/>
  <c r="B32" i="72" s="1"/>
  <c r="C80" i="9" l="1"/>
  <c r="E80" i="9" s="1"/>
  <c r="E81" i="9" s="1"/>
  <c r="C96" i="9"/>
  <c r="E96" i="9" s="1"/>
  <c r="E97" i="9" s="1"/>
  <c r="M69" i="9"/>
  <c r="N69" i="9" s="1"/>
  <c r="C97" i="9" l="1"/>
  <c r="D58" i="9" s="1"/>
  <c r="D56" i="9" s="1"/>
  <c r="M54" i="9" s="1"/>
  <c r="N57" i="9" s="1"/>
  <c r="C81" i="9"/>
  <c r="N58" i="9" l="1"/>
  <c r="P57" i="9"/>
  <c r="N59" i="9"/>
  <c r="N61" i="9" l="1"/>
  <c r="N60" i="9"/>
  <c r="G118" i="9"/>
  <c r="E118" i="9"/>
  <c r="D118" i="9" s="1"/>
  <c r="F118" i="9"/>
  <c r="F119" i="9"/>
  <c r="F5" i="52" s="1"/>
  <c r="B53" i="72" s="1"/>
  <c r="F4" i="52"/>
  <c r="B51" i="72"/>
  <c r="G4" i="52"/>
  <c r="B52" i="72"/>
  <c r="D4" i="52" l="1"/>
  <c r="B47" i="72" s="1"/>
  <c r="D119" i="9"/>
  <c r="D5" i="52" s="1"/>
  <c r="B49" i="72" s="1"/>
  <c r="E4" i="52"/>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<sst xmlns="http://schemas.openxmlformats.org/spreadsheetml/2006/main" count="7907" uniqueCount="3456">
  <si>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</si>
  <si>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</si>
  <si>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</si>
  <si>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</si>
  <si>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</si>
  <si>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</si>
  <si>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</si>
  <si>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</si>
  <si>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</si>
  <si>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</si>
  <si>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</si>
  <si>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</si>
  <si>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</si>
  <si>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</si>
  <si>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</si>
  <si>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</si>
  <si>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</si>
  <si>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</si>
  <si>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</si>
  <si>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</si>
  <si>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</si>
  <si>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</si>
  <si>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</si>
  <si>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</si>
  <si>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</si>
  <si>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</si>
  <si>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</si>
  <si>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</si>
  <si>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</si>
  <si>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</si>
  <si>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</si>
  <si>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</si>
  <si>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</si>
  <si>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</si>
  <si>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</si>
  <si>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</si>
  <si>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</si>
  <si>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</si>
  <si>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</si>
  <si>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</si>
  <si>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</si>
  <si>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</si>
  <si>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</si>
  <si>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</si>
  <si>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</si>
  <si>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</si>
  <si>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</si>
  <si>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</si>
  <si>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</si>
  <si>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</si>
  <si>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</si>
  <si>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</si>
  <si>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</si>
  <si>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</si>
  <si>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</si>
  <si>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</si>
  <si>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</si>
  <si>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</si>
  <si>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</si>
  <si>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</si>
  <si>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</si>
  <si>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</si>
  <si>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</si>
  <si>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</si>
  <si>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</si>
  <si>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</si>
  <si>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</si>
  <si>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</si>
  <si>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</si>
  <si>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</si>
  <si>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</si>
  <si>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</si>
  <si>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</si>
  <si>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</si>
  <si>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</si>
  <si>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</si>
  <si>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</si>
  <si>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</si>
  <si>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</si>
  <si>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</si>
  <si>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</si>
  <si>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</si>
  <si>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</si>
  <si>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</si>
  <si>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</si>
  <si>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</si>
  <si>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</si>
  <si>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</si>
  <si>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</si>
  <si>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</si>
  <si>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</si>
  <si>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</si>
  <si>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</si>
  <si>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</si>
  <si>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</si>
  <si>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</si>
  <si>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</si>
  <si>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</si>
  <si>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</si>
  <si>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</si>
  <si>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</si>
  <si>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</si>
  <si>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</si>
  <si>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</si>
  <si>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</si>
  <si>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</si>
  <si>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</si>
  <si>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</si>
  <si>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</si>
  <si>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</si>
  <si>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</si>
  <si>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</si>
  <si>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</si>
  <si>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</si>
  <si>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</si>
  <si>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</si>
  <si>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</si>
  <si>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</si>
  <si>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</si>
  <si>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</si>
  <si>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</si>
  <si>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</si>
  <si>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</si>
  <si>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</si>
  <si>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</si>
  <si>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</si>
  <si>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</si>
  <si>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</si>
  <si>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</si>
  <si>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</si>
  <si>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</si>
  <si>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</si>
  <si>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</si>
  <si>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</si>
  <si>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</si>
  <si>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</si>
  <si>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</si>
  <si>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</si>
  <si>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</si>
  <si>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</si>
  <si>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</si>
  <si>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</si>
  <si>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</si>
  <si>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</si>
  <si>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</si>
  <si>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</si>
  <si>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</si>
  <si>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</si>
  <si>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</si>
  <si>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</si>
  <si>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</si>
  <si>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</si>
  <si>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</si>
  <si>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</si>
  <si>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</si>
  <si>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</si>
  <si>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</si>
  <si>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</si>
  <si>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</si>
  <si>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</si>
  <si>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</si>
  <si>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</si>
  <si>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</si>
  <si>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</si>
  <si>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</si>
  <si>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</si>
  <si>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</si>
  <si>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</si>
  <si>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</si>
  <si>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</si>
  <si>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</si>
  <si>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</si>
  <si>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</si>
  <si>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</si>
  <si>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</si>
  <si>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</si>
  <si>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</si>
  <si>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</si>
  <si>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</si>
  <si>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</si>
  <si>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</si>
  <si>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</si>
  <si>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</si>
  <si>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</si>
  <si>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</si>
  <si>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</si>
  <si>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</si>
  <si>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</si>
  <si>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</si>
  <si>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</si>
  <si>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</si>
  <si>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</si>
  <si>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</si>
  <si>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</si>
  <si>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</si>
  <si>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</si>
  <si>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</si>
  <si>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</si>
  <si>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</si>
  <si>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</si>
  <si>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</si>
  <si>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</si>
  <si>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</si>
  <si>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</si>
  <si>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</si>
  <si>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</si>
  <si>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</si>
  <si>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</si>
  <si>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</si>
  <si>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</si>
  <si>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</si>
  <si>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</si>
  <si>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</si>
  <si>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</si>
  <si>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</si>
  <si>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</si>
  <si>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</si>
  <si>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</si>
  <si>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</si>
  <si>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</si>
  <si>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</si>
  <si>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</si>
  <si>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</si>
  <si>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</si>
  <si>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</si>
  <si>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</si>
  <si>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</si>
  <si>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</si>
  <si>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</si>
  <si>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</si>
  <si>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</si>
  <si>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</si>
  <si>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</si>
  <si>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</si>
  <si>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</si>
  <si>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</si>
  <si>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</si>
  <si>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</si>
  <si>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</si>
  <si>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</si>
  <si>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</si>
  <si>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</si>
  <si>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</si>
  <si>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</si>
  <si>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</si>
  <si>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</si>
  <si>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</si>
  <si>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</si>
  <si>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</si>
  <si>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</si>
  <si>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</si>
  <si>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</si>
  <si>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</si>
  <si>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</si>
  <si>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</si>
  <si>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</si>
  <si>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</si>
  <si>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</si>
  <si>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</si>
  <si>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</si>
  <si>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</si>
  <si>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</si>
  <si>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</si>
  <si>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</si>
  <si>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</si>
  <si>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</si>
  <si>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</si>
  <si>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</si>
  <si>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</si>
  <si>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</si>
  <si>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</si>
  <si>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</si>
  <si>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</si>
  <si>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</si>
  <si>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</si>
  <si>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</si>
  <si>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</si>
  <si>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</si>
  <si>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</si>
  <si>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</si>
  <si>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</si>
  <si>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</si>
  <si>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</si>
  <si>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</si>
  <si>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</si>
  <si>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</si>
  <si>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</si>
  <si>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</si>
  <si>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</si>
  <si>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</si>
  <si>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</si>
  <si>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</si>
  <si>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</si>
  <si>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</si>
  <si>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</si>
  <si>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</si>
  <si>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</si>
  <si>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</si>
  <si>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</si>
  <si>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</si>
  <si>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</si>
  <si>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</si>
  <si>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</si>
  <si>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</si>
  <si>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</si>
  <si>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</si>
  <si>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</si>
  <si>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</si>
  <si>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</si>
  <si>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</si>
  <si>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</si>
  <si>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</si>
  <si>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</si>
  <si>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</si>
  <si>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</si>
  <si>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</si>
  <si>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</si>
  <si>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</si>
  <si>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</si>
  <si>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</si>
  <si>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</si>
  <si>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</si>
  <si>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</si>
  <si>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</si>
  <si>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</si>
  <si>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</si>
  <si>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</si>
  <si>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</si>
  <si>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</si>
  <si>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</si>
  <si>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</si>
  <si>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</si>
  <si>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</si>
  <si>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</si>
  <si>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</si>
  <si>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</si>
  <si>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</si>
  <si>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</si>
  <si>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</si>
  <si>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</si>
  <si>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</si>
  <si>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</si>
  <si>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</si>
  <si>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</si>
  <si>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</si>
  <si>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</si>
  <si>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</si>
  <si>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</si>
  <si>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</si>
  <si>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</si>
  <si>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</si>
  <si>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</si>
  <si>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</si>
  <si>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</si>
  <si>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</si>
  <si>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</si>
  <si>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</si>
  <si>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</si>
  <si>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</si>
  <si>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</si>
  <si>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</si>
  <si>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</si>
  <si>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</si>
  <si>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</si>
  <si>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</si>
  <si>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</si>
  <si>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</si>
  <si>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</si>
  <si>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</si>
  <si>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</si>
  <si>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</si>
  <si>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</si>
  <si>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</si>
  <si>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</si>
  <si>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</si>
  <si>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</si>
  <si>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</si>
  <si>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</si>
  <si>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</si>
  <si>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</si>
  <si>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</si>
  <si>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</si>
  <si>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</si>
  <si>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</si>
  <si>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</si>
  <si>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</si>
  <si>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</si>
  <si>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</si>
  <si>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</si>
  <si>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</si>
  <si>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</si>
  <si>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</si>
  <si>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</si>
  <si>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</si>
  <si>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</si>
  <si>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</si>
  <si>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</si>
  <si>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</si>
  <si>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</si>
  <si>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</si>
  <si>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</si>
  <si>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</si>
  <si>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</si>
  <si>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</si>
  <si>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</si>
  <si>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</si>
  <si>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</si>
  <si>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</si>
  <si>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</si>
  <si>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</si>
  <si>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</si>
  <si>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</si>
  <si>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</si>
  <si>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</si>
  <si>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</si>
  <si>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</si>
  <si>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</si>
  <si>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</si>
  <si>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</si>
  <si>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</si>
  <si>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</si>
  <si>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</si>
  <si>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</si>
  <si>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</si>
  <si>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</si>
  <si>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</si>
  <si>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</si>
  <si>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</si>
  <si>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</si>
  <si>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</si>
  <si>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</si>
  <si>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</si>
  <si>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</si>
  <si>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</si>
  <si>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</si>
  <si>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</si>
  <si>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</si>
  <si>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</si>
  <si>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</si>
  <si>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</si>
  <si>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</si>
  <si>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</si>
  <si>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</si>
  <si>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</si>
  <si>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</si>
  <si>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</si>
  <si>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</si>
  <si>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</si>
  <si>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</si>
  <si>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</si>
  <si>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</si>
  <si>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</si>
  <si>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</si>
  <si>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</si>
  <si>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</si>
  <si>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</si>
  <si>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</si>
  <si>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</si>
  <si>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</si>
  <si>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</si>
  <si>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</si>
  <si>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</si>
  <si>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</si>
  <si>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</si>
  <si>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</si>
  <si>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</si>
  <si>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</si>
  <si>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</si>
  <si>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</si>
  <si>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</si>
  <si>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</si>
  <si>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</si>
  <si>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</si>
  <si>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</si>
  <si>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</si>
  <si>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</si>
  <si>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</si>
  <si>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</si>
  <si>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</si>
  <si>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</si>
  <si>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</si>
  <si>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</si>
  <si>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</si>
  <si>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</si>
  <si>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</si>
  <si>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</si>
  <si>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</si>
  <si>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</si>
  <si>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</si>
  <si>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</si>
  <si>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</si>
  <si>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</si>
  <si>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</si>
  <si>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</si>
  <si>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</si>
  <si>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</si>
  <si>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</si>
  <si>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</si>
  <si>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</si>
  <si>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</si>
  <si>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</si>
  <si>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</si>
  <si>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</si>
  <si>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</si>
  <si>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</si>
  <si>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</si>
  <si>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</si>
  <si>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</si>
  <si>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</si>
  <si>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</si>
  <si>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</si>
  <si>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</si>
  <si>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</si>
  <si>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</si>
  <si>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</si>
  <si>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</si>
  <si>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</si>
  <si>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</si>
  <si>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</si>
  <si>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</si>
  <si>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</si>
  <si>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</si>
  <si>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</si>
  <si>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</si>
  <si>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</si>
  <si>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</si>
  <si>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</si>
  <si>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</si>
  <si>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</si>
  <si>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</si>
  <si>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</si>
  <si>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</si>
  <si>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</si>
  <si>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</si>
  <si>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</si>
  <si>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</si>
  <si>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</si>
  <si>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</si>
  <si>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</si>
  <si>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</si>
  <si>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</si>
  <si>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</si>
  <si>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</si>
  <si>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</si>
  <si>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</si>
  <si>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</si>
  <si>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</si>
  <si>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</si>
  <si>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</si>
  <si>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</si>
  <si>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</si>
  <si>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</si>
  <si>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</si>
  <si>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</si>
  <si>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</si>
  <si>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</si>
  <si>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</si>
  <si>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</si>
  <si>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</si>
  <si>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</si>
  <si>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</si>
  <si>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</si>
  <si>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</si>
  <si>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</si>
  <si>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</si>
  <si>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</si>
  <si>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</si>
  <si>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</si>
  <si>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</si>
  <si>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</si>
  <si>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</si>
  <si>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</si>
  <si>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</si>
  <si>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</si>
  <si>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</si>
  <si>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</si>
  <si>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</si>
  <si>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</si>
  <si>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</si>
  <si>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</si>
  <si>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</si>
  <si>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</si>
  <si>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</si>
  <si>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</si>
  <si>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</si>
  <si>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</si>
  <si>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</si>
  <si>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</si>
  <si>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</si>
  <si>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</si>
  <si>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</si>
  <si>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</si>
  <si>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</si>
  <si>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</si>
  <si>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</si>
  <si>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</si>
  <si>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</si>
  <si>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</si>
  <si>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</si>
  <si>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</si>
  <si>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</si>
  <si>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</si>
  <si>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</si>
  <si>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</si>
  <si>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</si>
  <si>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</si>
  <si>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</si>
  <si>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</si>
  <si>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</si>
  <si>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</si>
  <si>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</si>
  <si>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</si>
  <si>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</si>
  <si>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</si>
  <si>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</si>
  <si>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</si>
  <si>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</si>
  <si>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</si>
  <si>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</si>
  <si>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</si>
  <si>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</si>
  <si>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</si>
  <si>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</si>
  <si>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</si>
  <si>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</si>
  <si>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</si>
  <si>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</si>
  <si>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</si>
  <si>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</si>
  <si>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</si>
  <si>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</si>
  <si>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</si>
  <si>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</si>
  <si>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</si>
  <si>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</si>
  <si>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</si>
  <si>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</si>
  <si>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</si>
  <si>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</si>
  <si>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</si>
  <si>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</si>
  <si>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</si>
  <si>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</si>
  <si>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</si>
  <si>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</si>
  <si>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</si>
  <si>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</si>
  <si>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</si>
  <si>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</si>
  <si>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</si>
  <si>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</si>
  <si>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</si>
  <si>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</si>
  <si>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</si>
  <si>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</si>
  <si>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</si>
  <si>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</si>
  <si>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</si>
  <si>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</si>
  <si>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</si>
  <si>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</si>
  <si>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</si>
  <si>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</si>
  <si>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</si>
  <si>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</si>
  <si>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</si>
  <si>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</si>
  <si>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</si>
  <si>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</si>
  <si>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</si>
  <si>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</si>
  <si>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</si>
  <si>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</si>
  <si>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</si>
  <si>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</si>
  <si>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</si>
  <si>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</si>
  <si>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</si>
  <si>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</si>
  <si>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</si>
  <si>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</si>
  <si>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</si>
  <si>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</si>
  <si>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</si>
  <si>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</si>
  <si>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</si>
  <si>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</si>
  <si>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</si>
  <si>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</si>
  <si>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</si>
  <si>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</si>
  <si>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</si>
  <si>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</si>
  <si>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</si>
  <si>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</si>
  <si>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</si>
  <si>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</si>
  <si>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</si>
  <si>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</si>
  <si>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</si>
  <si>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</si>
  <si>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</si>
  <si>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</si>
  <si>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</si>
  <si>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</si>
  <si>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</si>
  <si>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</si>
  <si>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</si>
  <si>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</si>
  <si>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</si>
  <si>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</si>
  <si>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</si>
  <si>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</si>
  <si>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</si>
  <si>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</si>
  <si>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</si>
  <si>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</si>
  <si>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</si>
  <si>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</si>
  <si>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</si>
  <si>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</si>
  <si>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</si>
  <si>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</si>
  <si>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</si>
  <si>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</si>
  <si>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</si>
  <si>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</si>
  <si>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</si>
  <si>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</si>
  <si>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</si>
  <si>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</si>
  <si>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</si>
  <si>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</si>
  <si>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</si>
  <si>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</si>
  <si>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</si>
  <si>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</si>
  <si>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</si>
  <si>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</si>
  <si>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</si>
  <si>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</si>
  <si>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</si>
  <si>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</si>
  <si>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</si>
  <si>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</si>
  <si>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</si>
  <si>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</si>
  <si>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</si>
  <si>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</si>
  <si>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</si>
  <si>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</si>
  <si>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</si>
  <si>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</si>
  <si>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</si>
  <si>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</si>
  <si>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</si>
  <si>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</si>
  <si>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</si>
  <si>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</si>
  <si>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</si>
  <si>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</si>
  <si>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</si>
  <si>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</si>
  <si>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</si>
  <si>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</si>
  <si>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</si>
  <si>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</si>
  <si>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</si>
  <si>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</si>
  <si>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</si>
  <si>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</si>
  <si>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</si>
  <si>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</si>
  <si>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</si>
  <si>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</si>
  <si>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</si>
  <si>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</si>
  <si>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</si>
  <si>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</si>
  <si>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</si>
  <si>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</si>
  <si>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</si>
  <si>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</si>
  <si>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</si>
  <si>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</si>
  <si>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</si>
  <si>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</si>
  <si>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</si>
  <si>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</si>
  <si>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</si>
  <si>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</si>
  <si>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</si>
  <si>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</si>
  <si>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</si>
  <si>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</si>
  <si>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</si>
  <si>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</si>
  <si>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</si>
  <si>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</si>
  <si>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</si>
  <si>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</si>
  <si>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</si>
  <si>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</si>
  <si>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</si>
  <si>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</si>
  <si>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</si>
  <si>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</si>
  <si>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</si>
  <si>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</si>
  <si>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</si>
  <si>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</si>
  <si>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</si>
  <si>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</si>
  <si>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</si>
  <si>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</si>
  <si>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</si>
  <si>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</si>
  <si>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</si>
  <si>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</si>
  <si>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</si>
  <si>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</si>
  <si>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</si>
  <si>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</si>
  <si>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</si>
  <si>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</si>
  <si>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</si>
  <si>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</si>
  <si>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</si>
  <si>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</si>
  <si>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</si>
  <si>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</si>
  <si>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</si>
  <si>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</si>
  <si>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</si>
  <si>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</si>
  <si>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</si>
  <si>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</si>
  <si>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</si>
  <si>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</si>
  <si>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</si>
  <si>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</si>
  <si>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</si>
  <si>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</si>
  <si>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</si>
  <si>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</si>
  <si>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</si>
  <si>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</si>
  <si>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</si>
  <si>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</si>
  <si>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</si>
  <si>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</si>
  <si>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</si>
  <si>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</si>
  <si>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</si>
  <si>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</si>
  <si>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</si>
  <si>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</si>
  <si>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</si>
  <si>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</si>
  <si>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</si>
  <si>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</si>
  <si>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</si>
  <si>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</si>
  <si>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</si>
  <si>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</si>
  <si>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</si>
  <si>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</si>
  <si>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</si>
  <si>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</si>
  <si>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</si>
  <si>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</si>
  <si>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</si>
  <si>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</si>
  <si>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</si>
  <si>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</si>
  <si>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</si>
  <si>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</si>
  <si>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</si>
  <si>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</si>
  <si>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</si>
  <si>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</si>
  <si>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</si>
  <si>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</si>
  <si>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</si>
  <si>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</si>
  <si>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</si>
  <si>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</si>
  <si>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</si>
  <si>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</si>
  <si>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</si>
  <si>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</si>
  <si>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</si>
  <si>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</si>
  <si>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</si>
  <si>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</si>
  <si>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</si>
  <si>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</si>
  <si>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</si>
  <si>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</si>
  <si>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</si>
  <si>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</si>
  <si>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</si>
  <si>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</si>
  <si>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</si>
  <si>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</si>
  <si>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</si>
  <si>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</si>
  <si>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</si>
  <si>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</si>
  <si>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</si>
  <si>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</si>
  <si>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</si>
  <si>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</si>
  <si>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</si>
  <si>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</si>
  <si>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</si>
  <si>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</si>
  <si>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</si>
  <si>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</si>
  <si>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</si>
  <si>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</si>
  <si>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</si>
  <si>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</si>
  <si>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</si>
  <si>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</si>
  <si>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</si>
  <si>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</si>
  <si>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</si>
  <si>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</si>
  <si>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</si>
  <si>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</si>
  <si>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</si>
  <si>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</si>
  <si>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</si>
  <si>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</si>
  <si>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</si>
  <si>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</si>
  <si>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</si>
  <si>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</si>
  <si>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</si>
  <si>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</si>
  <si>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</si>
  <si>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</si>
  <si>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</si>
  <si>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</si>
  <si>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</si>
  <si>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</si>
  <si>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</si>
  <si>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</si>
  <si>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</si>
  <si>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</si>
  <si>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</si>
  <si>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</si>
  <si>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</si>
  <si>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</si>
  <si>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</si>
  <si>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</si>
  <si>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</si>
  <si>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</si>
  <si>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</si>
  <si>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</si>
  <si>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</si>
  <si>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</si>
  <si>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</si>
  <si>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</si>
  <si>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</si>
  <si>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</si>
  <si>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</si>
  <si>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</si>
  <si>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</si>
  <si>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</si>
  <si>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</si>
  <si>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</si>
  <si>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</si>
  <si>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</si>
  <si>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</si>
  <si>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</si>
  <si>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</si>
  <si>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</si>
  <si>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</si>
  <si>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</si>
  <si>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</si>
  <si>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</si>
  <si>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</si>
  <si>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</si>
  <si>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</si>
  <si>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</si>
  <si>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</si>
  <si>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</si>
  <si>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</si>
  <si>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</si>
  <si>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</si>
  <si>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</si>
  <si>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</si>
  <si>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</si>
  <si>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</si>
  <si>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</si>
  <si>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</si>
  <si>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</si>
  <si>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</si>
  <si>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</si>
  <si>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</si>
  <si>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</si>
  <si>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</si>
  <si>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</si>
  <si>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</si>
  <si>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</si>
  <si>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</si>
  <si>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</si>
  <si>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</si>
  <si>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</si>
  <si>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</si>
  <si>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</si>
  <si>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</si>
  <si>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</si>
  <si>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</si>
  <si>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</si>
  <si>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</si>
  <si>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</si>
  <si>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</si>
  <si>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</si>
  <si>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</si>
  <si>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</si>
  <si>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</si>
  <si>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</si>
  <si>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</si>
  <si>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</si>
  <si>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</si>
  <si>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</si>
  <si>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</si>
  <si>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</si>
  <si>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</si>
  <si>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</si>
  <si>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</si>
  <si>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</si>
  <si>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</si>
  <si>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</si>
  <si>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</si>
  <si>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</si>
  <si>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</si>
  <si>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</si>
  <si>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</si>
  <si>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</si>
  <si>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</si>
  <si>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</si>
  <si>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</si>
  <si>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</si>
  <si>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</si>
  <si>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</si>
  <si>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</si>
  <si>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</si>
  <si>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</si>
  <si>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</si>
  <si>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</si>
  <si>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</si>
  <si>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</si>
  <si>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</si>
  <si>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</si>
  <si>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</si>
  <si>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</si>
  <si>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</si>
  <si>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</si>
  <si>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</si>
  <si>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</si>
  <si>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</si>
  <si>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</si>
  <si>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</si>
  <si>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</si>
  <si>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</si>
  <si>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</si>
  <si>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</si>
  <si>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</si>
  <si>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</si>
  <si>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</si>
  <si>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</si>
  <si>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</si>
  <si>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</si>
  <si>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</si>
  <si>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</si>
  <si>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</si>
  <si>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</si>
  <si>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</si>
  <si>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</si>
  <si>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</si>
  <si>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</si>
  <si>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</si>
  <si>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</si>
  <si>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</si>
  <si>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</si>
  <si>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</si>
  <si>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</si>
  <si>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</si>
  <si>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</si>
  <si>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</si>
  <si>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</si>
  <si>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</si>
  <si>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</si>
  <si>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</si>
  <si>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</si>
  <si>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</si>
  <si>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</si>
  <si>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</si>
  <si>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</si>
  <si>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</si>
  <si>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</si>
  <si>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</si>
  <si>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</si>
  <si>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</si>
  <si>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</si>
  <si>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</si>
  <si>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</si>
  <si>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</si>
  <si>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</si>
  <si>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</si>
  <si>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</si>
  <si>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</si>
  <si>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</si>
  <si>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</si>
  <si>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</si>
  <si>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</si>
  <si>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</si>
  <si>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</si>
  <si>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</si>
  <si>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</si>
  <si>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</si>
  <si>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</si>
  <si>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</si>
  <si>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</si>
  <si>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</si>
  <si>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</si>
  <si>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</si>
  <si>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</si>
  <si>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</si>
  <si>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</si>
  <si>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</si>
  <si>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</si>
  <si>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</si>
  <si>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</si>
  <si>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</si>
  <si>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</si>
  <si>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</si>
  <si>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</si>
  <si>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</si>
  <si>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</si>
  <si>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</si>
  <si>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</si>
  <si>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</si>
  <si>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</si>
  <si>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</si>
  <si>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</si>
  <si>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</si>
  <si>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</si>
  <si>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</si>
  <si>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</si>
  <si>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</si>
  <si>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</si>
  <si>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</si>
  <si>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</si>
  <si>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</si>
  <si>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</si>
  <si>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</si>
  <si>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</si>
  <si>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</si>
  <si>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</si>
  <si>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</si>
  <si>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</si>
  <si>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</si>
  <si>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</si>
  <si>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</si>
  <si>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</si>
  <si>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</si>
  <si>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</si>
  <si>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</si>
  <si>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</si>
  <si>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</si>
  <si>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</si>
  <si>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</si>
  <si>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</si>
  <si>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</si>
  <si>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</si>
  <si>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</si>
  <si>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</si>
  <si>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</si>
  <si>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</si>
  <si>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</si>
  <si>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</si>
  <si>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</si>
  <si>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</si>
  <si>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</si>
  <si>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</si>
  <si>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</si>
  <si>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</si>
  <si>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</si>
  <si>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</si>
  <si>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</si>
  <si>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</si>
  <si>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</si>
  <si>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</si>
  <si>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</si>
  <si>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</si>
  <si>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</si>
  <si>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</si>
  <si>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</si>
  <si>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</si>
  <si>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</si>
  <si>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</si>
  <si>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</si>
  <si>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</si>
  <si>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</si>
  <si>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</si>
  <si>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</si>
  <si>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</si>
  <si>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</si>
  <si>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</si>
  <si>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</si>
  <si>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</si>
  <si>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</si>
  <si>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</si>
  <si>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</si>
  <si>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</si>
  <si>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</si>
  <si>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</si>
  <si>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</si>
  <si>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</si>
  <si>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</si>
  <si>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</si>
  <si>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</si>
  <si>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</si>
  <si>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</si>
  <si>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</si>
  <si>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</si>
  <si>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</si>
  <si>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</si>
  <si>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</si>
  <si>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</si>
  <si>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</si>
  <si>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</si>
  <si>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</si>
  <si>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</si>
  <si>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</si>
  <si>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</si>
  <si>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</si>
  <si>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</si>
  <si>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</si>
  <si>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</si>
  <si>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</si>
  <si>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</si>
  <si>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</si>
  <si>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</si>
  <si>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</si>
  <si>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</si>
  <si>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</si>
  <si>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</si>
  <si>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</si>
  <si>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</si>
  <si>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</si>
  <si>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</si>
  <si>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</si>
  <si>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</si>
  <si>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</si>
  <si>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</si>
  <si>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</si>
  <si>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</si>
  <si>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</si>
  <si>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</si>
  <si>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</si>
  <si>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</si>
  <si>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</si>
  <si>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</si>
  <si>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</si>
  <si>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</si>
  <si>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</si>
  <si>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</si>
  <si>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</si>
  <si>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</si>
  <si>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</si>
  <si>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</si>
  <si>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</si>
  <si>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</si>
  <si>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</si>
  <si>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</si>
  <si>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</si>
  <si>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</si>
  <si>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</si>
  <si>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</si>
  <si>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</si>
  <si>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</si>
  <si>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</si>
  <si>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</si>
  <si>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</si>
  <si>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</si>
  <si>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</si>
  <si>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</si>
  <si>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</si>
  <si>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</si>
  <si>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</si>
  <si>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</si>
  <si>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</si>
  <si>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</si>
  <si>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</si>
  <si>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</si>
  <si>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</si>
  <si>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</si>
  <si>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</si>
  <si>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</si>
  <si>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</si>
  <si>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</si>
  <si>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</si>
  <si>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</si>
  <si>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</si>
  <si>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</si>
  <si>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</si>
  <si>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</si>
  <si>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</si>
  <si>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</si>
  <si>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</si>
  <si>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</si>
  <si>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</si>
  <si>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</si>
  <si>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</si>
  <si>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</si>
  <si>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</si>
  <si>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</si>
  <si>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</si>
  <si>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</si>
  <si>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</si>
  <si>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</si>
  <si>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</si>
  <si>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</si>
  <si>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</si>
  <si>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</si>
  <si>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</si>
  <si>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</si>
  <si>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</si>
  <si>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</si>
  <si>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</si>
  <si>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</si>
  <si>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</si>
  <si>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</si>
  <si>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</si>
  <si>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</si>
  <si>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</si>
  <si>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</si>
  <si>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</si>
  <si>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</si>
  <si>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</si>
  <si>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</si>
  <si>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</si>
  <si>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</si>
  <si>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</si>
  <si>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</si>
  <si>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</si>
  <si>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</si>
  <si>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</si>
  <si>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</si>
  <si>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</si>
  <si>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</si>
  <si>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</si>
  <si>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</si>
  <si>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</si>
  <si>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</si>
  <si>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</si>
  <si>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</si>
  <si>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</si>
  <si>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</si>
  <si>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</si>
  <si>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</si>
  <si>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</si>
  <si>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</si>
  <si>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</si>
  <si>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</si>
  <si>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</si>
  <si>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</si>
  <si>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</si>
  <si>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</si>
  <si>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</si>
  <si>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</si>
  <si>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</si>
  <si>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</si>
  <si>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</si>
  <si>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</si>
  <si>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</si>
  <si>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</si>
  <si>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</si>
  <si>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</si>
  <si>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</si>
  <si>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</si>
  <si>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</si>
  <si>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</si>
  <si>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</si>
  <si>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</si>
  <si>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</si>
  <si>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</si>
  <si>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</si>
  <si>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</si>
  <si>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</si>
  <si>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</si>
  <si>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</si>
  <si>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</si>
  <si>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</si>
  <si>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</si>
  <si>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</si>
  <si>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</si>
  <si>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</si>
  <si>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</si>
  <si>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</si>
  <si>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</si>
  <si>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</si>
  <si>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</si>
  <si>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</si>
  <si>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</si>
  <si>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</si>
  <si>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</si>
  <si>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</si>
  <si>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</si>
  <si>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</si>
  <si>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</si>
  <si>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</si>
  <si>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</si>
  <si>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</si>
  <si>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</si>
  <si>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</si>
  <si>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</si>
  <si>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</si>
  <si>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</si>
  <si>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</si>
  <si>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</si>
  <si>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</si>
  <si>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</si>
  <si>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</si>
  <si>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</si>
  <si>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</si>
  <si>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</si>
  <si>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</si>
  <si>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</si>
  <si>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</si>
  <si>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</si>
  <si>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</si>
  <si>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</si>
  <si>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</si>
  <si>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</si>
  <si>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</si>
  <si>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</si>
  <si>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</si>
  <si>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</si>
  <si>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</si>
  <si>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</si>
  <si>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</si>
  <si>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</si>
  <si>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</si>
  <si>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</si>
  <si>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</si>
  <si>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</si>
  <si>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</si>
  <si>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</si>
  <si>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</si>
  <si>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</si>
  <si>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</si>
  <si>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</si>
  <si>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</si>
  <si>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</si>
  <si>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</si>
  <si>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</si>
  <si>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</si>
  <si>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</si>
  <si>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</si>
  <si>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</si>
  <si>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</si>
  <si>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</si>
  <si>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</si>
  <si>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</si>
  <si>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</si>
  <si>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</si>
  <si>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</si>
  <si>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</si>
  <si>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</si>
  <si>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</si>
  <si>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</si>
  <si>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</si>
  <si>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</si>
  <si>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</si>
  <si>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</si>
  <si>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</si>
  <si>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</si>
  <si>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</si>
  <si>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</si>
  <si>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</si>
  <si>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</si>
  <si>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</si>
  <si>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</si>
  <si>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</si>
  <si>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</si>
  <si>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</si>
  <si>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</si>
  <si>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</si>
  <si>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</si>
  <si>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</si>
  <si>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</si>
  <si>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</si>
  <si>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</si>
  <si>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</si>
  <si>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</si>
  <si>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</si>
  <si>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</si>
  <si>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</si>
  <si>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</si>
  <si>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</si>
  <si>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</si>
  <si>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</si>
  <si>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</si>
  <si>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</si>
  <si>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</si>
  <si>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</si>
  <si>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</si>
  <si>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</si>
  <si>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</si>
  <si>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</si>
  <si>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</si>
  <si>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</si>
  <si>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</si>
  <si>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</si>
  <si>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</si>
  <si>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</si>
  <si>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</si>
  <si>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</si>
  <si>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</si>
  <si>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</si>
  <si>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</si>
  <si>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</si>
  <si>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</si>
  <si>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</si>
  <si>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</si>
  <si>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</si>
  <si>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</si>
  <si>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</si>
  <si>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</si>
  <si>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</si>
  <si>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</si>
  <si>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</si>
  <si>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</si>
  <si>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</si>
  <si>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</si>
  <si>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</si>
  <si>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</si>
  <si>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</si>
  <si>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</si>
  <si>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</si>
  <si>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</si>
  <si>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</si>
  <si>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</si>
  <si>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</si>
  <si>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</si>
  <si>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</si>
  <si>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</si>
  <si>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</si>
  <si>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</si>
  <si>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</si>
  <si>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</si>
  <si>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</si>
  <si>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</si>
  <si>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</si>
  <si>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</si>
  <si>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</si>
  <si>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</si>
  <si>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</si>
  <si>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</si>
  <si>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</si>
  <si>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</si>
  <si>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</si>
  <si>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</si>
  <si>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</si>
  <si>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</si>
  <si>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</si>
  <si>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</si>
  <si>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</si>
  <si>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</si>
  <si>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</si>
  <si>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</si>
  <si>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</si>
  <si>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</si>
  <si>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</si>
  <si>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</si>
  <si>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</si>
  <si>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</si>
  <si>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</si>
  <si>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</si>
  <si>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</si>
  <si>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</si>
  <si>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</si>
  <si>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</si>
  <si>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</si>
  <si>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</si>
  <si>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</si>
  <si>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</si>
  <si>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</si>
  <si>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</si>
  <si>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</si>
  <si>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</si>
  <si>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</si>
  <si>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</si>
  <si>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</si>
  <si>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</si>
  <si>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</si>
  <si>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</si>
  <si>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</si>
  <si>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</si>
  <si>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</si>
  <si>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</si>
  <si>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</si>
  <si>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</si>
  <si>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</si>
  <si>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</si>
  <si>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</si>
  <si>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</si>
  <si>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</si>
  <si>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</si>
  <si>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</si>
  <si>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</si>
  <si>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</si>
  <si>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</si>
  <si>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</si>
  <si>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</si>
  <si>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</si>
  <si>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</si>
  <si>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</si>
  <si>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</si>
  <si>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</si>
  <si>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</si>
  <si>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</si>
  <si>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</si>
  <si>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</si>
  <si>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</si>
  <si>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</si>
  <si>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</si>
  <si>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</si>
  <si>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</si>
  <si>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</si>
  <si>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</si>
  <si>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</si>
  <si>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</si>
  <si>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</si>
  <si>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</si>
  <si>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</si>
  <si>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</si>
  <si>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</si>
  <si>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</si>
  <si>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</si>
  <si>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</si>
  <si>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</si>
  <si>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</si>
  <si>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</si>
  <si>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</si>
  <si>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</si>
  <si>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</si>
  <si>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</si>
  <si>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</si>
  <si>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</si>
  <si>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</si>
  <si>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</si>
  <si>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</si>
  <si>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</si>
  <si>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</si>
  <si>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</si>
  <si>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</si>
  <si>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</si>
  <si>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</si>
  <si>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</si>
  <si>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</si>
  <si>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</si>
  <si>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</si>
  <si>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</si>
  <si>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</si>
  <si>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</si>
  <si>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</si>
  <si>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</si>
  <si>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</si>
  <si>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</si>
  <si>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</si>
  <si>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</si>
  <si>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</si>
  <si>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</si>
  <si>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</si>
  <si>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</si>
  <si>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</si>
  <si>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</si>
  <si>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</si>
  <si>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</si>
  <si>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</si>
  <si>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</si>
  <si>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</si>
  <si>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</si>
  <si>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</si>
  <si>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</si>
  <si>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</si>
  <si>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</si>
  <si>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</si>
  <si>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</si>
  <si>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</si>
  <si>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</si>
  <si>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</si>
  <si>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</si>
  <si>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</si>
  <si>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</si>
  <si>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</si>
  <si>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</si>
  <si>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</si>
  <si>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</si>
  <si>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</si>
  <si>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</si>
  <si>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</si>
  <si>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</si>
  <si>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</si>
  <si>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</si>
  <si>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</si>
  <si>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</si>
  <si>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</si>
  <si>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</si>
  <si>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</si>
  <si>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</si>
  <si>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</si>
  <si>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</si>
  <si>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</si>
  <si>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</si>
  <si>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</si>
  <si>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</si>
  <si>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</si>
  <si>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</si>
  <si>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</si>
  <si>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</si>
  <si>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</si>
  <si>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</si>
  <si>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</si>
  <si>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</si>
  <si>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</si>
  <si>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</si>
  <si>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</si>
  <si>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</si>
  <si>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</si>
  <si>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</si>
  <si>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</si>
  <si>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</si>
  <si>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</si>
  <si>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</si>
  <si>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</si>
  <si>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</si>
  <si>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</si>
  <si>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</si>
  <si>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</si>
  <si>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</si>
  <si>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</si>
  <si>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</si>
  <si>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</si>
  <si>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</si>
  <si>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</si>
  <si>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</si>
  <si>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</si>
  <si>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</si>
  <si>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</si>
  <si>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</si>
  <si>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</si>
  <si>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</si>
  <si>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</si>
  <si>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</si>
  <si>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</si>
  <si>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</si>
  <si>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</si>
  <si>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</si>
  <si>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</si>
  <si>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</si>
  <si>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</si>
  <si>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</si>
  <si>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</si>
  <si>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</si>
  <si>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</si>
  <si>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</si>
  <si>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</si>
  <si>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</si>
  <si>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</si>
  <si>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</si>
  <si>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</si>
  <si>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</si>
  <si>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</si>
  <si>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</si>
  <si>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</si>
  <si>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</si>
  <si>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</si>
  <si>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</si>
  <si>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</si>
  <si>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</si>
  <si>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</si>
  <si>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</si>
  <si>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</si>
  <si>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</si>
  <si>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</si>
  <si>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</si>
  <si>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</si>
  <si>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</si>
  <si>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</si>
  <si>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</si>
  <si>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</si>
  <si>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</si>
  <si>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</si>
  <si>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</si>
  <si>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</si>
  <si>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</si>
  <si>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</si>
  <si>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</si>
  <si>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</si>
  <si>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</si>
  <si>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</si>
  <si>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</si>
  <si>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</si>
  <si>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</si>
  <si>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</si>
  <si>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</si>
  <si>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</si>
  <si>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</si>
  <si>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</si>
  <si>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</si>
  <si>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</si>
  <si>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</si>
  <si>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</si>
  <si>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</si>
  <si>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</si>
  <si>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</si>
  <si>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</si>
  <si>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</si>
  <si>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</si>
  <si>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</si>
  <si>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</si>
  <si>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</si>
  <si>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</si>
  <si>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</si>
  <si>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</si>
  <si>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</si>
  <si>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</si>
  <si>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</si>
  <si>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</si>
  <si>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</si>
  <si>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</si>
  <si>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</si>
  <si>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</si>
  <si>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</si>
  <si>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</si>
  <si>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</si>
  <si>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</si>
  <si>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</si>
  <si>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</si>
  <si>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</si>
  <si>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</si>
  <si>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</si>
  <si>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</si>
  <si>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</si>
  <si>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</si>
  <si>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</si>
  <si>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</si>
  <si>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</si>
  <si>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</si>
  <si>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</si>
  <si>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</si>
  <si>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</si>
  <si>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</si>
  <si>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</si>
  <si>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</si>
  <si>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</si>
  <si>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</si>
  <si>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</si>
  <si>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</si>
  <si>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</si>
  <si>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</si>
  <si>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</si>
  <si>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</si>
  <si>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</si>
  <si>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</si>
  <si>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</si>
  <si>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</si>
  <si>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</si>
  <si>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</si>
  <si>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</si>
  <si>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</si>
  <si>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</si>
  <si>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</si>
  <si>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</si>
  <si>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</si>
  <si>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</si>
  <si>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</si>
  <si>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</si>
  <si>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</si>
  <si>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</si>
  <si>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</si>
  <si>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</si>
  <si>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</si>
  <si>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</si>
  <si>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</si>
  <si>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</si>
  <si>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</si>
  <si>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</si>
  <si>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</si>
  <si>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</si>
  <si>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</si>
  <si>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</si>
  <si>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</si>
  <si>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</si>
  <si>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</si>
  <si>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</si>
  <si>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</si>
  <si>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</si>
  <si>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</si>
  <si>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</si>
  <si>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</si>
  <si>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</si>
  <si>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</si>
  <si>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</si>
  <si>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</si>
  <si>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</si>
  <si>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</si>
  <si>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</si>
  <si>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</si>
  <si>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</si>
  <si>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</si>
  <si>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</si>
  <si>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</si>
  <si>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</si>
  <si>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</si>
  <si>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</si>
  <si>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</si>
  <si>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</si>
  <si>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</si>
  <si>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</si>
  <si>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</si>
  <si>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</si>
  <si>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</si>
  <si>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</si>
  <si>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</si>
  <si>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</si>
  <si>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</si>
  <si>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</si>
  <si>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</si>
  <si>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</si>
  <si>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</si>
  <si>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</si>
  <si>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</si>
  <si>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</si>
  <si>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</si>
  <si>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</si>
  <si>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</si>
  <si>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</si>
  <si>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</si>
  <si>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</si>
  <si>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</si>
  <si>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</si>
  <si>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</si>
  <si>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</si>
  <si>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</si>
  <si>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</si>
  <si>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</si>
  <si>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</si>
  <si>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</si>
  <si>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</si>
  <si>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</si>
  <si>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</si>
  <si>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</si>
  <si>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</si>
  <si>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</si>
  <si>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</si>
  <si>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</si>
  <si>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</si>
  <si>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</si>
  <si>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</si>
  <si>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</si>
  <si>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</si>
  <si>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</si>
  <si>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</si>
  <si>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</si>
  <si>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</si>
  <si>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</si>
  <si>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</si>
  <si>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</si>
  <si>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</si>
  <si>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</si>
  <si>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</si>
  <si>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</si>
  <si>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</si>
  <si>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</si>
  <si>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</si>
  <si>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</si>
  <si>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</si>
  <si>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</si>
  <si>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</si>
  <si>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</si>
  <si>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</si>
  <si>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</si>
  <si>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</si>
  <si>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</si>
  <si>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</si>
  <si>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</si>
  <si>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</si>
  <si>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</si>
  <si>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</si>
  <si>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</si>
  <si>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</si>
  <si>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</si>
  <si>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</si>
  <si>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</si>
  <si>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</si>
  <si>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</si>
  <si>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</si>
  <si>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</si>
  <si>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</si>
  <si>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</si>
  <si>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</si>
  <si>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</si>
  <si>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</si>
  <si>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</si>
  <si>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</si>
  <si>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</si>
  <si>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</si>
  <si>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</si>
  <si>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</si>
  <si>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</si>
  <si>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</si>
  <si>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</si>
  <si>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</si>
  <si>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</si>
  <si>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</si>
  <si>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</si>
  <si>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</si>
  <si>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</si>
  <si>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</si>
  <si>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</si>
  <si>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</si>
  <si>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</si>
  <si>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</si>
  <si>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</si>
  <si>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</si>
  <si>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</si>
  <si>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</si>
  <si>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</si>
  <si>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</si>
  <si>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</si>
  <si>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</si>
  <si>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</si>
  <si>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</si>
  <si>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</si>
  <si>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</si>
  <si>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</si>
  <si>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</si>
  <si>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</si>
  <si>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</si>
  <si>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</si>
  <si>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</si>
  <si>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</si>
  <si>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</si>
  <si>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</si>
  <si>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</si>
  <si>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</si>
  <si>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</si>
  <si>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</si>
  <si>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</si>
  <si>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</si>
  <si>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</si>
  <si>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</si>
  <si>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</si>
  <si>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</si>
  <si>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</si>
  <si>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</si>
  <si>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</si>
  <si>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</si>
  <si>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</si>
  <si>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</si>
  <si>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</si>
  <si>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</si>
  <si>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</si>
  <si>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</si>
  <si>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</si>
  <si>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</si>
  <si>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</si>
  <si>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</si>
  <si>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</si>
  <si>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</si>
  <si>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</si>
  <si>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</si>
  <si>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</si>
  <si>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</si>
  <si>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</si>
  <si>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</si>
  <si>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</si>
  <si>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</si>
  <si>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</si>
  <si>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</si>
  <si>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</si>
  <si>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</si>
  <si>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</si>
  <si>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</si>
  <si>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</si>
  <si>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</si>
  <si>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</si>
  <si>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</si>
  <si>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</si>
  <si>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</si>
  <si>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</si>
  <si>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</si>
  <si>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</si>
  <si>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</si>
  <si>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</si>
  <si>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</si>
  <si>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</si>
  <si>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</si>
  <si>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</si>
  <si>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</si>
  <si>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</si>
  <si>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</si>
  <si>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</si>
  <si>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</si>
  <si>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</si>
  <si>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</si>
  <si>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</si>
  <si>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</si>
  <si>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</si>
  <si>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</si>
  <si>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</si>
  <si>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</si>
  <si>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</si>
  <si>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</si>
  <si>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</si>
  <si>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</si>
  <si>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</si>
  <si>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</si>
  <si>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</si>
  <si>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</si>
  <si>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</si>
  <si>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</si>
  <si>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</si>
  <si>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</si>
  <si>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</si>
  <si>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</si>
  <si>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</si>
  <si>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</si>
  <si>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</si>
  <si>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</si>
  <si>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</si>
  <si>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</si>
  <si>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</si>
  <si>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</si>
  <si>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</si>
  <si>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</si>
  <si>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</si>
  <si>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</si>
  <si>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</si>
  <si>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</si>
  <si>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</si>
  <si>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</si>
  <si>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</si>
  <si>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</si>
  <si>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</si>
  <si>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</si>
  <si>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</si>
  <si>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</si>
  <si>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</si>
  <si>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</si>
  <si>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</si>
  <si>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</si>
  <si>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</si>
  <si>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</si>
  <si>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</si>
  <si>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</si>
  <si>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</si>
  <si>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</si>
  <si>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</si>
  <si>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</si>
  <si>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</si>
  <si>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</si>
  <si>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</si>
  <si>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</si>
  <si>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</si>
  <si>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</si>
  <si>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</si>
  <si>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</si>
  <si>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</si>
  <si>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</si>
  <si>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</si>
  <si>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</si>
  <si>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</si>
  <si>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</si>
  <si>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</si>
  <si>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</si>
  <si>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</si>
  <si>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</si>
  <si>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</si>
  <si>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</si>
  <si>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</si>
  <si>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</si>
  <si>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</si>
  <si>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</si>
  <si>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</si>
  <si>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</si>
  <si>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</si>
  <si>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</si>
  <si>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</si>
  <si>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</si>
  <si>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</si>
  <si>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</si>
  <si>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</si>
  <si>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</si>
  <si>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</si>
  <si>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</si>
  <si>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</si>
  <si>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</si>
  <si>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</si>
  <si>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</si>
  <si>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</si>
  <si>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</si>
  <si>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</si>
  <si>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</si>
  <si>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</si>
  <si>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</si>
  <si>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</si>
  <si>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</si>
  <si>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</si>
  <si>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</si>
  <si>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</si>
  <si>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</si>
  <si>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</si>
  <si>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</si>
  <si>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</si>
  <si>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</si>
  <si>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</si>
  <si>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</si>
  <si>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</si>
  <si>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</si>
  <si>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</si>
  <si>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</si>
  <si>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</si>
  <si>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</si>
  <si>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</si>
  <si>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</si>
  <si>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</si>
  <si>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</si>
  <si>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</si>
  <si>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</si>
  <si>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</si>
  <si>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</si>
  <si>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</si>
  <si>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</si>
  <si>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</si>
  <si>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</si>
  <si>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</si>
  <si>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</si>
  <si>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</si>
  <si>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</si>
  <si>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</si>
  <si>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</si>
  <si>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</si>
  <si>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</si>
  <si>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</si>
  <si>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</si>
  <si>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</si>
  <si>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</si>
  <si>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</si>
  <si>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</si>
  <si>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</si>
  <si>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</si>
  <si>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</si>
  <si>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</si>
  <si>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</si>
  <si>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</si>
  <si>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</si>
  <si>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</si>
  <si>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</si>
  <si>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</si>
  <si>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</si>
  <si>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</si>
  <si>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</si>
  <si>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</si>
  <si>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</si>
  <si>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</si>
  <si>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</si>
  <si>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</si>
  <si>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</si>
  <si>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</si>
  <si>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</si>
  <si>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</si>
  <si>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</si>
  <si>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</si>
  <si>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</si>
  <si>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</si>
  <si>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</si>
  <si>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</si>
  <si>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</si>
  <si>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</si>
  <si>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</si>
  <si>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</si>
  <si>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</si>
  <si>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</si>
  <si>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</si>
  <si>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</si>
  <si>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</si>
  <si>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</si>
  <si>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</si>
  <si>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</si>
  <si>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</si>
  <si>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</si>
  <si>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</si>
  <si>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</si>
  <si>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</si>
  <si>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</si>
  <si>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</si>
  <si>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</si>
  <si>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</si>
  <si>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</si>
  <si>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</si>
  <si>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</si>
  <si>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</si>
  <si>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</si>
  <si>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</si>
  <si>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</si>
  <si>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</si>
  <si>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</si>
  <si>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</si>
  <si>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</si>
  <si>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</si>
  <si>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</si>
  <si>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</si>
  <si>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</si>
  <si>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</si>
  <si>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</si>
  <si>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</si>
  <si>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</si>
  <si>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</si>
  <si>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</si>
  <si>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</si>
  <si>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</si>
  <si>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</si>
  <si>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</si>
  <si>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</si>
  <si>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</si>
  <si>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</si>
  <si>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</si>
  <si>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</si>
  <si>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</si>
  <si>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</si>
  <si>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</si>
  <si>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</si>
  <si>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</si>
  <si>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</si>
  <si>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</si>
  <si>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</si>
  <si>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</si>
  <si>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</si>
  <si>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</si>
  <si>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</si>
  <si>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</si>
  <si>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</si>
  <si>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</si>
  <si>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</si>
  <si>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</si>
  <si>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</si>
  <si>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</si>
  <si>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</si>
  <si>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</si>
  <si>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</si>
  <si>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</si>
  <si>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</si>
  <si>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</si>
  <si>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</si>
  <si>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</si>
  <si>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</si>
  <si>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</si>
  <si>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</si>
  <si>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</si>
  <si>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</si>
  <si>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</si>
  <si>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</si>
  <si>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</si>
  <si>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</si>
  <si>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</si>
  <si>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</si>
  <si>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</si>
  <si>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</si>
  <si>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</si>
  <si>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</si>
  <si>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</si>
  <si>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</si>
  <si>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</si>
  <si>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</si>
  <si>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</si>
  <si>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</si>
  <si>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</si>
  <si>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</si>
  <si>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</si>
  <si>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</si>
  <si>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</si>
  <si>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</si>
  <si>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</si>
  <si>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</si>
  <si>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</si>
  <si>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</si>
  <si>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</si>
  <si>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</si>
  <si>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</si>
  <si>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</si>
  <si>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</si>
  <si>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</si>
  <si>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</si>
  <si>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</si>
  <si>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</si>
  <si>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</si>
  <si>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</si>
  <si>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</si>
  <si>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</si>
  <si>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</si>
  <si>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</si>
  <si>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</si>
  <si>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</si>
  <si>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</si>
  <si>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</si>
  <si>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</si>
  <si>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</si>
  <si>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</si>
  <si>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</si>
  <si>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</si>
  <si>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</si>
  <si>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</si>
  <si>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</si>
  <si>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</si>
  <si>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</si>
  <si>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</si>
  <si>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</si>
  <si>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</si>
  <si>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</si>
  <si>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</si>
  <si>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</si>
  <si>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</si>
  <si>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</si>
  <si>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</si>
  <si>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</si>
  <si>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</si>
  <si>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</si>
  <si>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</si>
  <si>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</si>
  <si>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</si>
  <si>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</si>
  <si>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</si>
  <si>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</si>
  <si>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</si>
  <si>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</si>
  <si>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</si>
  <si>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</si>
  <si>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</si>
  <si>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</si>
  <si>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</si>
  <si>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</si>
  <si>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</si>
  <si>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</si>
  <si>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</si>
  <si>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</si>
  <si>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</si>
  <si>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</si>
  <si>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</si>
  <si>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</si>
  <si>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</si>
  <si>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</si>
  <si>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</si>
  <si>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</si>
  <si>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</si>
  <si>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</si>
  <si>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</si>
  <si>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</si>
  <si>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</si>
  <si>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</si>
  <si>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</si>
  <si>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</si>
  <si>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</si>
  <si>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</si>
  <si>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</si>
  <si>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</si>
  <si>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</si>
  <si>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</si>
  <si>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</si>
  <si>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</si>
  <si>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</si>
  <si>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</si>
  <si>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</si>
  <si>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</si>
  <si>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</si>
  <si>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</si>
  <si>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</si>
  <si>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</si>
  <si>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</si>
  <si>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</si>
  <si>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</si>
  <si>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</si>
  <si>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</si>
  <si>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</si>
  <si>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</si>
  <si>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</si>
  <si>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</si>
  <si>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</si>
  <si>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</si>
  <si>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</si>
  <si>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</si>
  <si>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</si>
  <si>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</si>
  <si>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</si>
  <si>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</si>
  <si>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</si>
  <si>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</si>
  <si>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</si>
  <si>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</si>
  <si>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</si>
  <si>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</si>
  <si>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</si>
  <si>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</si>
  <si>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</si>
  <si>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</si>
  <si>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</si>
  <si>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</si>
  <si>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</si>
  <si>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</si>
  <si>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</si>
  <si>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</si>
  <si>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</si>
  <si>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</si>
  <si>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</si>
  <si>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</si>
  <si>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</si>
  <si>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</si>
  <si>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</si>
  <si>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</si>
  <si>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</si>
  <si>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</si>
  <si>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</si>
  <si>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</si>
  <si>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</si>
  <si>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</si>
  <si>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</si>
  <si>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</si>
  <si>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</si>
  <si>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</si>
  <si>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</si>
  <si>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</si>
  <si>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</si>
  <si>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</si>
  <si>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</si>
  <si>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</si>
  <si>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</si>
  <si>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</si>
  <si>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</si>
  <si>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</si>
  <si>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</si>
  <si>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</si>
  <si>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</si>
  <si>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</si>
  <si>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</si>
  <si>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</si>
  <si>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</si>
  <si>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</si>
  <si>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</si>
  <si>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</si>
  <si>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</si>
  <si>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</si>
  <si>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</si>
  <si>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</si>
  <si>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</si>
  <si>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</si>
  <si>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</si>
  <si>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</si>
  <si>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</si>
  <si>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</si>
  <si>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</si>
  <si>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</si>
  <si>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</si>
  <si>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</si>
  <si>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</si>
  <si>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</si>
  <si>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</si>
  <si>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</si>
  <si>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</si>
  <si>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</si>
  <si>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</si>
  <si>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</si>
  <si>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</si>
  <si>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</si>
  <si>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</si>
  <si>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</si>
  <si>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</si>
  <si>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</si>
  <si>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</si>
  <si>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</si>
  <si>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</si>
  <si>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</si>
  <si>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</si>
  <si>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</si>
  <si>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</si>
  <si>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</si>
  <si>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</si>
  <si>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</si>
  <si>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</si>
  <si>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</si>
  <si>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</si>
  <si>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</si>
  <si>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</si>
  <si>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</si>
  <si>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</si>
  <si>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</si>
  <si>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</si>
  <si>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</si>
  <si>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</si>
  <si>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</si>
  <si>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</si>
  <si>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</si>
  <si>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</si>
  <si>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</si>
  <si>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</si>
  <si>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</si>
  <si>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</si>
  <si>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</si>
  <si>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</si>
  <si>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</si>
  <si>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</si>
  <si>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</si>
  <si>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</si>
  <si>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</si>
  <si>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</si>
  <si>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</si>
  <si>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</si>
  <si>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</si>
  <si>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</si>
  <si>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</si>
  <si>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</si>
  <si>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</si>
  <si>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</si>
  <si>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</si>
  <si>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</si>
  <si>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</si>
  <si>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</si>
  <si>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</si>
  <si>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</si>
  <si>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</si>
  <si>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</si>
  <si>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</si>
  <si>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</si>
  <si>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</si>
  <si>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</si>
  <si>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</si>
  <si>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</si>
  <si>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</si>
  <si>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</si>
  <si>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</si>
  <si>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</si>
  <si>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</si>
  <si>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</si>
  <si>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</si>
  <si>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</si>
  <si>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</si>
  <si>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</si>
  <si>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</si>
  <si>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</si>
  <si>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</si>
  <si>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</si>
  <si>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</si>
  <si>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</si>
  <si>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</si>
  <si>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</si>
  <si>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</si>
  <si>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</si>
  <si>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</si>
  <si>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</si>
  <si>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</si>
  <si>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</si>
  <si>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</si>
  <si>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</si>
  <si>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</si>
  <si>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</si>
  <si>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</si>
  <si>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</si>
  <si>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</si>
  <si>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</si>
  <si>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</si>
  <si>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</si>
  <si>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</si>
  <si>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</si>
  <si>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</si>
  <si>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</si>
  <si>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</si>
  <si>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</si>
  <si>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</si>
  <si>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</si>
  <si>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</si>
  <si>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</si>
  <si>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</si>
  <si>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</si>
  <si>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</si>
  <si>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</si>
  <si>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</si>
  <si>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</si>
  <si>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</si>
  <si>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</si>
  <si>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</si>
  <si>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</si>
  <si>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</si>
  <si>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</si>
  <si>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</si>
  <si>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</si>
  <si>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</si>
  <si>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</si>
  <si>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</si>
  <si>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</si>
  <si>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</si>
  <si>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</si>
  <si>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</si>
  <si>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</si>
  <si>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</si>
  <si>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</si>
  <si>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</si>
  <si>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</si>
  <si>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</si>
  <si>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</si>
  <si>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</si>
  <si>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</si>
  <si>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</si>
  <si>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</si>
  <si>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</si>
  <si>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</si>
  <si>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</si>
  <si>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</si>
  <si>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</si>
  <si>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</si>
  <si>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</si>
  <si>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</si>
  <si>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</si>
  <si>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</si>
  <si>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</si>
  <si>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</si>
  <si>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</si>
  <si>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</si>
  <si>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</si>
  <si>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</si>
  <si>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</si>
  <si>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</si>
  <si>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</si>
  <si>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</si>
  <si>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</si>
  <si>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</si>
  <si>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</si>
  <si>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</si>
  <si>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</si>
  <si>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</si>
  <si>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</si>
  <si>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</si>
  <si>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</si>
  <si>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</si>
  <si>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</si>
  <si>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</si>
  <si>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</si>
  <si>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</si>
  <si>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</si>
  <si>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</si>
  <si>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</si>
  <si>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</si>
  <si>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</si>
  <si>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</si>
  <si>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</si>
  <si>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</si>
  <si>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</si>
  <si>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</si>
  <si>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</si>
  <si>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</si>
  <si>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</si>
  <si>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</si>
  <si>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</si>
  <si>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</si>
  <si>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</si>
  <si>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</si>
  <si>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</si>
  <si>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</si>
  <si>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</si>
  <si>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</si>
  <si>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</si>
  <si>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</si>
  <si>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</si>
  <si>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</si>
  <si>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</si>
  <si>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</si>
  <si>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</si>
  <si>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</si>
  <si>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</si>
  <si>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</si>
  <si>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</si>
  <si>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</si>
  <si>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</si>
  <si>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</si>
  <si>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</si>
  <si>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</si>
  <si>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</si>
  <si>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</si>
  <si>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</si>
  <si>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</si>
  <si>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</si>
  <si>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</si>
  <si>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</si>
  <si>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</si>
  <si>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</si>
  <si>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</si>
  <si>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</si>
  <si>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</si>
  <si>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</si>
  <si>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</si>
  <si>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</si>
  <si>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</si>
  <si>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</si>
  <si>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</si>
  <si>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</si>
  <si>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</si>
  <si>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</si>
  <si>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</si>
  <si>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</si>
  <si>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</si>
  <si>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</si>
  <si>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</si>
  <si>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</si>
  <si>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</si>
  <si>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</si>
  <si>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</si>
  <si>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</si>
  <si>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</si>
  <si>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</si>
  <si>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</si>
  <si>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</si>
  <si>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</si>
  <si>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</si>
  <si>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</si>
  <si>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</si>
  <si>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</si>
  <si>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</si>
  <si>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</si>
  <si>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</si>
  <si>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</si>
  <si>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</si>
  <si>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</si>
  <si>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</si>
  <si>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</si>
  <si>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</si>
  <si>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</si>
  <si>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</si>
  <si>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</si>
  <si>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</si>
  <si>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</si>
  <si>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</si>
  <si>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</si>
  <si>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</si>
  <si>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</si>
  <si>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</si>
  <si>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</si>
  <si>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</si>
  <si>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</si>
  <si>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</si>
  <si>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</si>
  <si>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</si>
  <si>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</si>
  <si>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</si>
  <si>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</si>
  <si>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</si>
  <si>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</si>
  <si>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</si>
  <si>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</si>
  <si>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</si>
  <si>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</si>
  <si>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</si>
  <si>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</si>
  <si>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</si>
  <si>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</si>
  <si>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</si>
  <si>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</si>
  <si>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</si>
  <si>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</si>
  <si>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</si>
  <si>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</si>
  <si>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</si>
  <si>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</si>
  <si>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</si>
  <si>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</si>
  <si>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</si>
  <si>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</si>
  <si>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</si>
  <si>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</si>
  <si>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</si>
  <si>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</si>
  <si>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</si>
  <si>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</si>
  <si>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</si>
  <si>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</si>
  <si>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</si>
  <si>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</si>
  <si>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</si>
  <si>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</si>
  <si>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</si>
  <si>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</si>
  <si>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</si>
  <si>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</si>
  <si>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</si>
  <si>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</si>
  <si>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</si>
  <si>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</si>
  <si>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</si>
  <si>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</si>
  <si>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</si>
  <si>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</si>
  <si>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</si>
  <si>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</si>
  <si>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</si>
  <si>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</si>
  <si>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</si>
  <si>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</si>
  <si>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</si>
  <si>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</si>
  <si>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</si>
  <si>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</si>
  <si>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</si>
  <si>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</si>
  <si>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</si>
  <si>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</si>
  <si>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</si>
  <si>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</si>
  <si>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</si>
  <si>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</si>
  <si>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</si>
  <si>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</si>
  <si>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</si>
  <si>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</si>
  <si>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</si>
  <si>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</si>
  <si>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</si>
  <si>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</si>
  <si>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</si>
  <si>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</si>
  <si>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</si>
  <si>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</si>
  <si>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</si>
  <si>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</si>
  <si>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</si>
  <si>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</si>
  <si>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</si>
  <si>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</si>
  <si>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</si>
  <si>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</si>
  <si>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</si>
  <si>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</si>
  <si>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</si>
  <si>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</si>
  <si>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</si>
  <si>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</si>
  <si>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</si>
  <si>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</si>
  <si>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</si>
  <si>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</si>
  <si>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</si>
  <si>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</si>
  <si>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</si>
  <si>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</si>
  <si>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</si>
  <si>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</si>
  <si>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</si>
  <si>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</si>
  <si>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</si>
  <si>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</si>
  <si>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</si>
  <si>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</si>
  <si>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</si>
  <si>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</si>
  <si>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</si>
  <si>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</si>
  <si>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</si>
  <si>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</si>
  <si>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</si>
  <si>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</si>
  <si>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</si>
  <si>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</si>
  <si>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</si>
  <si>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</si>
  <si>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</si>
  <si>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</si>
  <si>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</si>
  <si>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</si>
  <si>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</si>
  <si>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</si>
  <si>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</si>
  <si>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</si>
  <si>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</si>
  <si>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</si>
  <si>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</si>
  <si>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</si>
  <si>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</si>
  <si>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</si>
  <si>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</si>
  <si>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</si>
  <si>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</si>
  <si>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</si>
  <si>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</si>
  <si>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</si>
  <si>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</si>
  <si>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</si>
  <si>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</si>
  <si>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</si>
  <si>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</si>
  <si>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</si>
  <si>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</si>
  <si>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</si>
  <si>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</si>
  <si>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</si>
  <si>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</si>
  <si>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</si>
  <si>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</si>
  <si>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</si>
  <si>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</si>
  <si>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</si>
  <si>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</si>
  <si>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</si>
  <si>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</si>
  <si>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</si>
  <si>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</si>
  <si>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</si>
  <si>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</si>
  <si>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</si>
  <si>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</si>
  <si>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</si>
  <si>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</si>
  <si>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</si>
  <si>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</si>
  <si>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</si>
  <si>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</si>
  <si>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</si>
  <si>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</si>
  <si>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</si>
  <si>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</si>
  <si>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</si>
  <si>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</si>
  <si>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</si>
  <si>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</si>
  <si>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</si>
  <si>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</si>
  <si>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</si>
  <si>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</si>
  <si>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</si>
  <si>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</si>
  <si>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</si>
  <si>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</si>
  <si>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</si>
  <si>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</si>
  <si>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</si>
  <si>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</si>
  <si>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</si>
  <si>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</si>
  <si>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</si>
  <si>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</si>
  <si>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</si>
  <si>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</si>
  <si>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</si>
  <si>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</si>
  <si>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</si>
  <si>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</si>
  <si>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</si>
  <si>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</si>
  <si>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</si>
  <si>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</si>
  <si>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</si>
  <si>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</si>
  <si>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</si>
  <si>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</si>
  <si>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</si>
  <si>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</si>
  <si>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</si>
  <si>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</si>
  <si>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</si>
  <si>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</si>
  <si>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</si>
  <si>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</si>
  <si>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</si>
  <si>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</si>
  <si>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</si>
  <si>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</si>
  <si>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</si>
  <si>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</si>
  <si>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</si>
  <si>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</si>
  <si>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</si>
  <si>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</si>
  <si>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</si>
  <si>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</si>
  <si>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</si>
  <si>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</si>
  <si>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</si>
  <si>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</si>
  <si>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</si>
  <si>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</si>
  <si>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</si>
  <si>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</si>
  <si>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</si>
  <si>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</si>
  <si>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</si>
  <si>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</si>
  <si>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</si>
  <si>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</si>
  <si>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</si>
  <si>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</si>
  <si>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</si>
  <si>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</si>
  <si>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</si>
  <si>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</si>
  <si>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</si>
  <si>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</si>
  <si>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</si>
  <si>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</si>
  <si>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</si>
  <si>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</si>
  <si>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</si>
  <si>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</si>
  <si>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</si>
  <si>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</si>
  <si>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</si>
  <si>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</si>
  <si>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</si>
  <si>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</si>
  <si>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</si>
  <si>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</si>
  <si>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</si>
  <si>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</si>
  <si>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</si>
  <si>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</si>
  <si>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</si>
  <si>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</si>
  <si>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</si>
  <si>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</si>
  <si>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</si>
  <si>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</si>
  <si>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</si>
  <si>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</si>
  <si>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</si>
  <si>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</si>
  <si>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</si>
  <si>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</si>
  <si>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</si>
  <si>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</si>
  <si>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</si>
  <si>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</si>
  <si>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</si>
  <si>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</si>
  <si>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</si>
  <si>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</si>
  <si>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</si>
  <si>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</si>
  <si>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</si>
  <si>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</si>
  <si>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</si>
  <si>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</si>
  <si>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</si>
  <si>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</si>
  <si>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</si>
  <si>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</si>
  <si>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</si>
  <si>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</si>
  <si>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</si>
  <si>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</si>
  <si>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</si>
  <si>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</si>
  <si>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</si>
  <si>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</si>
  <si>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</si>
  <si>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</si>
  <si>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</si>
  <si>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</si>
  <si>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</si>
  <si>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</si>
  <si>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</si>
  <si>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</si>
  <si>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</si>
  <si>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</si>
  <si>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</si>
  <si>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</si>
  <si>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</si>
  <si>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</si>
  <si>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</si>
  <si>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</si>
  <si>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</si>
  <si>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</si>
  <si>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</si>
  <si>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</si>
  <si>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</si>
  <si>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</si>
  <si>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</si>
  <si>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</si>
  <si>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</si>
  <si>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</si>
  <si>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</si>
  <si>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</si>
  <si>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</si>
  <si>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</si>
  <si>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</si>
  <si>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</si>
  <si>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</si>
  <si>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</si>
  <si>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</si>
  <si>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</si>
  <si>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</si>
  <si>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</si>
  <si>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</si>
  <si>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</si>
  <si>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</si>
  <si>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</si>
  <si>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</si>
  <si>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</si>
  <si>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</si>
  <si>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</si>
  <si>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</si>
  <si>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</si>
  <si>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</si>
  <si>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</si>
  <si>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</si>
  <si>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</si>
  <si>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</si>
  <si>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</si>
  <si>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</si>
  <si>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</si>
  <si>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</si>
  <si>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</si>
  <si>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</si>
  <si>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</si>
  <si>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</si>
  <si>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</si>
  <si>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</si>
  <si>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</si>
  <si>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</si>
  <si>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</si>
  <si>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</si>
  <si>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</si>
  <si>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</si>
  <si>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</si>
  <si>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</si>
  <si>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</si>
  <si>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</si>
  <si>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</si>
  <si>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</si>
  <si>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</si>
  <si>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</si>
  <si>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</si>
  <si>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</si>
  <si>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</si>
  <si>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</si>
  <si>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</si>
  <si>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</si>
  <si>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</si>
  <si>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</si>
  <si>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</si>
  <si>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</si>
  <si>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</si>
  <si>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</si>
  <si>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</si>
  <si>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</si>
  <si>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</si>
  <si>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</si>
  <si>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</si>
  <si>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</si>
  <si>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</si>
  <si>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</si>
  <si>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</si>
  <si>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</si>
  <si>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</si>
  <si>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</si>
  <si>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</si>
  <si>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</si>
  <si>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</si>
  <si>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</si>
  <si>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</si>
  <si>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</si>
  <si>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</si>
  <si>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</si>
  <si>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</si>
  <si>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</si>
  <si>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</si>
  <si>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</si>
  <si>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</si>
  <si>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</si>
  <si>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</si>
  <si>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</si>
  <si>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</si>
  <si>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</si>
  <si>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</si>
  <si>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</si>
  <si>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</si>
  <si>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</si>
  <si>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</si>
  <si>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</si>
  <si>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</si>
  <si>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</si>
  <si>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</si>
  <si>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</si>
  <si>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</si>
  <si>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</si>
  <si>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</si>
  <si>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</si>
  <si>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</si>
  <si>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</si>
  <si>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</si>
  <si>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</si>
  <si>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</si>
  <si>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</si>
  <si>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</si>
  <si>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</si>
  <si>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</si>
  <si>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</si>
  <si>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</si>
  <si>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</si>
  <si>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</si>
  <si>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</si>
  <si>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</si>
  <si>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</si>
  <si>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</si>
  <si>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</si>
  <si>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</si>
  <si>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</si>
  <si>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</si>
  <si>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</si>
  <si>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</si>
  <si>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</si>
  <si>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</si>
  <si>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</si>
  <si>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</si>
  <si>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</si>
  <si>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</si>
  <si>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</si>
  <si>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</si>
  <si>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</si>
  <si>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</si>
  <si>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</si>
  <si>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</si>
  <si>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</si>
  <si>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</si>
  <si>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</si>
  <si>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</si>
  <si>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</si>
  <si>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</si>
  <si>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</si>
  <si>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</si>
  <si>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</si>
  <si>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</si>
  <si>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</si>
  <si>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</si>
  <si>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</si>
  <si>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</si>
  <si>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</si>
  <si>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</si>
  <si>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</si>
  <si>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</si>
  <si>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</si>
  <si>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</si>
  <si>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</si>
  <si>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</si>
  <si>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</si>
  <si>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</si>
  <si>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</si>
  <si>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</si>
  <si>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</si>
  <si>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</si>
  <si>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</si>
  <si>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</si>
  <si>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</si>
  <si>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</si>
  <si>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</si>
  <si>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</si>
  <si>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</si>
  <si>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</si>
  <si>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</si>
  <si>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</si>
  <si>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</si>
  <si>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</si>
  <si>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</si>
  <si>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</si>
  <si>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</si>
  <si>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</si>
  <si>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</si>
  <si>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</si>
  <si>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r>
      <rPr>
        <sz val="10"/>
        <color theme="9" tint="-0.249977111117893"/>
        <rFont val="宋体"/>
        <family val="3"/>
        <charset val="134"/>
      </rPr>
      <t>《国有土地使用证》</t>
    </r>
    <r>
      <rPr>
        <sz val="10"/>
        <color theme="9" tint="-0.249977111117893"/>
        <rFont val="Arial"/>
        <family val="2"/>
      </rPr>
      <t>[]</t>
    </r>
    <phoneticPr fontId="6" type="noConversion"/>
  </si>
  <si>
    <t>地上</t>
  </si>
  <si>
    <r>
      <t>5-1</t>
    </r>
    <r>
      <rPr>
        <sz val="10"/>
        <color indexed="8"/>
        <rFont val="宋体"/>
        <family val="3"/>
        <charset val="134"/>
      </rPr>
      <t>商业</t>
    </r>
    <phoneticPr fontId="3" type="noConversion"/>
  </si>
  <si>
    <t>是</t>
  </si>
  <si>
    <t>5-1商业</t>
  </si>
  <si>
    <t>5-1商业</t>
    <phoneticPr fontId="7" type="noConversion"/>
  </si>
  <si>
    <t>新开街</t>
    <phoneticPr fontId="3" type="noConversion"/>
  </si>
  <si>
    <t>南小区</t>
    <phoneticPr fontId="3" type="noConversion"/>
  </si>
  <si>
    <t>乐园西小区</t>
    <phoneticPr fontId="3" type="noConversion"/>
  </si>
  <si>
    <t>报价</t>
  </si>
  <si>
    <t>30-40</t>
  </si>
  <si>
    <t>20-30</t>
  </si>
  <si>
    <t>10-20</t>
  </si>
  <si>
    <t>0-10</t>
  </si>
  <si>
    <t>多面临街</t>
    <phoneticPr fontId="3" type="noConversion"/>
  </si>
  <si>
    <t>双面临街</t>
    <phoneticPr fontId="3" type="noConversion"/>
  </si>
  <si>
    <t>单面临街</t>
    <phoneticPr fontId="3" type="noConversion"/>
  </si>
  <si>
    <t>不临街</t>
    <phoneticPr fontId="3" type="noConversion"/>
  </si>
  <si>
    <t>购物中心</t>
    <phoneticPr fontId="3" type="noConversion"/>
  </si>
  <si>
    <t>商业街商铺</t>
    <phoneticPr fontId="3" type="noConversion"/>
  </si>
  <si>
    <t>写字楼底商</t>
    <phoneticPr fontId="3" type="noConversion"/>
  </si>
  <si>
    <t>社区配套</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</si>
  <si>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</si>
  <si>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</si>
  <si>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</si>
  <si>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</si>
  <si>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</si>
  <si>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</si>
  <si>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</si>
  <si>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</si>
  <si>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</si>
  <si>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</si>
  <si>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</si>
  <si>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</si>
  <si>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一般</t>
    <phoneticPr fontId="3" type="noConversion"/>
  </si>
  <si>
    <t>较不适宜</t>
    <phoneticPr fontId="3" type="noConversion"/>
  </si>
  <si>
    <t>不适宜</t>
    <phoneticPr fontId="3" type="noConversion"/>
  </si>
  <si>
    <t>正常</t>
  </si>
  <si>
    <t>一般</t>
  </si>
  <si>
    <t>较好</t>
  </si>
  <si>
    <t>七通</t>
  </si>
  <si>
    <t>单面临街</t>
  </si>
  <si>
    <t>较好</t>
    <phoneticPr fontId="30" type="noConversion"/>
  </si>
  <si>
    <t>大</t>
  </si>
  <si>
    <t>较大</t>
  </si>
  <si>
    <t>小</t>
  </si>
  <si>
    <t>较小</t>
  </si>
  <si>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</si>
  <si>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</si>
  <si>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</si>
  <si>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</si>
  <si>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1-2层</t>
  </si>
  <si>
    <t>1层</t>
  </si>
  <si>
    <t>社区配套</t>
  </si>
  <si>
    <t>钢混</t>
  </si>
  <si>
    <t>普通装修</t>
  </si>
  <si>
    <t>成新度</t>
  </si>
  <si>
    <t>利息：取LPR加浮动点数</t>
  </si>
  <si>
    <t>位置</t>
    <phoneticPr fontId="3" type="noConversion"/>
  </si>
  <si>
    <t>面积</t>
    <phoneticPr fontId="3" type="noConversion"/>
  </si>
  <si>
    <t>系数</t>
    <phoneticPr fontId="3"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</si>
  <si>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</si>
  <si>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</si>
  <si>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</si>
  <si>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收益法 (元)</t>
  </si>
  <si>
    <t>非生产用房</t>
  </si>
  <si>
    <t>否</t>
  </si>
  <si>
    <t>不可做餐饮</t>
  </si>
  <si>
    <t>标准层高</t>
  </si>
  <si>
    <t>非标层高</t>
  </si>
  <si>
    <t>较适宜</t>
  </si>
  <si>
    <t>售价</t>
  </si>
  <si>
    <t>比较法-商业</t>
  </si>
  <si>
    <t>单套模式</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</si>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</sst>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估价对象为北京市房地产，为所有。根据《国有土地使用证》[]，估价对象（分摊）出让国有建设用地使用权面积为0平方米，建筑面积为282.12平方米。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估价对象为北京市房地产,属开发建设的，该项目尚在开发建设中。根据《国有土地使用证》[]，估价对象（分摊）出让国有建设用地使用权面积为0平方米，规划建筑面积为282.12平方米。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2023年6月7日（评估专业人员实地查勘之日）</v>
      </c>
    </row>
    <row r="13" spans="1:2" s="1203" customFormat="1">
      <c r="A13" s="1201" t="s">
        <v>529</v>
      </c>
      <c r="B13" s="1202" t="str">
        <f>'预评函-1'!A18</f>
        <v>本次估价的“房地产价值”是指在正常市场情况下，在价值时点2023年6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480</v>
      </c>
    </row>
    <row r="21" spans="1:2" s="1203" customFormat="1">
      <c r="A21" s="1201" t="s">
        <v>537</v>
      </c>
      <c r="B21" s="1202">
        <f ca="1">'预评函-2'!D7</f>
        <v>17023</v>
      </c>
    </row>
    <row r="22" spans="1:2" s="1203" customFormat="1">
      <c r="A22" s="1201" t="s">
        <v>538</v>
      </c>
      <c r="B22" s="1202" t="str">
        <f ca="1">'预评函-2'!D6</f>
        <v>肆佰捌拾万元整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480</v>
      </c>
    </row>
    <row r="31" spans="1:2" s="1203" customFormat="1">
      <c r="A31" s="1201" t="s">
        <v>576</v>
      </c>
      <c r="B31" s="1202">
        <f ca="1">'预评函-2'!D15</f>
        <v>17023</v>
      </c>
    </row>
    <row r="32" spans="1:2" s="1203" customFormat="1">
      <c r="A32" s="1201" t="s">
        <v>543</v>
      </c>
      <c r="B32" s="1202" t="str">
        <f ca="1">'预评函-2'!D14</f>
        <v>肆佰捌拾万元整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282.12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2579</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2580</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1" t="s">
        <v>2582</v>
      </c>
      <c r="J2" s="3491"/>
      <c r="K2" s="3491"/>
      <c r="L2" s="3491"/>
      <c r="M2" s="3491"/>
      <c r="N2" s="3491"/>
      <c r="O2" s="3491"/>
      <c r="P2" s="3491"/>
      <c r="Q2" s="3491"/>
      <c r="R2" s="3491"/>
    </row>
    <row r="3" spans="1:18">
      <c r="A3" s="3020" t="s">
        <v>2503</v>
      </c>
      <c r="B3" s="3021">
        <f>项目基本情况!D3</f>
        <v>45084</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3.53</v>
      </c>
      <c r="D5" s="3025">
        <f>IF(ISERROR(ROUND(POWER(1+E5,A5-C5)*(POWER(1+E5,C5)-1)/(POWER(1+E5,A5)-1),3)),0,ROUND(POWER(1+E5,A5-C5)*(POWER(1+E5,C5)-1)/(POWER(1+E5,A5)-1),4))</f>
        <v>0.1633</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13.54</v>
      </c>
      <c r="D6" s="3025">
        <f>IF(ISERROR(ROUND(POWER(1+E6,A6-C6)*(POWER(1+E6,C6)-1)/(POWER(1+E6,A6)-1),3)),0,ROUND(POWER(1+E6,A6-C6)*(POWER(1+E6,C6)-1)/(POWER(1+E6,A6)-1),4))</f>
        <v>0.47949999999999998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33.549999999999997</v>
      </c>
      <c r="D7" s="3025">
        <f>IF(ISERROR(ROUND(POWER(1+E7,A7-C7)*(POWER(1+E7,C7)-1)/(POWER(1+E7,A7)-1),3)),0,ROUND(POWER(1+E7,A7-C7)*(POWER(1+E7,C7)-1)/(POWER(1+E7,A7)-1),4))</f>
        <v>0.78200000000000003</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C11" sqref="C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45084</v>
      </c>
      <c r="C3" s="2374" t="s">
        <v>2171</v>
      </c>
      <c r="D3" s="2373">
        <v>45084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3377</v>
      </c>
      <c r="C8" s="2390"/>
      <c r="D8" s="3495" t="s">
        <v>2177</v>
      </c>
      <c r="E8" s="2391" t="s">
        <v>3378</v>
      </c>
      <c r="F8" s="2392"/>
      <c r="G8" s="2663"/>
      <c r="H8" s="2663"/>
      <c r="I8" s="2663"/>
      <c r="J8" s="2439"/>
      <c r="K8" s="2614"/>
      <c r="L8" s="2613"/>
      <c r="M8" s="2613"/>
      <c r="N8" s="2439"/>
      <c r="O8" s="2450"/>
      <c r="P8" s="2439"/>
      <c r="Q8" s="2439"/>
      <c r="R8" s="2439"/>
    </row>
    <row r="9" spans="1:30" ht="13.5" thickBot="1">
      <c r="A9" s="2393" t="s">
        <v>2178</v>
      </c>
      <c r="B9" s="2394" t="s">
        <v>3378</v>
      </c>
      <c r="C9" s="2395"/>
      <c r="D9" s="3496"/>
      <c r="E9" s="2394" t="s">
        <v>43</v>
      </c>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3336</v>
      </c>
      <c r="B13" s="2407" t="s">
        <v>2190</v>
      </c>
      <c r="C13" s="856"/>
      <c r="D13" s="856">
        <v>52594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20.57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282.12</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3381</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498" t="s">
        <v>2205</v>
      </c>
      <c r="C20" s="3499"/>
      <c r="D20" s="3500" t="s">
        <v>2206</v>
      </c>
      <c r="E20" s="3501"/>
      <c r="F20" s="2647" t="s">
        <v>1056</v>
      </c>
      <c r="G20" s="2664"/>
      <c r="H20" s="2664"/>
      <c r="I20" s="2664"/>
      <c r="J20" s="2439"/>
      <c r="K20" s="349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2217</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4" t="s">
        <v>2227</v>
      </c>
      <c r="T34" s="2428" t="str">
        <f>NUMBERSTRING(7-K34,1)&amp;"通"</f>
        <v>七通</v>
      </c>
      <c r="U34" s="2439"/>
      <c r="V34" s="2439"/>
    </row>
    <row r="35" spans="1:30">
      <c r="A35" s="2429"/>
      <c r="B35" s="3521" t="s">
        <v>2228</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9" sqref="I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282.12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282.12</v>
      </c>
      <c r="H5" s="13">
        <f t="shared" ref="H5:AT5" si="0">SUM(H13:H656)</f>
        <v>282.12</v>
      </c>
      <c r="I5" s="13">
        <f t="shared" si="0"/>
        <v>282.12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282.12</v>
      </c>
      <c r="BA5" s="15">
        <f t="shared" si="1"/>
        <v>282.12</v>
      </c>
      <c r="BB5" s="15">
        <f t="shared" si="1"/>
        <v>282.12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3383</v>
      </c>
      <c r="D13" s="1625" t="s">
        <v>3384</v>
      </c>
      <c r="E13" s="13">
        <f>IF($C$3="是",ROUND($A$3*G13/$B$3,2),ROUND($A$3*(G13-AT13)/$B$3,2))</f>
        <v>0</v>
      </c>
      <c r="F13" s="29"/>
      <c r="G13" s="30">
        <f>H13+AC13+AT13</f>
        <v>282.12</v>
      </c>
      <c r="H13" s="17">
        <f>SUMIF(I$12:AB$12,"总值",I13:AB13)</f>
        <v>282.12</v>
      </c>
      <c r="I13" s="1626">
        <v>282.12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5-1商业</v>
      </c>
      <c r="AY13" s="1349">
        <f>ROUND($AY$6*AZ13/$AZ$5,2)</f>
        <v>0</v>
      </c>
      <c r="AZ13" s="13">
        <f>BA13+BL13</f>
        <v>282.12</v>
      </c>
      <c r="BA13" s="13">
        <f>SUM(BB13:BK13)</f>
        <v>282.12</v>
      </c>
      <c r="BB13" s="13">
        <f>IF($D13="是",I13-J13,0)</f>
        <v>282.12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6" sqref="I4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282.12</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282.12</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282.12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282.12</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282.12</v>
      </c>
      <c r="F19" s="2795">
        <f>'数据-基础表'!I13</f>
        <v>282.12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282.12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282.12</v>
      </c>
      <c r="F27" s="1140">
        <f>IF(SUM(F19:F26)=E8,SUM(F19:F26),"地上面积有误")</f>
        <v>282.12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282.12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282.12</v>
      </c>
      <c r="F31" s="677">
        <f>F27+F30</f>
        <v>282.12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M21" sqref="M21:AF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45084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5-1商业</v>
      </c>
      <c r="B6" s="1713" t="str">
        <f>IF(A6=0,"","经营性")</f>
        <v>经营性</v>
      </c>
      <c r="C6" s="1714" t="s">
        <v>673</v>
      </c>
      <c r="D6" s="858">
        <f>SUMIF(项目基本情况!C$12:I$12,C6,项目基本情况!C$14:I$14)</f>
        <v>40</v>
      </c>
      <c r="E6" s="857">
        <f>IF(B6="","",SUMIF(项目基本情况!C$12:I$12,C6,项目基本情况!C$13:I$13))</f>
        <v>52594</v>
      </c>
      <c r="F6" s="64">
        <f>SUMIF(项目基本情况!C$12:I$12,C6,项目基本情况!C$15:I$15)</f>
        <v>20.57</v>
      </c>
      <c r="G6" s="65">
        <f>IF(ISERROR(ROUND(POWER(1+H6,D6-F6)*(POWER(1+H6,F6)-1)/(POWER(1+H6,D6)-1),3)),0,ROUND(POWER(1+H6,D6-F6)*(POWER(1+H6,F6)-1)/(POWER(1+H6,D6)-1),3))</f>
        <v>0.73799999999999999</v>
      </c>
      <c r="H6" s="732">
        <v>0.05</v>
      </c>
      <c r="I6" s="732">
        <v>5.5E-2</v>
      </c>
      <c r="J6" s="66">
        <v>7.0000000000000007E-2</v>
      </c>
      <c r="K6" s="1030">
        <f>SUMIF('数据-汇总表'!C$19:C$33,A6,'数据-汇总表'!E$19:E$33)</f>
        <v>282.12</v>
      </c>
      <c r="L6" s="733">
        <v>3800</v>
      </c>
      <c r="M6" s="67">
        <f t="shared" ref="M6:M14" si="0">ROUND(K6*L6/10000,0)</f>
        <v>107</v>
      </c>
      <c r="N6" s="731">
        <f>(1-(2023-2007)/60)</f>
        <v>0.73333333333333339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X22</f>
        <v>1.7</v>
      </c>
      <c r="V6" s="70">
        <v>2.5000000000000001E-2</v>
      </c>
      <c r="W6" s="70">
        <v>0.1</v>
      </c>
      <c r="X6" s="1040"/>
      <c r="Y6" s="71">
        <f>N6</f>
        <v>0.73333333333333339</v>
      </c>
      <c r="Z6" s="72"/>
      <c r="AA6" s="66"/>
      <c r="AB6" s="66"/>
      <c r="AC6" s="1040"/>
      <c r="AD6" s="73"/>
      <c r="AE6" s="1041">
        <f ca="1">IF(AN6="",0,SUMIF(INDIRECT("'"&amp;AN6&amp;"'"&amp;"!E:E"),$AE$5,INDIRECT("'"&amp;AN6&amp;"'"&amp;"!F:F")))</f>
        <v>20.57</v>
      </c>
      <c r="AF6" s="1348"/>
      <c r="AG6" s="138">
        <f>IF(AF6="",0,AE6-AF6)</f>
        <v>0</v>
      </c>
      <c r="AH6" s="74"/>
      <c r="AI6" s="76">
        <v>365</v>
      </c>
      <c r="AJ6" s="77"/>
      <c r="AK6" s="78">
        <v>5.0000000000000001E-3</v>
      </c>
      <c r="AL6" s="79">
        <v>1E-3</v>
      </c>
      <c r="AM6" s="80">
        <f>AK6</f>
        <v>5.0000000000000001E-3</v>
      </c>
      <c r="AN6" s="1715" t="s">
        <v>3445</v>
      </c>
      <c r="AO6" s="52">
        <f ca="1">SUMIF(INDIRECT("'"&amp;AN6&amp;"'"&amp;"!A:A"),"总价",INDIRECT("'"&amp;AN6&amp;"'"&amp;"!B:B"))</f>
        <v>218.94630000000001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0.73799999999999999</v>
      </c>
      <c r="H16" s="90">
        <f>ROUND(SUMPRODUCT(H6:H13,K6:K13)/SUMPRODUCT((H6:H13&gt;0)*(K6:K13)),3)</f>
        <v>0.05</v>
      </c>
      <c r="I16" s="91"/>
      <c r="J16" s="91"/>
      <c r="K16" s="92">
        <f>SUM(K6:K15)</f>
        <v>282.12</v>
      </c>
      <c r="L16" s="93">
        <f>ROUND(M16*10000/SUM(K6:K14),0)</f>
        <v>3793</v>
      </c>
      <c r="M16" s="93">
        <f>SUM(M6:M14)</f>
        <v>107</v>
      </c>
      <c r="N16" s="94">
        <f>ROUND(SUMPRODUCT(M6:M14,N6:N14)/M16,3)</f>
        <v>0.73299999999999998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2304</v>
      </c>
      <c r="D19" s="2676"/>
      <c r="E19" s="2673"/>
      <c r="F19" s="2673"/>
      <c r="G19" s="2673"/>
      <c r="H19" s="2673"/>
      <c r="I19" s="2673"/>
      <c r="J19" s="2673"/>
      <c r="K19" s="2672"/>
      <c r="L19" s="2672"/>
      <c r="M19" s="2671"/>
      <c r="N19" s="2671"/>
      <c r="O19" s="2671"/>
      <c r="P19" s="2671"/>
      <c r="Q19" s="2671"/>
      <c r="R19" s="2671"/>
      <c r="S19" s="2671"/>
      <c r="T19" s="2671"/>
      <c r="U19" s="3797" t="s">
        <v>3439</v>
      </c>
      <c r="V19" s="3797" t="s">
        <v>3440</v>
      </c>
      <c r="W19" s="3797" t="s">
        <v>3441</v>
      </c>
      <c r="X19" s="3797" t="s">
        <v>3442</v>
      </c>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t="s">
        <v>3443</v>
      </c>
      <c r="V20" s="2671">
        <f>'数据-汇总表'!F19/2</f>
        <v>141.06</v>
      </c>
      <c r="W20" s="2671">
        <v>1</v>
      </c>
      <c r="X20" s="2671">
        <v>2</v>
      </c>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t="s">
        <v>3444</v>
      </c>
      <c r="V21" s="2671">
        <f>V20</f>
        <v>141.06</v>
      </c>
      <c r="W21" s="2671">
        <v>0.7</v>
      </c>
      <c r="X21" s="2671">
        <f>ROUND(X20*W21,1)</f>
        <v>1.4</v>
      </c>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3798">
        <f>K16</f>
        <v>282.12</v>
      </c>
      <c r="W22" s="2671"/>
      <c r="X22" s="2671">
        <f>(X20+X21)/2</f>
        <v>1.7</v>
      </c>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1681"/>
      <c r="W23" s="1681"/>
      <c r="X23" s="168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3797"/>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80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80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2.2570000000000001</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3438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f>C54</f>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f t="shared" ref="B55:B59" si="12">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f t="shared" si="12"/>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f t="shared" si="12"/>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 t="shared" si="12"/>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 t="shared" si="12"/>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2285</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22" sqref="E2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282.12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45084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480</v>
      </c>
      <c r="C5" s="2512">
        <f ca="1">IF(B5=D14,结果表!H102,ROUND(B5*10000/$B$1,0))</f>
        <v>17023</v>
      </c>
      <c r="D5" s="2512" t="e">
        <f ca="1">ROUND(B5*10000/$B$2,0)</f>
        <v>#DIV/0!</v>
      </c>
      <c r="E5" s="2686"/>
      <c r="F5" s="2687"/>
      <c r="G5" s="2687"/>
      <c r="H5" s="2688"/>
      <c r="I5" s="2688"/>
      <c r="J5" s="2688"/>
      <c r="K5" s="2688"/>
    </row>
    <row r="6" spans="1:11" ht="16.5">
      <c r="A6" s="2512" t="s">
        <v>656</v>
      </c>
      <c r="B6" s="2512">
        <f ca="1">SUM(G14:G23)</f>
        <v>480</v>
      </c>
      <c r="C6" s="2512">
        <f ca="1">IF(B6=G14,结果表!H108,ROUND(B6*10000/$B$1,0))</f>
        <v>17023</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282.12</v>
      </c>
      <c r="C14" s="2518"/>
      <c r="D14" s="2518">
        <f ca="1">结果表!H101</f>
        <v>480</v>
      </c>
      <c r="E14" s="2518">
        <f ca="1">ROUND(D14*10000/B14,0)</f>
        <v>17014</v>
      </c>
      <c r="F14" s="2518" t="e">
        <f ca="1">ROUND(D14*10000/C14,0)</f>
        <v>#DIV/0!</v>
      </c>
      <c r="G14" s="2518">
        <f ca="1">D14</f>
        <v>480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2" zoomScale="85" zoomScaleNormal="100" zoomScaleSheetLayoutView="85" zoomScalePageLayoutView="80" workbookViewId="0">
      <selection activeCell="H101" sqref="H10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3453</v>
      </c>
      <c r="D4" s="1756" t="s">
        <v>3445</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7</v>
      </c>
      <c r="D14" s="3600">
        <v>3</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1" t="s">
        <v>2131</v>
      </c>
      <c r="F18" s="3632"/>
      <c r="G18" s="3632"/>
      <c r="H18" s="3632"/>
      <c r="I18" s="3632"/>
      <c r="K18" s="302" t="s">
        <v>1289</v>
      </c>
      <c r="L18" s="302">
        <f>IF(C1="",'数据-汇总表'!E3,SUMIF(项目类型,C1,'数据-汇总表'!E17:E26)+SUMIF(项目类型,C1,'数据-汇总表'!I17:I26))</f>
        <v>282.12</v>
      </c>
      <c r="M18" s="302">
        <f>IF(C1="",'数据-汇总表'!E3,SUMIF(项目类型,C1,'数据-汇总表'!E17:E26))</f>
        <v>282.12</v>
      </c>
    </row>
    <row r="19" spans="1:36" ht="15">
      <c r="A19" s="1761" t="s">
        <v>1290</v>
      </c>
      <c r="B19" s="1762" t="s">
        <v>1291</v>
      </c>
      <c r="C19" s="134">
        <f ca="1">SUMIF(INDIRECT("'"&amp;C4&amp;"'"&amp;"!A:A"),结果表!B19,INDIRECT("'"&amp;C4&amp;"'"&amp;"!B:B"))</f>
        <v>592.22630000000004</v>
      </c>
      <c r="D19" s="135">
        <f ca="1">SUMIF(INDIRECT("'"&amp;D4&amp;"'"&amp;"!A:A"),结果表!B19,INDIRECT("'"&amp;D4&amp;"'"&amp;"!B:B"))</f>
        <v>218.94630000000001</v>
      </c>
      <c r="E19" s="1761" t="s">
        <v>1292</v>
      </c>
      <c r="F19" s="1762" t="s">
        <v>1291</v>
      </c>
      <c r="G19" s="136">
        <f ca="1">ROUND(C19*$C$18+D19*$D$18,0)</f>
        <v>480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20992</v>
      </c>
      <c r="D20" s="138">
        <f ca="1">SUMIF(INDIRECT("'"&amp;D4&amp;"'"&amp;"!A:A"),结果表!B20,INDIRECT("'"&amp;D4&amp;"'"&amp;"!B:B"))</f>
        <v>7761</v>
      </c>
      <c r="E20" s="1764"/>
      <c r="F20" s="1026" t="s">
        <v>1295</v>
      </c>
      <c r="G20" s="139">
        <f ca="1">ROUND(C20*$C$18+D20*$D$18,0)</f>
        <v>17023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1.7048929349342741</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17023</v>
      </c>
      <c r="D32" s="1775" t="s">
        <v>3455</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480</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45084</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2" t="s">
        <v>1340</v>
      </c>
      <c r="L48" s="3542"/>
      <c r="M48" s="3545">
        <f ca="1">H101</f>
        <v>480</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480</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25</v>
      </c>
      <c r="E52" s="2334" t="s">
        <v>1354</v>
      </c>
      <c r="F52" s="2554">
        <f>'数据-取费表'!B41</f>
        <v>5.5000000000000007E-2</v>
      </c>
      <c r="G52" s="2555"/>
      <c r="H52" s="2544"/>
      <c r="I52" s="1807"/>
      <c r="J52" s="2523">
        <v>1</v>
      </c>
      <c r="K52" s="3567" t="s">
        <v>1355</v>
      </c>
      <c r="L52" s="3567"/>
      <c r="M52" s="2525" t="b">
        <f>D48</f>
        <v>0</v>
      </c>
      <c r="N52" s="2523" t="str">
        <f>E48</f>
        <v>销售额×税（费）率</v>
      </c>
      <c r="O52" s="2526">
        <f>F48</f>
        <v>5.5000000000000007E-2</v>
      </c>
    </row>
    <row r="53" spans="1:35" ht="12" customHeight="1">
      <c r="A53" s="2335" t="s">
        <v>1356</v>
      </c>
      <c r="B53" s="3591" t="s">
        <v>2290</v>
      </c>
      <c r="C53" s="3592"/>
      <c r="D53" s="1087">
        <f ca="1">ROUND(D45*'数据-取费表'!B41/(1+'数据-取费表'!C42),0)</f>
        <v>25</v>
      </c>
      <c r="E53" s="2334" t="s">
        <v>1354</v>
      </c>
      <c r="F53" s="2554">
        <f>'数据-取费表'!B41</f>
        <v>5.5000000000000007E-2</v>
      </c>
      <c r="G53" s="2555"/>
      <c r="H53" s="2544"/>
      <c r="I53" s="1807"/>
      <c r="J53" s="2523">
        <v>2</v>
      </c>
      <c r="K53" s="3567" t="s">
        <v>1357</v>
      </c>
      <c r="L53" s="3567"/>
      <c r="M53" s="2525">
        <f t="shared" ref="M53:O54" ca="1" si="0">D55</f>
        <v>0</v>
      </c>
      <c r="N53" s="2523" t="str">
        <f t="shared" si="0"/>
        <v>销售额×税（费）率</v>
      </c>
      <c r="O53" s="2526" t="str">
        <f t="shared" si="0"/>
        <v>免征</v>
      </c>
    </row>
    <row r="54" spans="1:35" ht="12" customHeight="1">
      <c r="A54" s="2335" t="s">
        <v>1358</v>
      </c>
      <c r="B54" s="3591" t="s">
        <v>2291</v>
      </c>
      <c r="C54" s="3592"/>
      <c r="D54" s="1087">
        <f ca="1">C68</f>
        <v>25</v>
      </c>
      <c r="E54" s="327" t="s">
        <v>1359</v>
      </c>
      <c r="F54" s="2554">
        <f>'数据-取费表'!B41</f>
        <v>5.5000000000000007E-2</v>
      </c>
      <c r="G54" s="2555"/>
      <c r="H54" s="2556"/>
      <c r="I54" s="1807"/>
      <c r="J54" s="2523">
        <v>3</v>
      </c>
      <c r="K54" s="3567" t="s">
        <v>1360</v>
      </c>
      <c r="L54" s="3567"/>
      <c r="M54" s="2525">
        <f t="shared" ca="1" si="0"/>
        <v>272</v>
      </c>
      <c r="N54" s="2523" t="str">
        <f t="shared" si="0"/>
        <v>增值额×税（费）率</v>
      </c>
      <c r="O54" s="2527" t="str">
        <f t="shared" si="0"/>
        <v>免征</v>
      </c>
    </row>
    <row r="55" spans="1:35" ht="24" customHeight="1">
      <c r="A55" s="3627" t="s">
        <v>1361</v>
      </c>
      <c r="B55" s="3605"/>
      <c r="C55" s="3605"/>
      <c r="D55" s="2324">
        <f ca="1">IF(H55="个人住宅",0,ROUND(D45*I55,0))</f>
        <v>0</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5</v>
      </c>
      <c r="N55" s="2040" t="str">
        <f>E59</f>
        <v>差额计税</v>
      </c>
      <c r="O55" s="2529">
        <f>F59</f>
        <v>0.01</v>
      </c>
    </row>
    <row r="56" spans="1:35" ht="24.75">
      <c r="A56" s="3627" t="s">
        <v>1363</v>
      </c>
      <c r="B56" s="3605"/>
      <c r="C56" s="3605"/>
      <c r="D56" s="2324">
        <f ca="1">IF(H56="个人住宅",D57,D58)</f>
        <v>272</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277</v>
      </c>
      <c r="O57" s="2533"/>
      <c r="P57" s="2690">
        <f ca="1">N57/M49</f>
        <v>0.57708333333333328</v>
      </c>
    </row>
    <row r="58" spans="1:35" ht="24.75">
      <c r="A58" s="2335" t="s">
        <v>1352</v>
      </c>
      <c r="B58" s="3591" t="s">
        <v>1369</v>
      </c>
      <c r="C58" s="3590"/>
      <c r="D58" s="2324">
        <f ca="1">IF(H58="转让取得",C81,C97)</f>
        <v>272</v>
      </c>
      <c r="E58" s="2334" t="s">
        <v>1364</v>
      </c>
      <c r="F58" s="302" t="s">
        <v>28</v>
      </c>
      <c r="G58" s="2555"/>
      <c r="H58" s="2558"/>
      <c r="I58" s="1808"/>
      <c r="J58" s="3567"/>
      <c r="K58" s="3567"/>
      <c r="L58" s="2530" t="s">
        <v>1370</v>
      </c>
      <c r="M58" s="2534"/>
      <c r="N58" s="2535" t="str">
        <f ca="1">NUMBERSTRING(INT(N57*10000),2)&amp;"元整"</f>
        <v>贰佰柒拾柒万元整</v>
      </c>
      <c r="O58" s="2536"/>
    </row>
    <row r="59" spans="1:35" ht="24.75" thickBot="1">
      <c r="A59" s="3571" t="s">
        <v>1371</v>
      </c>
      <c r="B59" s="3572"/>
      <c r="C59" s="3572"/>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203</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贰佰零叁万元整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7196</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457</v>
      </c>
      <c r="D63" s="167"/>
      <c r="E63" s="168"/>
      <c r="F63" s="1808"/>
      <c r="G63" s="1808"/>
      <c r="H63" s="1810"/>
      <c r="I63" s="129"/>
      <c r="J63" s="3550" t="s">
        <v>1379</v>
      </c>
      <c r="K63" s="1332" t="s">
        <v>1380</v>
      </c>
      <c r="L63" s="1332">
        <f ca="1">IF(M49&gt;10000,M49*0.5%,IF(AND(M49&gt;1000,M49&lt;=10000),M49*1%,IF(AND(M49&gt;100,M49&lt;=1000),M49*3%,IF(AND(M49&gt;10,M49&lt;=100),M49*5%,M49*8%))))</f>
        <v>14.399999999999999</v>
      </c>
      <c r="M63" s="302">
        <f ca="1">ROUND(L63,1)</f>
        <v>14.4</v>
      </c>
      <c r="N63" s="2543"/>
      <c r="Z63" s="1752"/>
      <c r="AI63" s="1753"/>
    </row>
    <row r="64" spans="1:35" ht="14.25" customHeight="1">
      <c r="A64" s="169" t="s">
        <v>325</v>
      </c>
      <c r="B64" s="170" t="s">
        <v>1381</v>
      </c>
      <c r="C64" s="2565">
        <f ca="1">D45</f>
        <v>480</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3.84</v>
      </c>
      <c r="M64" s="302">
        <f t="shared" ref="M64:M65" ca="1" si="1">ROUND(L64,1)</f>
        <v>3.8</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4.8</v>
      </c>
      <c r="M65" s="302">
        <f t="shared" ca="1" si="1"/>
        <v>4.8</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2.4</v>
      </c>
      <c r="M66" s="302">
        <f ca="1">IF(L66&gt;0.5,0.5,ROUND(L66,0))</f>
        <v>0.5</v>
      </c>
      <c r="N66" s="2544" t="s">
        <v>1388</v>
      </c>
      <c r="Z66" s="1752"/>
      <c r="AI66" s="1753"/>
    </row>
    <row r="67" spans="1:35" ht="14.25" customHeight="1">
      <c r="A67" s="173" t="s">
        <v>328</v>
      </c>
      <c r="B67" s="174" t="s">
        <v>1389</v>
      </c>
      <c r="C67" s="2568">
        <f ca="1">C63-C66</f>
        <v>457</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1.4500000000000002</v>
      </c>
      <c r="M67" s="302">
        <f ca="1">ROUND(L67*0.9,1)</f>
        <v>1.3</v>
      </c>
      <c r="N67" s="2543"/>
      <c r="Z67" s="1752"/>
      <c r="AI67" s="1753"/>
    </row>
    <row r="68" spans="1:35" ht="14.25" customHeight="1" thickBot="1">
      <c r="A68" s="176" t="s">
        <v>329</v>
      </c>
      <c r="B68" s="177" t="s">
        <v>1391</v>
      </c>
      <c r="C68" s="2569">
        <f ca="1">IF(C67&lt;=0,0,ROUND(C67*D68,0))</f>
        <v>25</v>
      </c>
      <c r="D68" s="2570">
        <f>'数据-取费表'!B41</f>
        <v>5.5000000000000007E-2</v>
      </c>
      <c r="E68" s="178"/>
      <c r="F68" s="1808"/>
      <c r="G68" s="1808"/>
      <c r="H68" s="1810"/>
      <c r="I68" s="129"/>
      <c r="J68" s="3550"/>
      <c r="K68" s="1332" t="s">
        <v>1392</v>
      </c>
      <c r="L68" s="1332">
        <f ca="1">IF(M49&gt;10000,M49*0.5%,IF(AND(M49&gt;5000,M49&lt;=10000),M49*1%,IF(AND(M49&gt;1000,M49&lt;=5000),M49*2%,IF(AND(M49&gt;200,M49&lt;=1000),M49*3%,M49*5%))))</f>
        <v>14.399999999999999</v>
      </c>
      <c r="M68" s="302">
        <f ca="1">ROUND(L68,1)</f>
        <v>14.4</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39</v>
      </c>
      <c r="N69" s="2545">
        <f ca="1">M69/M49</f>
        <v>8.1250000000000003E-2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457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455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272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457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455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272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比较法-商业</v>
      </c>
      <c r="D101" s="2586" t="str">
        <f>D4</f>
        <v>收益法 (元)</v>
      </c>
      <c r="E101" s="3546" t="s">
        <v>1431</v>
      </c>
      <c r="F101" s="3547"/>
      <c r="G101" s="1827" t="s">
        <v>1432</v>
      </c>
      <c r="H101" s="2595">
        <f ca="1">H118</f>
        <v>480</v>
      </c>
      <c r="I101" s="129"/>
    </row>
    <row r="102" spans="1:35" ht="18.75" customHeight="1">
      <c r="A102" s="3578" t="s">
        <v>1433</v>
      </c>
      <c r="B102" s="2584" t="s">
        <v>1432</v>
      </c>
      <c r="C102" s="2585">
        <f ca="1">IF(D32="楼面单价",ROUND(C19,0),C19)</f>
        <v>592</v>
      </c>
      <c r="D102" s="2586">
        <f ca="1">IF(D32="楼面单价",ROUND(D19,0),D19)</f>
        <v>219</v>
      </c>
      <c r="E102" s="3546"/>
      <c r="F102" s="3547"/>
      <c r="G102" s="1827" t="s">
        <v>1434</v>
      </c>
      <c r="H102" s="2555">
        <f ca="1">I118</f>
        <v>17023</v>
      </c>
      <c r="I102" s="129"/>
    </row>
    <row r="103" spans="1:35" ht="42.75" customHeight="1">
      <c r="A103" s="3578"/>
      <c r="B103" s="2584" t="s">
        <v>1434</v>
      </c>
      <c r="C103" s="2587">
        <f ca="1">C20</f>
        <v>20992</v>
      </c>
      <c r="D103" s="2588">
        <f ca="1">D20</f>
        <v>7761</v>
      </c>
      <c r="E103" s="3539" t="s">
        <v>1435</v>
      </c>
      <c r="F103" s="3540"/>
      <c r="G103" s="1828" t="s">
        <v>1436</v>
      </c>
      <c r="H103" s="2595">
        <f>IF(D36="正常操作",H104+H105+H106,H105+H106)</f>
        <v>0</v>
      </c>
      <c r="I103" s="129"/>
    </row>
    <row r="104" spans="1:35" ht="18.75" customHeight="1">
      <c r="A104" s="3578" t="s">
        <v>1437</v>
      </c>
      <c r="B104" s="2589" t="s">
        <v>1432</v>
      </c>
      <c r="C104" s="2590">
        <f ca="1">H118</f>
        <v>480</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17023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480</v>
      </c>
      <c r="I107" s="129"/>
    </row>
    <row r="108" spans="1:35" ht="18.75" customHeight="1">
      <c r="A108" s="129"/>
      <c r="B108" s="129"/>
      <c r="C108" s="129"/>
      <c r="D108" s="129"/>
      <c r="E108" s="3579"/>
      <c r="F108" s="3547"/>
      <c r="G108" s="1827" t="s">
        <v>1434</v>
      </c>
      <c r="H108" s="2555">
        <f ca="1">IF(H107=H101,H102,ROUND(H107*10000/'数据-汇总表'!E3,0))</f>
        <v>17023</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282.12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480</v>
      </c>
      <c r="I118" s="2329">
        <f ca="1">ROUND(IF(D32="楼面单价",C32,H118*10000/B118),0)</f>
        <v>17023</v>
      </c>
    </row>
    <row r="119" spans="1:27" ht="18.75" customHeight="1">
      <c r="A119" s="3554" t="s">
        <v>1452</v>
      </c>
      <c r="B119" s="3554"/>
      <c r="C119" s="3554"/>
      <c r="D119" s="3560" t="e">
        <f ca="1">NUMBERSTRING(INT(D118*10000),2)&amp;"元整"</f>
        <v>#REF!</v>
      </c>
      <c r="E119" s="3561"/>
      <c r="F119" s="3560" t="e">
        <f ca="1">NUMBERSTRING(INT(F118*10000),2)&amp;"元整"</f>
        <v>#REF!</v>
      </c>
      <c r="G119" s="3561"/>
      <c r="H119" s="3560" t="str">
        <f ca="1">NUMBERSTRING(INT(H118*10000),2)&amp;"元整"</f>
        <v>肆佰捌拾万元整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480</v>
      </c>
      <c r="E122" s="3556"/>
      <c r="F122" s="3556"/>
      <c r="G122" s="3556"/>
      <c r="H122" s="3556"/>
      <c r="I122" s="3557"/>
      <c r="AA122" s="725"/>
    </row>
    <row r="123" spans="1:27" ht="18.75" customHeight="1">
      <c r="A123" s="3554" t="s">
        <v>1452</v>
      </c>
      <c r="B123" s="3554"/>
      <c r="C123" s="3554"/>
      <c r="D123" s="3560" t="str">
        <f ca="1">NUMBERSTRING(INT(D122*10000),2)&amp;"元整"</f>
        <v>肆佰捌拾万元整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4431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2.2570000000000001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2.2570000000000001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80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282.12</v>
      </c>
      <c r="E10" s="225">
        <f>'数据-取费表'!B28</f>
        <v>80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282.12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107</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282.12</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8.0000000000000004E-4</v>
      </c>
      <c r="D44" s="238"/>
      <c r="E44" s="238"/>
      <c r="F44" s="239"/>
      <c r="G44" s="3635"/>
    </row>
    <row r="45" spans="1:7" s="214" customFormat="1" ht="13.5" customHeight="1">
      <c r="A45" s="255" t="s">
        <v>1547</v>
      </c>
      <c r="B45" s="244" t="s">
        <v>1513</v>
      </c>
      <c r="C45" s="245">
        <f ca="1">C46</f>
        <v>18</v>
      </c>
      <c r="D45" s="235">
        <f ca="1">C47</f>
        <v>3.0000000000000001E-3</v>
      </c>
      <c r="E45" s="236" t="s">
        <v>1539</v>
      </c>
      <c r="F45" s="246">
        <f ca="1">F27</f>
        <v>0.15</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155</v>
      </c>
      <c r="D49" s="232"/>
      <c r="E49" s="232"/>
      <c r="F49" s="264"/>
      <c r="G49" s="234" t="s">
        <v>1554</v>
      </c>
    </row>
    <row r="50" spans="1:7" s="258" customFormat="1" ht="24">
      <c r="A50" s="255" t="s">
        <v>1555</v>
      </c>
      <c r="B50" s="210" t="s">
        <v>1556</v>
      </c>
      <c r="C50" s="232"/>
      <c r="D50" s="232"/>
      <c r="E50" s="232"/>
      <c r="F50" s="264">
        <f>IF('数据-取费表'!B24=0,'数据-取费表'!N16,1)</f>
        <v>0.73299999999999998</v>
      </c>
      <c r="G50" s="247" t="s">
        <v>1557</v>
      </c>
    </row>
    <row r="51" spans="1:7" ht="16.5" customHeight="1">
      <c r="A51" s="255" t="s">
        <v>1558</v>
      </c>
      <c r="B51" s="210" t="s">
        <v>1559</v>
      </c>
      <c r="C51" s="232">
        <f ca="1">ROUND(C49*F50,0)</f>
        <v>114</v>
      </c>
      <c r="D51" s="232"/>
      <c r="E51" s="232"/>
      <c r="F51" s="264"/>
      <c r="G51" s="234" t="s">
        <v>1560</v>
      </c>
    </row>
    <row r="52" spans="1:7" s="208" customFormat="1" ht="16.5" thickBot="1">
      <c r="A52" s="265" t="s">
        <v>1561</v>
      </c>
      <c r="B52" s="266"/>
      <c r="C52" s="267">
        <f ca="1">C31+C51</f>
        <v>125</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9" sqref="J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124.2354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4404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22570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22570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1480</v>
      </c>
      <c r="C10" s="225">
        <f ca="1">ROUND(D10*E10,0)</f>
        <v>22570</v>
      </c>
      <c r="D10" s="845">
        <f ca="1">IF(B1="",'数据-汇总表'!E6,IF(INDIRECT("'数据-取费表'!c"&amp;$G$1)="住宅",INDIRECT("'数据-取费表'!s"&amp;$G$1),INDIRECT("'数据-取费表'!k"&amp;$G$1)+INDIRECT("'数据-取费表'!s"&amp;$G$1)))</f>
        <v>282.12</v>
      </c>
      <c r="E10" s="225">
        <f>'数据-取费表'!B28</f>
        <v>80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56424</v>
      </c>
      <c r="D19" s="849">
        <f ca="1">D9+D10</f>
        <v>282.12</v>
      </c>
      <c r="E19" s="211">
        <f>'数据-取费表'!B31</f>
        <v>200</v>
      </c>
      <c r="F19" s="231"/>
      <c r="G19" s="1856"/>
    </row>
    <row r="20" spans="1:7" s="214" customFormat="1" ht="13.5" customHeight="1">
      <c r="A20" s="255" t="s">
        <v>1574</v>
      </c>
      <c r="B20" s="210" t="s">
        <v>1575</v>
      </c>
      <c r="C20" s="232">
        <f ca="1">ROUND((C5+C19)*F20,0)</f>
        <v>1580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6758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1912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4780</v>
      </c>
      <c r="D24" s="238"/>
      <c r="E24" s="238"/>
      <c r="F24" s="239"/>
      <c r="G24" s="240" t="s">
        <v>1586</v>
      </c>
    </row>
    <row r="25" spans="1:7" s="214" customFormat="1" ht="24">
      <c r="A25" s="780" t="s">
        <v>1476</v>
      </c>
      <c r="B25" s="215" t="s">
        <v>1587</v>
      </c>
      <c r="C25" s="1128">
        <f ca="1">ROUND(IF('数据-取费表'!B22&lt;=1,C20*F22*'数据-取费表'!B22/2,C20*(POWER((1+F22),'数据-取费表'!B22/2)-1)),0)</f>
        <v>66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12086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12086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107619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1176723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1072056</v>
      </c>
      <c r="D34" s="217"/>
      <c r="E34" s="220"/>
      <c r="F34" s="257"/>
      <c r="G34" s="219"/>
    </row>
    <row r="35" spans="1:7" ht="13.5" customHeight="1">
      <c r="A35" s="780" t="s">
        <v>351</v>
      </c>
      <c r="B35" s="215" t="s">
        <v>1527</v>
      </c>
      <c r="C35" s="220">
        <f ca="1">ROUND(C34*F35,0)</f>
        <v>32162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56424</v>
      </c>
      <c r="D37" s="217">
        <f ca="1">D19</f>
        <v>282.12</v>
      </c>
      <c r="E37" s="249">
        <f>'数据-取费表'!B35</f>
        <v>200</v>
      </c>
      <c r="F37" s="259"/>
      <c r="G37" s="261"/>
    </row>
    <row r="38" spans="1:7" ht="13.5" customHeight="1">
      <c r="A38" s="780" t="s">
        <v>354</v>
      </c>
      <c r="B38" s="215" t="s">
        <v>1533</v>
      </c>
      <c r="C38" s="220">
        <f ca="1">ROUND(C34*F38,0)</f>
        <v>16081</v>
      </c>
      <c r="D38" s="220"/>
      <c r="E38" s="220"/>
      <c r="F38" s="259">
        <f>'数据-取费表'!B36</f>
        <v>1.4999999999999999E-2</v>
      </c>
      <c r="G38" s="219" t="s">
        <v>1528</v>
      </c>
    </row>
    <row r="39" spans="1:7" s="214" customFormat="1" ht="13.5" customHeight="1">
      <c r="A39" s="255" t="s">
        <v>1534</v>
      </c>
      <c r="B39" s="210" t="s">
        <v>1535</v>
      </c>
      <c r="C39" s="232">
        <f ca="1">ROUND(C33*F20,0)</f>
        <v>23534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49811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48834</v>
      </c>
      <c r="D42" s="238"/>
      <c r="E42" s="238"/>
      <c r="F42" s="239"/>
      <c r="G42" s="3633" t="s">
        <v>1591</v>
      </c>
    </row>
    <row r="43" spans="1:7" ht="13.5" customHeight="1">
      <c r="A43" s="780" t="s">
        <v>347</v>
      </c>
      <c r="B43" s="215" t="s">
        <v>1545</v>
      </c>
      <c r="C43" s="238">
        <f ca="1">ROUND(IF('数据-取费表'!B22&lt;=1,C39*F22*'数据-取费表'!B20/2,C39*(POWER((1+F22),'数据-取费表'!B20/2)-1)),0)</f>
        <v>977</v>
      </c>
      <c r="D43" s="238"/>
      <c r="E43" s="238"/>
      <c r="F43" s="239"/>
      <c r="G43" s="3634"/>
    </row>
    <row r="44" spans="1:7" ht="13.5" customHeight="1">
      <c r="A44" s="780" t="s">
        <v>348</v>
      </c>
      <c r="B44" s="215" t="s">
        <v>1546</v>
      </c>
      <c r="C44" s="238">
        <f ca="1">ROUND(IF('数据-取费表'!B22&lt;=1,C40*F22*'数据-取费表'!B20/2,C40*(POWER((1+F22),'数据-取费表'!B20/2)-1)),4)</f>
        <v>8.0000000000000004E-4</v>
      </c>
      <c r="D44" s="238"/>
      <c r="E44" s="238"/>
      <c r="F44" s="239"/>
      <c r="G44" s="3635"/>
    </row>
    <row r="45" spans="1:7" s="214" customFormat="1" ht="13.5" customHeight="1">
      <c r="A45" s="255" t="s">
        <v>1547</v>
      </c>
      <c r="B45" s="244" t="s">
        <v>1513</v>
      </c>
      <c r="C45" s="245">
        <f ca="1">C46</f>
        <v>180039</v>
      </c>
      <c r="D45" s="235">
        <f ca="1">C47</f>
        <v>3.0000000000000001E-3</v>
      </c>
      <c r="E45" s="236" t="s">
        <v>1539</v>
      </c>
      <c r="F45" s="246">
        <f ca="1">F27</f>
        <v>0.15</v>
      </c>
      <c r="G45" s="247" t="s">
        <v>1548</v>
      </c>
    </row>
    <row r="46" spans="1:7" s="214" customFormat="1" ht="13.5" customHeight="1">
      <c r="A46" s="780" t="s">
        <v>346</v>
      </c>
      <c r="B46" s="248" t="s">
        <v>1549</v>
      </c>
      <c r="C46" s="249">
        <f ca="1">ROUND((C33+C39)*F27,0)</f>
        <v>180039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1548070</v>
      </c>
      <c r="D49" s="232"/>
      <c r="E49" s="232"/>
      <c r="F49" s="264"/>
      <c r="G49" s="234" t="s">
        <v>1554</v>
      </c>
    </row>
    <row r="50" spans="1:7" s="258" customFormat="1">
      <c r="A50" s="255" t="s">
        <v>1555</v>
      </c>
      <c r="B50" s="210" t="s">
        <v>1556</v>
      </c>
      <c r="C50" s="232"/>
      <c r="D50" s="232"/>
      <c r="E50" s="232"/>
      <c r="F50" s="264">
        <f>IF('数据-取费表'!B24=0,'数据-取费表'!N16,1)</f>
        <v>0.73299999999999998</v>
      </c>
      <c r="G50" s="247"/>
    </row>
    <row r="51" spans="1:7" ht="16.5" customHeight="1">
      <c r="A51" s="255" t="s">
        <v>1558</v>
      </c>
      <c r="B51" s="210" t="s">
        <v>1593</v>
      </c>
      <c r="C51" s="232">
        <f ca="1">ROUND(C49*F50,0)</f>
        <v>1134735</v>
      </c>
      <c r="D51" s="232"/>
      <c r="E51" s="232"/>
      <c r="F51" s="264"/>
      <c r="G51" s="234" t="s">
        <v>1560</v>
      </c>
    </row>
    <row r="52" spans="1:7" s="208" customFormat="1" ht="16.5" thickBot="1">
      <c r="A52" s="265" t="s">
        <v>1561</v>
      </c>
      <c r="B52" s="266"/>
      <c r="C52" s="267">
        <f ca="1">C31+C51</f>
        <v>1242354</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282.12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282.12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-0.25700000000000012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80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282.12</v>
      </c>
      <c r="E20" s="21">
        <f>'数据-取费表'!B28</f>
        <v>80</v>
      </c>
      <c r="F20" s="804"/>
      <c r="G20" s="12"/>
      <c r="H20" s="809"/>
      <c r="I20" s="809"/>
      <c r="J20" s="809"/>
      <c r="K20" s="810"/>
    </row>
    <row r="21" spans="1:33" s="803" customFormat="1" ht="13.5" customHeight="1">
      <c r="A21" s="790" t="s">
        <v>357</v>
      </c>
      <c r="B21" s="813" t="s">
        <v>1628</v>
      </c>
      <c r="C21" s="814">
        <f ca="1">C16+C17+C18</f>
        <v>-0.25700000000000012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I43" sqref="I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20.57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218.94630000000001</v>
      </c>
      <c r="C2" s="1387" t="s">
        <v>879</v>
      </c>
      <c r="D2" s="1471">
        <f ca="1">C40+J29+L46</f>
        <v>2189463</v>
      </c>
      <c r="E2" s="1388" t="s">
        <v>880</v>
      </c>
      <c r="F2" s="1389"/>
      <c r="G2" s="2706"/>
      <c r="H2" s="2695"/>
      <c r="I2" s="2695"/>
      <c r="J2" s="2695"/>
      <c r="K2" s="2696"/>
      <c r="L2" s="2695"/>
      <c r="M2" s="2695"/>
    </row>
    <row r="3" spans="1:37" ht="18" customHeight="1" thickBot="1">
      <c r="A3" s="1390" t="s">
        <v>881</v>
      </c>
      <c r="B3" s="1391">
        <f ca="1">IF(ISERROR(D2/F43),0,ROUND(D2/F43,0))</f>
        <v>7761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157550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157550</v>
      </c>
      <c r="D6" s="155" t="s">
        <v>2106</v>
      </c>
      <c r="E6" s="302" t="s">
        <v>696</v>
      </c>
      <c r="F6" s="303">
        <f ca="1">INDIRECT("'数据-取费表'!u"&amp;$G$1)</f>
        <v>1.7</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282.12</v>
      </c>
      <c r="G7" s="1384"/>
      <c r="H7" s="304"/>
      <c r="I7" s="3639"/>
      <c r="J7" s="306"/>
      <c r="K7" s="307"/>
      <c r="L7" s="302" t="s">
        <v>697</v>
      </c>
      <c r="M7" s="303">
        <f ca="1">F7</f>
        <v>282.12</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1135251</v>
      </c>
      <c r="D13" s="1081" t="s">
        <v>705</v>
      </c>
      <c r="E13" s="1081" t="s">
        <v>706</v>
      </c>
      <c r="F13" s="1082">
        <f ca="1">INDIRECT("'数据-取费表'!y"&amp;$G$1)</f>
        <v>0.73333333333333339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1072056</v>
      </c>
      <c r="D14" s="1345" t="s">
        <v>708</v>
      </c>
      <c r="E14" s="1342"/>
      <c r="F14" s="319"/>
      <c r="G14" s="1384"/>
      <c r="H14" s="982" t="s">
        <v>398</v>
      </c>
      <c r="I14" s="302" t="s">
        <v>709</v>
      </c>
      <c r="J14" s="21">
        <f ca="1">C29</f>
        <v>1548070</v>
      </c>
      <c r="K14" s="12"/>
      <c r="L14" s="807"/>
      <c r="M14" s="808"/>
    </row>
    <row r="15" spans="1:37" s="1397" customFormat="1" ht="18" customHeight="1" thickBot="1">
      <c r="A15" s="982" t="s">
        <v>399</v>
      </c>
      <c r="B15" s="302" t="s">
        <v>710</v>
      </c>
      <c r="C15" s="21">
        <f ca="1">ROUND(C14*F15,0)</f>
        <v>32162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7740</v>
      </c>
      <c r="K16" s="1087" t="s">
        <v>715</v>
      </c>
      <c r="L16" s="1088"/>
      <c r="M16" s="1072"/>
    </row>
    <row r="17" spans="1:37" s="1397" customFormat="1" ht="18" customHeight="1">
      <c r="A17" s="982" t="s">
        <v>681</v>
      </c>
      <c r="B17" s="302" t="s">
        <v>716</v>
      </c>
      <c r="C17" s="21">
        <f ca="1">ROUND(F17*(F43+INDIRECT("'数据-取费表'!S"&amp;$G$1)),0)</f>
        <v>56424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16081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1176723</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23534</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7740</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49811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-7740</v>
      </c>
      <c r="K25" s="1095" t="s">
        <v>753</v>
      </c>
      <c r="L25" s="1096"/>
      <c r="M25" s="1097"/>
    </row>
    <row r="26" spans="1:37" ht="18" customHeight="1">
      <c r="A26" s="982" t="s">
        <v>397</v>
      </c>
      <c r="B26" s="302" t="s">
        <v>754</v>
      </c>
      <c r="C26" s="21">
        <f ca="1">ROUND((C19+C20)*F26,0)</f>
        <v>180039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1548070</v>
      </c>
      <c r="D29" s="1092"/>
      <c r="E29" s="1090"/>
      <c r="F29" s="1093"/>
      <c r="G29" s="1396"/>
      <c r="H29" s="334" t="s">
        <v>396</v>
      </c>
      <c r="I29" s="335" t="s">
        <v>768</v>
      </c>
      <c r="J29" s="336">
        <f ca="1">ROUND(J26/(1+F40)^F41,0)</f>
        <v>0</v>
      </c>
      <c r="K29" s="337" t="s">
        <v>769</v>
      </c>
      <c r="L29" s="338"/>
      <c r="M29" s="339">
        <f ca="1">INDIRECT("'数据-取费表'!k"&amp;$G$1)</f>
        <v>282.12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20166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10503</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7740</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1135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788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137384</v>
      </c>
      <c r="D39" s="1095" t="s">
        <v>773</v>
      </c>
      <c r="E39" s="1096"/>
      <c r="F39" s="1097"/>
      <c r="G39" s="1384"/>
      <c r="H39" s="2700"/>
      <c r="I39" s="1398"/>
      <c r="J39" s="1399"/>
      <c r="K39" s="2704"/>
      <c r="L39" s="2700"/>
      <c r="M39" s="2700"/>
    </row>
    <row r="40" spans="1:18" ht="18" customHeight="1">
      <c r="A40" s="299" t="s">
        <v>395</v>
      </c>
      <c r="B40" s="300" t="s">
        <v>774</v>
      </c>
      <c r="C40" s="301">
        <f ca="1">ROUND(C39*(1-((1+F42)/(1+F40))^F41)/(F40-F42),0)</f>
        <v>2049576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20.57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7265</v>
      </c>
      <c r="D43" s="337" t="s">
        <v>777</v>
      </c>
      <c r="E43" s="338" t="s">
        <v>778</v>
      </c>
      <c r="F43" s="339">
        <f ca="1">INDIRECT("'数据-取费表'!k"&amp;$G$1)</f>
        <v>282.12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-215.72980000000001</v>
      </c>
      <c r="D45" s="3432" t="s">
        <v>3357</v>
      </c>
      <c r="E45" s="1400"/>
      <c r="F45" s="1400"/>
      <c r="O45" s="1403" t="s">
        <v>808</v>
      </c>
      <c r="P45" s="1461"/>
      <c r="Q45" s="1461"/>
      <c r="R45" s="1461"/>
    </row>
    <row r="46" spans="1:18" s="1384" customFormat="1" ht="13.5" thickBot="1">
      <c r="A46" s="1404" t="s">
        <v>809</v>
      </c>
      <c r="C46" s="1405">
        <f ca="1">ROUND(C45,0)</f>
        <v>-216</v>
      </c>
      <c r="D46" s="1406" t="str">
        <f>C2</f>
        <v>万元</v>
      </c>
      <c r="I46" s="1407" t="s">
        <v>810</v>
      </c>
      <c r="J46" s="1408"/>
      <c r="K46" s="1409"/>
      <c r="L46" s="1410">
        <f ca="1">IF(M47="住宅",0,IF(L48&gt;J51,L60,J60))</f>
        <v>139887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3435</v>
      </c>
      <c r="K47" s="1416" t="s">
        <v>816</v>
      </c>
      <c r="L47" s="1417">
        <f ca="1">INDIRECT("'数据-取费表'!d"&amp;$G$1)</f>
        <v>40</v>
      </c>
      <c r="M47" s="1380" t="str">
        <f>IF(ISNUMBER(FIND("住宅",C1)),"住宅","非住宅")</f>
        <v>非住宅</v>
      </c>
      <c r="O47" s="1418" t="s">
        <v>403</v>
      </c>
      <c r="P47" s="1419" t="s">
        <v>817</v>
      </c>
      <c r="Q47" s="1420">
        <f ca="1">C40+J29</f>
        <v>2049576</v>
      </c>
      <c r="R47" s="1420" t="s">
        <v>818</v>
      </c>
    </row>
    <row r="48" spans="1:18" s="1384" customFormat="1" ht="28.5" thickBot="1">
      <c r="A48" s="1110" t="s">
        <v>438</v>
      </c>
      <c r="B48" s="300" t="s">
        <v>692</v>
      </c>
      <c r="C48" s="1359">
        <f ca="1">C49+C53+C55</f>
        <v>0</v>
      </c>
      <c r="D48" s="1112"/>
      <c r="E48" s="1113"/>
      <c r="F48" s="962"/>
      <c r="G48" s="722"/>
      <c r="H48" s="723"/>
      <c r="I48" s="1421" t="s">
        <v>819</v>
      </c>
      <c r="J48" s="1422" t="s">
        <v>3446</v>
      </c>
      <c r="K48" s="1423" t="s">
        <v>820</v>
      </c>
      <c r="L48" s="1424">
        <f ca="1">INDIRECT("'数据-取费表'!f"&amp;$G$1)</f>
        <v>20.57</v>
      </c>
      <c r="O48" s="1418" t="s">
        <v>404</v>
      </c>
      <c r="P48" s="1419" t="s">
        <v>821</v>
      </c>
      <c r="Q48" s="1420">
        <f ca="1">J60</f>
        <v>139887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2007</v>
      </c>
      <c r="K49" s="1423" t="s">
        <v>824</v>
      </c>
      <c r="L49" s="1427"/>
      <c r="O49" s="1428" t="s">
        <v>405</v>
      </c>
      <c r="P49" s="1419" t="s">
        <v>825</v>
      </c>
      <c r="Q49" s="1420">
        <f ca="1">C29</f>
        <v>1548070</v>
      </c>
      <c r="R49" s="1420" t="s">
        <v>818</v>
      </c>
    </row>
    <row r="50" spans="1:18" s="1384" customFormat="1" ht="13.5" thickBot="1">
      <c r="A50" s="976"/>
      <c r="B50" s="979"/>
      <c r="C50" s="980"/>
      <c r="D50" s="953"/>
      <c r="E50" s="1056" t="s">
        <v>697</v>
      </c>
      <c r="F50" s="1057">
        <f ca="1">F7</f>
        <v>282.12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1022965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20.57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20.57</v>
      </c>
      <c r="K53" s="3636" t="s">
        <v>837</v>
      </c>
      <c r="L53" s="3637"/>
      <c r="O53" s="1418" t="s">
        <v>409</v>
      </c>
      <c r="P53" s="1419" t="s">
        <v>838</v>
      </c>
      <c r="Q53" s="1420">
        <f ca="1">Q47+Q48</f>
        <v>2189463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0.39100000000000001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1135251</v>
      </c>
      <c r="D56" s="1447"/>
      <c r="E56" s="1448"/>
      <c r="F56" s="1440"/>
      <c r="I56" s="1449" t="s">
        <v>842</v>
      </c>
      <c r="J56" s="1450" t="s">
        <v>3447</v>
      </c>
      <c r="K56" s="1421" t="s">
        <v>843</v>
      </c>
      <c r="L56" s="1424" t="str">
        <f ca="1">IF(L48&lt;J51,"——",L48-J51)</f>
        <v>——</v>
      </c>
      <c r="O56" s="1418" t="s">
        <v>403</v>
      </c>
      <c r="P56" s="1419" t="s">
        <v>817</v>
      </c>
      <c r="Q56" s="1420">
        <f ca="1">C40+J29</f>
        <v>2049576</v>
      </c>
      <c r="R56" s="1420" t="s">
        <v>818</v>
      </c>
    </row>
    <row r="57" spans="1:18" s="1384" customFormat="1" ht="24.75" thickBot="1">
      <c r="A57" s="1451"/>
      <c r="B57" s="950" t="s">
        <v>767</v>
      </c>
      <c r="C57" s="238">
        <f ca="1">C29</f>
        <v>1548070</v>
      </c>
      <c r="D57" s="1452"/>
      <c r="E57" s="1453"/>
      <c r="F57" s="1454"/>
      <c r="I57" s="1455" t="s">
        <v>844</v>
      </c>
      <c r="J57" s="1456">
        <f ca="1">IF(OR(M47="住宅",J51&lt;L48,J56="是"),"——",J51-L48)</f>
        <v>23.43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8875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619228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139887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2049576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7740</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1135</v>
      </c>
      <c r="D65" s="964" t="s">
        <v>743</v>
      </c>
      <c r="E65" s="950" t="s">
        <v>744</v>
      </c>
      <c r="F65" s="330">
        <f t="shared" ca="1" si="0"/>
        <v>1E-3</v>
      </c>
      <c r="I65" s="1462" t="s">
        <v>867</v>
      </c>
      <c r="J65" s="1463">
        <v>40</v>
      </c>
      <c r="K65" s="1463">
        <v>30</v>
      </c>
      <c r="L65" s="1463">
        <v>50</v>
      </c>
      <c r="M65" s="1465">
        <v>0.02</v>
      </c>
      <c r="O65" s="1418" t="s">
        <v>403</v>
      </c>
      <c r="P65" s="1419" t="s">
        <v>868</v>
      </c>
      <c r="Q65" s="1420">
        <f ca="1">C40+J29</f>
        <v>2049576</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-8875</v>
      </c>
      <c r="D67" s="963" t="s">
        <v>753</v>
      </c>
      <c r="E67" s="968"/>
      <c r="F67" s="969"/>
      <c r="O67" s="1428" t="s">
        <v>405</v>
      </c>
      <c r="P67" s="1419" t="s">
        <v>850</v>
      </c>
      <c r="Q67" s="1466">
        <f ca="1">L51</f>
        <v>1022965</v>
      </c>
      <c r="R67" s="1420" t="s">
        <v>870</v>
      </c>
    </row>
    <row r="68" spans="1:18" s="1384" customFormat="1" ht="16.5" thickBot="1">
      <c r="A68" s="947" t="s">
        <v>395</v>
      </c>
      <c r="B68" s="948" t="s">
        <v>774</v>
      </c>
      <c r="C68" s="301">
        <f ca="1">ROUND(C67*(1-((1+F70)/(1+F68))^F69)/(F68-F70),0)</f>
        <v>-107722</v>
      </c>
      <c r="D68" s="965" t="s">
        <v>758</v>
      </c>
      <c r="E68" s="950" t="s">
        <v>759</v>
      </c>
      <c r="F68" s="312">
        <f ca="1">F40</f>
        <v>5.5E-2</v>
      </c>
      <c r="O68" s="1428" t="s">
        <v>406</v>
      </c>
      <c r="P68" s="1467" t="s">
        <v>871</v>
      </c>
      <c r="Q68" s="1420">
        <f ca="1">ROUND(Q69-Q70*Q71,0)</f>
        <v>57916</v>
      </c>
      <c r="R68" s="1420" t="s">
        <v>414</v>
      </c>
    </row>
    <row r="69" spans="1:18" s="1384" customFormat="1" ht="13.5" thickBot="1">
      <c r="A69" s="951"/>
      <c r="B69" s="952"/>
      <c r="C69" s="306"/>
      <c r="D69" s="970" t="s">
        <v>762</v>
      </c>
      <c r="E69" s="950" t="s">
        <v>763</v>
      </c>
      <c r="F69" s="333">
        <f ca="1">F41</f>
        <v>20.57</v>
      </c>
      <c r="O69" s="1428" t="s">
        <v>411</v>
      </c>
      <c r="P69" s="1467" t="s">
        <v>872</v>
      </c>
      <c r="Q69" s="1420">
        <f ca="1">C39</f>
        <v>137384</v>
      </c>
      <c r="R69" s="1420" t="s">
        <v>818</v>
      </c>
    </row>
    <row r="70" spans="1:18" s="1384" customFormat="1" ht="13.5" thickBot="1">
      <c r="A70" s="954"/>
      <c r="B70" s="955"/>
      <c r="C70" s="310"/>
      <c r="D70" s="966"/>
      <c r="E70" s="950" t="s">
        <v>766</v>
      </c>
      <c r="F70" s="1054"/>
      <c r="O70" s="1428" t="s">
        <v>412</v>
      </c>
      <c r="P70" s="1467" t="s">
        <v>873</v>
      </c>
      <c r="Q70" s="1420">
        <f ca="1">C13</f>
        <v>1135251</v>
      </c>
      <c r="R70" s="1420" t="s">
        <v>818</v>
      </c>
    </row>
    <row r="71" spans="1:18" s="1384" customFormat="1" ht="13.5" thickBot="1">
      <c r="A71" s="971" t="s">
        <v>396</v>
      </c>
      <c r="B71" s="972" t="s">
        <v>776</v>
      </c>
      <c r="C71" s="336">
        <f ca="1">ROUND(C68/F71,0)</f>
        <v>-382</v>
      </c>
      <c r="D71" s="973" t="s">
        <v>777</v>
      </c>
      <c r="E71" s="974" t="s">
        <v>778</v>
      </c>
      <c r="F71" s="339">
        <f ca="1">F43</f>
        <v>282.12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79468</v>
      </c>
      <c r="D75" s="1384"/>
      <c r="E75" s="1384"/>
      <c r="F75" s="1384"/>
      <c r="K75" s="1402"/>
      <c r="L75" s="1384"/>
      <c r="O75" s="1418" t="s">
        <v>409</v>
      </c>
      <c r="P75" s="1419" t="s">
        <v>838</v>
      </c>
      <c r="Q75" s="1420">
        <f ca="1">Q65+Q66</f>
        <v>2049576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0.42200000000000004</v>
      </c>
    </row>
    <row r="80" spans="1:18">
      <c r="B80" s="340" t="s">
        <v>800</v>
      </c>
      <c r="C80" s="274">
        <f ca="1">ROUND(C75/C39,3)</f>
        <v>0.57799999999999996</v>
      </c>
    </row>
    <row r="81" spans="2:3">
      <c r="B81" s="270" t="s">
        <v>801</v>
      </c>
      <c r="C81" s="238"/>
    </row>
    <row r="82" spans="2:3">
      <c r="B82" s="273" t="s">
        <v>802</v>
      </c>
      <c r="C82" s="275">
        <f ca="1">1-C83</f>
        <v>0.44599999999999995</v>
      </c>
    </row>
    <row r="83" spans="2:3">
      <c r="B83" s="273" t="s">
        <v>803</v>
      </c>
      <c r="C83" s="274">
        <f ca="1">ROUND(C13/C40,3)</f>
        <v>0.55400000000000005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3363</v>
      </c>
      <c r="E2" s="3444"/>
      <c r="F2" s="2846"/>
      <c r="G2" s="2847"/>
      <c r="H2" s="2848"/>
      <c r="I2" s="2849"/>
      <c r="J2" s="3641" t="s">
        <v>2319</v>
      </c>
      <c r="K2" s="3642"/>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3" t="s">
        <v>2329</v>
      </c>
      <c r="K3" s="3644"/>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3" t="s">
        <v>2331</v>
      </c>
      <c r="K4" s="3644"/>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45" t="s">
        <v>2335</v>
      </c>
      <c r="B6" s="3646"/>
      <c r="C6" s="3647"/>
      <c r="D6" s="2870"/>
      <c r="E6" s="2871"/>
      <c r="F6" s="2872"/>
      <c r="G6" s="2873"/>
      <c r="H6" s="2848"/>
      <c r="I6" s="2849"/>
      <c r="J6" s="3648">
        <v>1</v>
      </c>
      <c r="K6" s="3649"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8"/>
      <c r="K7" s="3650"/>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2" t="s">
        <v>2349</v>
      </c>
      <c r="C8" s="3653"/>
      <c r="D8" s="2889" t="s">
        <v>2350</v>
      </c>
      <c r="E8" s="2890" t="s">
        <v>2351</v>
      </c>
      <c r="F8" s="2891" t="s">
        <v>2352</v>
      </c>
      <c r="G8" s="2892"/>
      <c r="H8" s="2848"/>
      <c r="I8" s="2849"/>
      <c r="J8" s="3648"/>
      <c r="K8" s="3650"/>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2" t="s">
        <v>2355</v>
      </c>
      <c r="C9" s="3653"/>
      <c r="D9" s="2889">
        <f>ROUND(D6*E9,0)</f>
        <v>0</v>
      </c>
      <c r="E9" s="2893"/>
      <c r="F9" s="2894" t="s">
        <v>2356</v>
      </c>
      <c r="G9" s="2873"/>
      <c r="H9" s="2848"/>
      <c r="I9" s="2849"/>
      <c r="J9" s="3648"/>
      <c r="K9" s="3650"/>
      <c r="L9" s="2883" t="s">
        <v>2357</v>
      </c>
      <c r="M9" s="2884"/>
      <c r="N9" s="2860"/>
      <c r="O9" s="2885"/>
      <c r="P9" s="2885"/>
      <c r="Q9" s="2886">
        <v>365</v>
      </c>
      <c r="R9" s="2887">
        <f t="shared" si="0"/>
        <v>0</v>
      </c>
      <c r="S9" s="2841"/>
      <c r="T9" s="2841"/>
      <c r="U9" s="2841"/>
      <c r="V9" s="2849"/>
    </row>
    <row r="10" spans="1:22" s="2853" customFormat="1" ht="13.15" customHeight="1">
      <c r="A10" s="2888">
        <v>2</v>
      </c>
      <c r="B10" s="3652" t="s">
        <v>2358</v>
      </c>
      <c r="C10" s="3653"/>
      <c r="D10" s="2889">
        <f>ROUND(D6*E10,0)</f>
        <v>0</v>
      </c>
      <c r="E10" s="2893"/>
      <c r="F10" s="2894" t="s">
        <v>2359</v>
      </c>
      <c r="G10" s="2873"/>
      <c r="H10" s="2848"/>
      <c r="I10" s="2849"/>
      <c r="J10" s="3648"/>
      <c r="K10" s="3650"/>
      <c r="L10" s="2883" t="s">
        <v>2360</v>
      </c>
      <c r="M10" s="2884"/>
      <c r="N10" s="2860"/>
      <c r="O10" s="2885"/>
      <c r="P10" s="2885"/>
      <c r="Q10" s="2886">
        <v>365</v>
      </c>
      <c r="R10" s="2887">
        <f t="shared" si="0"/>
        <v>0</v>
      </c>
      <c r="S10" s="2841"/>
      <c r="T10" s="2841"/>
      <c r="U10" s="2841"/>
      <c r="V10" s="2849"/>
    </row>
    <row r="11" spans="1:22" s="2853" customFormat="1" ht="13.15" customHeight="1">
      <c r="A11" s="2888">
        <v>3</v>
      </c>
      <c r="B11" s="3652" t="s">
        <v>2361</v>
      </c>
      <c r="C11" s="3653"/>
      <c r="D11" s="2889">
        <f>D12+D14+D15+D16</f>
        <v>0</v>
      </c>
      <c r="E11" s="2895" t="e">
        <f>D11/D6</f>
        <v>#DIV/0!</v>
      </c>
      <c r="F11" s="2891"/>
      <c r="G11" s="2892"/>
      <c r="H11" s="2848"/>
      <c r="I11" s="2849"/>
      <c r="J11" s="3648"/>
      <c r="K11" s="3650"/>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4" t="s">
        <v>2364</v>
      </c>
      <c r="C12" s="3655"/>
      <c r="D12" s="2897">
        <f>ROUND(D13*1.2%*(1-30%),0)</f>
        <v>0</v>
      </c>
      <c r="E12" s="2898">
        <v>1.2E-2</v>
      </c>
      <c r="F12" s="2891" t="s">
        <v>2365</v>
      </c>
      <c r="G12" s="2892"/>
      <c r="H12" s="2848"/>
      <c r="I12" s="2849"/>
      <c r="J12" s="3648"/>
      <c r="K12" s="3650"/>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8"/>
      <c r="K13" s="3650"/>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4" t="s">
        <v>2370</v>
      </c>
      <c r="C14" s="3655"/>
      <c r="D14" s="2897">
        <f>ROUND(E14*B5/10000,0)</f>
        <v>0</v>
      </c>
      <c r="E14" s="2886"/>
      <c r="F14" s="2891" t="s">
        <v>2371</v>
      </c>
      <c r="G14" s="2892"/>
      <c r="H14" s="2848"/>
      <c r="I14" s="2849"/>
      <c r="J14" s="3648"/>
      <c r="K14" s="3651"/>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4" t="s">
        <v>2374</v>
      </c>
      <c r="C15" s="3655"/>
      <c r="D15" s="2897">
        <f>ROUND(D6*E15,0)</f>
        <v>0</v>
      </c>
      <c r="E15" s="2898">
        <v>5.5E-2</v>
      </c>
      <c r="F15" s="2891" t="s">
        <v>2375</v>
      </c>
      <c r="G15" s="2873"/>
      <c r="H15" s="2848"/>
      <c r="I15" s="2849"/>
      <c r="J15" s="3648">
        <v>2</v>
      </c>
      <c r="K15" s="3649"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4" t="s">
        <v>2383</v>
      </c>
      <c r="C16" s="3655"/>
      <c r="D16" s="2908">
        <f>D6*E16</f>
        <v>0</v>
      </c>
      <c r="E16" s="2909"/>
      <c r="F16" s="2894" t="s">
        <v>2384</v>
      </c>
      <c r="G16" s="2873"/>
      <c r="H16" s="2848"/>
      <c r="I16" s="2849"/>
      <c r="J16" s="3648"/>
      <c r="K16" s="3650"/>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2386</v>
      </c>
      <c r="C17" s="3657"/>
      <c r="D17" s="2911">
        <f>ROUND(D6*E17,0)</f>
        <v>0</v>
      </c>
      <c r="E17" s="2912"/>
      <c r="F17" s="2913" t="s">
        <v>2387</v>
      </c>
      <c r="G17" s="2873"/>
      <c r="H17" s="2848"/>
      <c r="I17" s="2849"/>
      <c r="J17" s="3648"/>
      <c r="K17" s="3650"/>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8"/>
      <c r="K18" s="3650"/>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8"/>
      <c r="K19" s="3651"/>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8"/>
      <c r="K21" s="3650"/>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8"/>
      <c r="K22" s="3650"/>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8"/>
      <c r="K23" s="3650"/>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8"/>
      <c r="K24" s="3651"/>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8">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1" t="s">
        <v>2319</v>
      </c>
      <c r="K32" s="3642"/>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3" t="s">
        <v>2329</v>
      </c>
      <c r="K33" s="3644"/>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3" t="s">
        <v>2331</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8">
        <v>1</v>
      </c>
      <c r="K36" s="3649"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8"/>
      <c r="K40" s="3651"/>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218.94630000000001</v>
      </c>
      <c r="C2" s="1872" t="s">
        <v>1651</v>
      </c>
      <c r="D2" s="1873" t="s">
        <v>1652</v>
      </c>
      <c r="E2" s="2607">
        <f>SUM(E6:E13)</f>
        <v>282.12</v>
      </c>
      <c r="F2" s="2707"/>
      <c r="G2" s="1489"/>
      <c r="H2" s="1489"/>
      <c r="I2" s="1489"/>
      <c r="J2" s="1489"/>
      <c r="K2" s="1489"/>
      <c r="L2" s="1489"/>
      <c r="M2" s="1489"/>
      <c r="N2" s="1489"/>
      <c r="O2" s="1489"/>
      <c r="P2" s="1489"/>
      <c r="Q2" s="1489"/>
      <c r="R2" s="1489"/>
      <c r="S2" s="1489"/>
    </row>
    <row r="3" spans="1:22" ht="15.75">
      <c r="A3" s="1870" t="s">
        <v>686</v>
      </c>
      <c r="B3" s="2601">
        <f ca="1">ROUND(B2*10000/E2,0)</f>
        <v>7761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218.94630000000001</v>
      </c>
      <c r="C6" s="1872" t="s">
        <v>1651</v>
      </c>
      <c r="D6" s="2709"/>
      <c r="E6" s="2606">
        <f>IF(OR(A6=0,F6="否"),0,'数据-取费表'!K6+'数据-取费表'!S6)</f>
        <v>282.12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282.12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45084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4" zoomScale="85" zoomScaleNormal="70" zoomScaleSheetLayoutView="85"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3385</v>
      </c>
      <c r="E1" s="3426" t="s">
        <v>3454</v>
      </c>
      <c r="F1" s="1879" t="s">
        <v>3452</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592.22630000000004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20992</v>
      </c>
      <c r="C3" s="354" t="s">
        <v>1768</v>
      </c>
      <c r="D3" s="353">
        <f>IF(D1="",'数据-汇总表'!E3,SUMIF('数据-汇总表'!$C19:$C33,D1,'数据-汇总表'!$E19:$E33))</f>
        <v>282.12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789" t="s">
        <v>3387</v>
      </c>
      <c r="F5" s="3672"/>
      <c r="G5" s="3790" t="s">
        <v>3388</v>
      </c>
      <c r="H5" s="3674"/>
      <c r="I5" s="3790" t="s">
        <v>3389</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45084</v>
      </c>
      <c r="D7" s="365">
        <v>100</v>
      </c>
      <c r="E7" s="366">
        <v>44986</v>
      </c>
      <c r="F7" s="367">
        <f>SUMIF(58:58,YEAR(E7)&amp;"-"&amp;MONTH(E7),59:59)</f>
        <v>100</v>
      </c>
      <c r="G7" s="366">
        <v>44986</v>
      </c>
      <c r="H7" s="365">
        <f>SUMIF(58:58,YEAR(G7)&amp;"-"&amp;MONTH(G7),59:59)</f>
        <v>100</v>
      </c>
      <c r="I7" s="366">
        <v>45080</v>
      </c>
      <c r="J7" s="365">
        <f>SUMIF(58:58,YEAR(I7)&amp;"-"&amp;MONTH(I7),59:59)</f>
        <v>100</v>
      </c>
      <c r="K7" s="560"/>
      <c r="L7" s="2717"/>
      <c r="M7" s="2718"/>
      <c r="N7" s="2718"/>
      <c r="O7" s="2718"/>
      <c r="P7" s="3665" t="s">
        <v>1680</v>
      </c>
      <c r="Q7" s="3693"/>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704">
        <f>D7/J7</f>
        <v>1</v>
      </c>
    </row>
    <row r="8" spans="1:29" s="108" customFormat="1" ht="15.75" thickBot="1">
      <c r="A8" s="362" t="s">
        <v>1681</v>
      </c>
      <c r="B8" s="363"/>
      <c r="C8" s="368" t="s">
        <v>3418</v>
      </c>
      <c r="D8" s="365">
        <v>100</v>
      </c>
      <c r="E8" s="368" t="s">
        <v>3390</v>
      </c>
      <c r="F8" s="367">
        <f>SUMIF(61:61,E8,62:62)-SUMIF(61:61,C8,62:62)+100</f>
        <v>105</v>
      </c>
      <c r="G8" s="368" t="s">
        <v>3390</v>
      </c>
      <c r="H8" s="365">
        <f>SUMIF(61:61,G8,62:62)-SUMIF(61:61,C8,62:62)+100</f>
        <v>105</v>
      </c>
      <c r="I8" s="368" t="s">
        <v>3390</v>
      </c>
      <c r="J8" s="365">
        <f>SUMIF(61:61,I8,62:62)-SUMIF(61:61,C8,62:62)+100</f>
        <v>105</v>
      </c>
      <c r="K8" s="560"/>
      <c r="L8" s="2717"/>
      <c r="M8" s="2718"/>
      <c r="N8" s="2718"/>
      <c r="O8" s="2718"/>
      <c r="P8" s="3665" t="s">
        <v>1683</v>
      </c>
      <c r="Q8" s="3666"/>
      <c r="R8" s="701" t="s">
        <v>14</v>
      </c>
      <c r="S8" s="702">
        <f t="shared" si="0"/>
        <v>105</v>
      </c>
      <c r="T8" s="701" t="s">
        <v>14</v>
      </c>
      <c r="U8" s="702">
        <f t="shared" si="1"/>
        <v>105</v>
      </c>
      <c r="V8" s="701" t="s">
        <v>14</v>
      </c>
      <c r="W8" s="702">
        <f t="shared" si="2"/>
        <v>105</v>
      </c>
      <c r="X8" s="703"/>
      <c r="Y8" s="3665" t="s">
        <v>1683</v>
      </c>
      <c r="Z8" s="3666"/>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t="str">
        <f>D65</f>
        <v>20-30</v>
      </c>
      <c r="D10" s="127">
        <v>100</v>
      </c>
      <c r="E10" s="3435" t="str">
        <f>E65</f>
        <v>10-20</v>
      </c>
      <c r="F10" s="376">
        <f>SUMIF(65:65,E10,66:66)-SUMIF(65:65,C10,66:66)+100</f>
        <v>98</v>
      </c>
      <c r="G10" s="3434" t="str">
        <f>E65</f>
        <v>10-20</v>
      </c>
      <c r="H10" s="127">
        <f>SUMIF(65:65,G10,66:66)-SUMIF(65:65,C10,66:66)+100</f>
        <v>98</v>
      </c>
      <c r="I10" s="3434" t="str">
        <f>E65</f>
        <v>10-20</v>
      </c>
      <c r="J10" s="127">
        <f>SUMIF(65:65,I10,66:66)-SUMIF(65:65,C10,66:66)+100</f>
        <v>98</v>
      </c>
      <c r="K10" s="560"/>
      <c r="L10" s="2719"/>
      <c r="M10" s="2720"/>
      <c r="N10" s="2720"/>
      <c r="O10" s="2720"/>
      <c r="P10" s="3679"/>
      <c r="Q10" s="1343" t="str">
        <f t="shared" si="6"/>
        <v>土地使用年限（年）</v>
      </c>
      <c r="R10" s="701" t="s">
        <v>14</v>
      </c>
      <c r="S10" s="702">
        <f t="shared" si="0"/>
        <v>98</v>
      </c>
      <c r="T10" s="701" t="s">
        <v>14</v>
      </c>
      <c r="U10" s="702">
        <f t="shared" si="1"/>
        <v>98</v>
      </c>
      <c r="V10" s="701" t="s">
        <v>14</v>
      </c>
      <c r="W10" s="702">
        <f t="shared" si="2"/>
        <v>98</v>
      </c>
      <c r="X10" s="703"/>
      <c r="Y10" s="3609"/>
      <c r="Z10" s="52" t="str">
        <f t="shared" si="7"/>
        <v>土地使用年限（年）</v>
      </c>
      <c r="AA10" s="704">
        <f t="shared" si="3"/>
        <v>1.0204081632653061</v>
      </c>
      <c r="AB10" s="704">
        <f t="shared" si="4"/>
        <v>1.0204081632653061</v>
      </c>
      <c r="AC10" s="704">
        <f t="shared" si="5"/>
        <v>1.0204081632653061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105</v>
      </c>
      <c r="G15" s="395"/>
      <c r="H15" s="392">
        <f>SUMIF(76:76,G16,77:77)-SUMIF(76:76,C16,77:77)+100</f>
        <v>100</v>
      </c>
      <c r="I15" s="393"/>
      <c r="J15" s="392">
        <f>SUMIF(76:76,I16,77:77)-SUMIF(76:76,C16,77:77)+100</f>
        <v>100</v>
      </c>
      <c r="K15" s="563">
        <v>5</v>
      </c>
      <c r="L15" s="2722"/>
      <c r="M15" s="2716"/>
      <c r="N15" s="2716"/>
      <c r="O15" s="2716"/>
      <c r="P15" s="3706" t="s">
        <v>1691</v>
      </c>
      <c r="Q15" s="1352" t="str">
        <f t="shared" si="6"/>
        <v>商业繁华度</v>
      </c>
      <c r="R15" s="705" t="s">
        <v>14</v>
      </c>
      <c r="S15" s="706">
        <f t="shared" si="0"/>
        <v>105</v>
      </c>
      <c r="T15" s="705" t="s">
        <v>14</v>
      </c>
      <c r="U15" s="706">
        <f t="shared" si="1"/>
        <v>100</v>
      </c>
      <c r="V15" s="705" t="s">
        <v>14</v>
      </c>
      <c r="W15" s="706">
        <f t="shared" si="2"/>
        <v>100</v>
      </c>
      <c r="X15" s="1355"/>
      <c r="Y15" s="3699" t="s">
        <v>1691</v>
      </c>
      <c r="Z15" s="1356" t="str">
        <f t="shared" si="7"/>
        <v>商业繁华度</v>
      </c>
      <c r="AA15" s="1353">
        <f t="shared" si="3"/>
        <v>0.95238095238095233</v>
      </c>
      <c r="AB15" s="1353">
        <f t="shared" si="4"/>
        <v>1</v>
      </c>
      <c r="AC15" s="1353">
        <f t="shared" si="5"/>
        <v>1</v>
      </c>
    </row>
    <row r="16" spans="1:29" ht="15">
      <c r="A16" s="379"/>
      <c r="B16" s="397"/>
      <c r="C16" s="398" t="s">
        <v>3419</v>
      </c>
      <c r="D16" s="399"/>
      <c r="E16" s="398" t="s">
        <v>3420</v>
      </c>
      <c r="F16" s="400"/>
      <c r="G16" s="398" t="s">
        <v>3419</v>
      </c>
      <c r="H16" s="401"/>
      <c r="I16" s="398" t="s">
        <v>3419</v>
      </c>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t="s">
        <v>3419</v>
      </c>
      <c r="D18" s="401"/>
      <c r="E18" s="1901" t="s">
        <v>3419</v>
      </c>
      <c r="F18" s="404"/>
      <c r="G18" s="1901" t="s">
        <v>3419</v>
      </c>
      <c r="H18" s="399"/>
      <c r="I18" s="1901" t="s">
        <v>3419</v>
      </c>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t="s">
        <v>3420</v>
      </c>
      <c r="D20" s="399"/>
      <c r="E20" s="398" t="s">
        <v>3420</v>
      </c>
      <c r="F20" s="400"/>
      <c r="G20" s="398" t="s">
        <v>3420</v>
      </c>
      <c r="H20" s="399"/>
      <c r="I20" s="398" t="s">
        <v>3420</v>
      </c>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t="s">
        <v>3421</v>
      </c>
      <c r="D22" s="399"/>
      <c r="E22" s="1901" t="s">
        <v>3421</v>
      </c>
      <c r="F22" s="400"/>
      <c r="G22" s="1901" t="s">
        <v>3421</v>
      </c>
      <c r="H22" s="399"/>
      <c r="I22" s="1901" t="s">
        <v>3421</v>
      </c>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t="s">
        <v>3419</v>
      </c>
      <c r="D24" s="399"/>
      <c r="E24" s="398" t="s">
        <v>3419</v>
      </c>
      <c r="F24" s="400"/>
      <c r="G24" s="398" t="s">
        <v>3419</v>
      </c>
      <c r="H24" s="399"/>
      <c r="I24" s="398" t="s">
        <v>3419</v>
      </c>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t="s">
        <v>3422</v>
      </c>
      <c r="D25" s="386">
        <v>100</v>
      </c>
      <c r="E25" s="565" t="s">
        <v>3422</v>
      </c>
      <c r="F25" s="412">
        <f>SUMIF(86:86,E25,87:87)-SUMIF(86:86,C25,87:87)+100</f>
        <v>100</v>
      </c>
      <c r="G25" s="565" t="s">
        <v>3422</v>
      </c>
      <c r="H25" s="386">
        <f>SUMIF(86:86,G25,87:87)-SUMIF(86:86,C25,87:87)+100</f>
        <v>100</v>
      </c>
      <c r="I25" s="565" t="s">
        <v>3422</v>
      </c>
      <c r="J25" s="386">
        <f>SUMIF(86:86,I25,87:87)-SUMIF(86:86,C25,87:87)+100</f>
        <v>100</v>
      </c>
      <c r="K25" s="561">
        <v>2</v>
      </c>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796" t="s">
        <v>3423</v>
      </c>
      <c r="D26" s="386">
        <v>100</v>
      </c>
      <c r="E26" s="3796" t="s">
        <v>3423</v>
      </c>
      <c r="F26" s="412">
        <f>SUMIF(88:88,E26,89:89)-SUMIF(88:88,C26,89:89)+100</f>
        <v>100</v>
      </c>
      <c r="G26" s="3796" t="s">
        <v>3423</v>
      </c>
      <c r="H26" s="386">
        <f>SUMIF(88:88,G26,89:89)-SUMIF(88:88,C26,89:89)+100</f>
        <v>100</v>
      </c>
      <c r="I26" s="3796" t="s">
        <v>3423</v>
      </c>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t="s">
        <v>3419</v>
      </c>
      <c r="D27" s="413">
        <v>100</v>
      </c>
      <c r="E27" s="1956" t="s">
        <v>3425</v>
      </c>
      <c r="F27" s="415">
        <f>SUMIF(90:90,E27,91:91)-SUMIF(90:90,C27,91:91)+100</f>
        <v>105</v>
      </c>
      <c r="G27" s="1956" t="s">
        <v>3419</v>
      </c>
      <c r="H27" s="413">
        <f>SUMIF(90:90,G27,91:91)-SUMIF(90:90,C27,91:91)+100</f>
        <v>100</v>
      </c>
      <c r="I27" s="1956" t="s">
        <v>3419</v>
      </c>
      <c r="J27" s="413">
        <f>SUMIF(90:90,I27,91:91)-SUMIF(90:90,C27,91:91)+100</f>
        <v>100</v>
      </c>
      <c r="K27" s="561">
        <v>5</v>
      </c>
      <c r="L27" s="2717"/>
      <c r="M27" s="2718"/>
      <c r="N27" s="2718"/>
      <c r="O27" s="2718"/>
      <c r="P27" s="3707"/>
      <c r="Q27" s="1343" t="str">
        <f t="shared" si="11"/>
        <v>人流量</v>
      </c>
      <c r="R27" s="701" t="s">
        <v>14</v>
      </c>
      <c r="S27" s="702">
        <f>F27</f>
        <v>105</v>
      </c>
      <c r="T27" s="701" t="s">
        <v>14</v>
      </c>
      <c r="U27" s="702">
        <f>H27</f>
        <v>100</v>
      </c>
      <c r="V27" s="701" t="s">
        <v>14</v>
      </c>
      <c r="W27" s="702">
        <f>J27</f>
        <v>100</v>
      </c>
      <c r="X27" s="703"/>
      <c r="Y27" s="3700"/>
      <c r="Z27" s="52" t="str">
        <f>Q27</f>
        <v>人流量</v>
      </c>
      <c r="AA27" s="1353">
        <f>D27/F27</f>
        <v>0.95238095238095233</v>
      </c>
      <c r="AB27" s="1353">
        <f>D27/H27</f>
        <v>1</v>
      </c>
      <c r="AC27" s="1353">
        <f>D27/J27</f>
        <v>1</v>
      </c>
    </row>
    <row r="28" spans="1:29" ht="15">
      <c r="A28" s="379"/>
      <c r="B28" s="375" t="s">
        <v>1783</v>
      </c>
      <c r="C28" s="565" t="s">
        <v>3432</v>
      </c>
      <c r="D28" s="386">
        <v>100</v>
      </c>
      <c r="E28" s="565" t="s">
        <v>3433</v>
      </c>
      <c r="F28" s="412">
        <f>SUMIF(92:92,E28,93:93)-SUMIF(92:92,C28,93:93)+100</f>
        <v>115</v>
      </c>
      <c r="G28" s="565" t="s">
        <v>3433</v>
      </c>
      <c r="H28" s="386">
        <f>SUMIF(92:92,G28,93:93)-SUMIF(92:92,C28,93:93)+100</f>
        <v>115</v>
      </c>
      <c r="I28" s="565" t="s">
        <v>3433</v>
      </c>
      <c r="J28" s="386">
        <f>SUMIF(92:92,I28,93:93)-SUMIF(92:92,C28,93:93)+100</f>
        <v>115</v>
      </c>
      <c r="K28" s="562"/>
      <c r="L28" s="2722"/>
      <c r="M28" s="2716"/>
      <c r="N28" s="2716"/>
      <c r="O28" s="2716"/>
      <c r="P28" s="3707"/>
      <c r="Q28" s="1352" t="str">
        <f t="shared" si="11"/>
        <v>楼层</v>
      </c>
      <c r="R28" s="705" t="s">
        <v>14</v>
      </c>
      <c r="S28" s="706">
        <f t="shared" ref="S28:S46" si="12">F28</f>
        <v>115</v>
      </c>
      <c r="T28" s="705" t="s">
        <v>14</v>
      </c>
      <c r="U28" s="706">
        <f t="shared" ref="U28:U46" si="13">H28</f>
        <v>115</v>
      </c>
      <c r="V28" s="705" t="s">
        <v>14</v>
      </c>
      <c r="W28" s="706">
        <f t="shared" ref="W28:W46" si="14">J28</f>
        <v>115</v>
      </c>
      <c r="X28" s="1355"/>
      <c r="Y28" s="3700"/>
      <c r="Z28" s="1356" t="str">
        <f t="shared" ref="Z28:Z46" si="15">Q28</f>
        <v>楼层</v>
      </c>
      <c r="AA28" s="1353">
        <f t="shared" si="3"/>
        <v>0.86956521739130432</v>
      </c>
      <c r="AB28" s="1353">
        <f t="shared" si="4"/>
        <v>0.86956521739130432</v>
      </c>
      <c r="AC28" s="1353">
        <f t="shared" si="5"/>
        <v>0.86956521739130432</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t="s">
        <v>3434</v>
      </c>
      <c r="D32" s="418">
        <v>100</v>
      </c>
      <c r="E32" s="1910" t="s">
        <v>3434</v>
      </c>
      <c r="F32" s="412">
        <f>SUMIF(100:100,E32,101:101)-SUMIF(100:100,C32,101:101)+100</f>
        <v>100</v>
      </c>
      <c r="G32" s="1910" t="s">
        <v>3434</v>
      </c>
      <c r="H32" s="386">
        <f>SUMIF(100:100,G32,101:101)-SUMIF(100:100,C32,101:101)+100</f>
        <v>100</v>
      </c>
      <c r="I32" s="1910" t="s">
        <v>3434</v>
      </c>
      <c r="J32" s="418">
        <f>SUMIF(100:100,I32,101:101)-SUMIF(100:100,C32,101:101)+100</f>
        <v>100</v>
      </c>
      <c r="K32" s="561">
        <v>2</v>
      </c>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f>'数据-汇总表'!F19</f>
        <v>282.12</v>
      </c>
      <c r="D33" s="127">
        <v>100</v>
      </c>
      <c r="E33" s="381">
        <v>80</v>
      </c>
      <c r="F33" s="376">
        <f>LOOKUP(E33,103:103,104:104)-LOOKUP(C33,103:103,104:104)+100</f>
        <v>102</v>
      </c>
      <c r="G33" s="380">
        <v>177.8</v>
      </c>
      <c r="H33" s="127">
        <f>LOOKUP(G33,103:103,104:104)-LOOKUP(C33,103:103,104:104)+100</f>
        <v>100</v>
      </c>
      <c r="I33" s="380">
        <v>109</v>
      </c>
      <c r="J33" s="127">
        <f>LOOKUP(I33,103:103,104:104)-LOOKUP(C33,103:103,104:104)+100</f>
        <v>100</v>
      </c>
      <c r="K33" s="562"/>
      <c r="L33" s="2721"/>
      <c r="M33" s="2723"/>
      <c r="N33" s="2723"/>
      <c r="O33" s="2723"/>
      <c r="P33" s="3702"/>
      <c r="Q33" s="707" t="str">
        <f t="shared" si="11"/>
        <v>项目建筑规模</v>
      </c>
      <c r="R33" s="708" t="s">
        <v>14</v>
      </c>
      <c r="S33" s="709">
        <f t="shared" si="12"/>
        <v>102</v>
      </c>
      <c r="T33" s="708" t="s">
        <v>14</v>
      </c>
      <c r="U33" s="709">
        <f t="shared" si="13"/>
        <v>100</v>
      </c>
      <c r="V33" s="708" t="s">
        <v>14</v>
      </c>
      <c r="W33" s="709">
        <f t="shared" si="14"/>
        <v>100</v>
      </c>
      <c r="X33" s="710"/>
      <c r="Y33" s="3704"/>
      <c r="Z33" s="711" t="str">
        <f t="shared" si="15"/>
        <v>项目建筑规模</v>
      </c>
      <c r="AA33" s="1353">
        <f t="shared" si="3"/>
        <v>0.98039215686274506</v>
      </c>
      <c r="AB33" s="1353">
        <f t="shared" si="4"/>
        <v>1</v>
      </c>
      <c r="AC33" s="1353">
        <f t="shared" si="5"/>
        <v>1</v>
      </c>
    </row>
    <row r="34" spans="1:29" ht="15">
      <c r="A34" s="423"/>
      <c r="B34" s="375" t="s">
        <v>1698</v>
      </c>
      <c r="C34" s="1912" t="s">
        <v>3435</v>
      </c>
      <c r="D34" s="386">
        <v>100</v>
      </c>
      <c r="E34" s="1912" t="s">
        <v>3435</v>
      </c>
      <c r="F34" s="412">
        <f>SUMIF(105:105,E34,106:106)-SUMIF(105:105,C34,106:106)+100</f>
        <v>100</v>
      </c>
      <c r="G34" s="1912" t="s">
        <v>3435</v>
      </c>
      <c r="H34" s="386">
        <f>SUMIF(105:105,G34,106:106)-SUMIF(105:105,C34,106:106)+100</f>
        <v>100</v>
      </c>
      <c r="I34" s="1912" t="s">
        <v>3435</v>
      </c>
      <c r="J34" s="386">
        <f>SUMIF(105:105,I34,106:106)-SUMIF(105:105,C34,106:106)+100</f>
        <v>100</v>
      </c>
      <c r="K34" s="561">
        <v>2</v>
      </c>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t="s">
        <v>3436</v>
      </c>
      <c r="D35" s="386">
        <v>100</v>
      </c>
      <c r="E35" s="1906" t="s">
        <v>3436</v>
      </c>
      <c r="F35" s="412">
        <f>SUMIF(107:107,E35,108:108)-SUMIF(107:107,C35,108:108)+100</f>
        <v>100</v>
      </c>
      <c r="G35" s="1906" t="s">
        <v>3436</v>
      </c>
      <c r="H35" s="386">
        <f>SUMIF(107:107,G35,108:108)-SUMIF(107:107,C35,108:108)+100</f>
        <v>100</v>
      </c>
      <c r="I35" s="1906" t="s">
        <v>3436</v>
      </c>
      <c r="J35" s="386">
        <f>SUMIF(107:107,I35,108:108)-SUMIF(107:107,C35,108:108)+100</f>
        <v>100</v>
      </c>
      <c r="K35" s="561">
        <v>2</v>
      </c>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f>'数据-取费表'!N6</f>
        <v>0.73333333333333339</v>
      </c>
      <c r="D36" s="386">
        <v>100</v>
      </c>
      <c r="E36" s="425">
        <v>0.6</v>
      </c>
      <c r="F36" s="412">
        <f>LOOKUP(E36,110:110,111:111)-LOOKUP(C36,110:110,111:111)+100</f>
        <v>99</v>
      </c>
      <c r="G36" s="425">
        <v>0.6</v>
      </c>
      <c r="H36" s="412">
        <f>LOOKUP(G36,110:110,111:111)-LOOKUP(C36,110:110,111:111)+100</f>
        <v>99</v>
      </c>
      <c r="I36" s="425">
        <v>0.6</v>
      </c>
      <c r="J36" s="386">
        <f>LOOKUP(I36,110:110,111:111)-LOOKUP(C36,110:110,111:111)+100</f>
        <v>99</v>
      </c>
      <c r="K36" s="561">
        <v>1</v>
      </c>
      <c r="L36" s="2722"/>
      <c r="M36" s="2716"/>
      <c r="N36" s="2716"/>
      <c r="O36" s="2716"/>
      <c r="P36" s="3702"/>
      <c r="Q36" s="1352" t="str">
        <f t="shared" si="11"/>
        <v>成新度</v>
      </c>
      <c r="R36" s="705" t="s">
        <v>14</v>
      </c>
      <c r="S36" s="706">
        <f t="shared" si="12"/>
        <v>99</v>
      </c>
      <c r="T36" s="705" t="s">
        <v>14</v>
      </c>
      <c r="U36" s="706">
        <f t="shared" si="13"/>
        <v>99</v>
      </c>
      <c r="V36" s="705" t="s">
        <v>14</v>
      </c>
      <c r="W36" s="706">
        <f t="shared" si="14"/>
        <v>99</v>
      </c>
      <c r="X36" s="1355"/>
      <c r="Y36" s="3704"/>
      <c r="Z36" s="1356" t="str">
        <f t="shared" si="15"/>
        <v>成新度</v>
      </c>
      <c r="AA36" s="1353">
        <f t="shared" si="3"/>
        <v>1.0101010101010102</v>
      </c>
      <c r="AB36" s="1353">
        <f t="shared" si="4"/>
        <v>1.0101010101010102</v>
      </c>
      <c r="AC36" s="1353">
        <f t="shared" si="5"/>
        <v>1.0101010101010102</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t="s">
        <v>3448</v>
      </c>
      <c r="D38" s="386">
        <v>100</v>
      </c>
      <c r="E38" s="1906" t="s">
        <v>3448</v>
      </c>
      <c r="F38" s="412">
        <f>SUMIF(114:114,E38,115:115)-SUMIF(114:114,C38,115:115)+100</f>
        <v>100</v>
      </c>
      <c r="G38" s="1906" t="s">
        <v>3448</v>
      </c>
      <c r="H38" s="386">
        <f>SUMIF(114:114,G38,115:115)-SUMIF(114:114,C38,115:115)+100</f>
        <v>100</v>
      </c>
      <c r="I38" s="1906" t="s">
        <v>3448</v>
      </c>
      <c r="J38" s="386">
        <f>SUMIF(114:114,I38,115:115)-SUMIF(114:114,C38,115:115)+100</f>
        <v>100</v>
      </c>
      <c r="K38" s="561">
        <v>2</v>
      </c>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t="s">
        <v>3449</v>
      </c>
      <c r="D39" s="386">
        <v>100</v>
      </c>
      <c r="E39" s="1906" t="s">
        <v>3449</v>
      </c>
      <c r="F39" s="412">
        <f>SUMIF(116:116,E39,117:117)-SUMIF(116:116,C39,117:117)+100</f>
        <v>100</v>
      </c>
      <c r="G39" s="1906" t="s">
        <v>3449</v>
      </c>
      <c r="H39" s="386">
        <f>SUMIF(116:116,G39,117:117)-SUMIF(116:116,C39,117:117)+100</f>
        <v>100</v>
      </c>
      <c r="I39" s="1906" t="s">
        <v>3450</v>
      </c>
      <c r="J39" s="386">
        <f>SUMIF(116:116,I39,117:117)-SUMIF(116:116,C39,117:117)+100</f>
        <v>120</v>
      </c>
      <c r="K39" s="561">
        <v>20</v>
      </c>
      <c r="L39" s="2722"/>
      <c r="M39" s="2716"/>
      <c r="N39" s="2716"/>
      <c r="O39" s="2716"/>
      <c r="P39" s="3702"/>
      <c r="Q39" s="1352" t="str">
        <f t="shared" si="11"/>
        <v>层高</v>
      </c>
      <c r="R39" s="705" t="s">
        <v>14</v>
      </c>
      <c r="S39" s="706">
        <f t="shared" si="12"/>
        <v>100</v>
      </c>
      <c r="T39" s="705" t="s">
        <v>14</v>
      </c>
      <c r="U39" s="706">
        <f t="shared" si="13"/>
        <v>100</v>
      </c>
      <c r="V39" s="705" t="s">
        <v>14</v>
      </c>
      <c r="W39" s="706">
        <f t="shared" si="14"/>
        <v>120</v>
      </c>
      <c r="X39" s="1355"/>
      <c r="Y39" s="3704"/>
      <c r="Z39" s="1356" t="str">
        <f t="shared" si="15"/>
        <v>层高</v>
      </c>
      <c r="AA39" s="1353">
        <f t="shared" si="3"/>
        <v>1</v>
      </c>
      <c r="AB39" s="1353">
        <f t="shared" si="4"/>
        <v>1</v>
      </c>
      <c r="AC39" s="1353">
        <f t="shared" si="5"/>
        <v>0.83333333333333337</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t="s">
        <v>3451</v>
      </c>
      <c r="D41" s="386">
        <v>100</v>
      </c>
      <c r="E41" s="565" t="s">
        <v>3451</v>
      </c>
      <c r="F41" s="412">
        <f>SUMIF(120:120,E41,121:121)-SUMIF(120:120,C41,121:121)+100</f>
        <v>100</v>
      </c>
      <c r="G41" s="565" t="s">
        <v>3451</v>
      </c>
      <c r="H41" s="386">
        <f>SUMIF(120:120,G41,121:121)-SUMIF(120:120,C41,121:121)+100</f>
        <v>100</v>
      </c>
      <c r="I41" s="565" t="s">
        <v>3451</v>
      </c>
      <c r="J41" s="386">
        <f>SUMIF(120:120,I41,121:121)-SUMIF(120:120,C41,121:121)+100</f>
        <v>100</v>
      </c>
      <c r="K41" s="561">
        <v>2</v>
      </c>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t="s">
        <v>3436</v>
      </c>
      <c r="D42" s="386">
        <v>100</v>
      </c>
      <c r="E42" s="1906" t="s">
        <v>3436</v>
      </c>
      <c r="F42" s="412">
        <f>SUMIF(122:122,E42,123:123)-SUMIF(122:122,C42,123:123)+100</f>
        <v>100</v>
      </c>
      <c r="G42" s="1906" t="s">
        <v>3436</v>
      </c>
      <c r="H42" s="386">
        <f>SUMIF(122:122,G42,123:123)-SUMIF(122:122,C42,123:123)+100</f>
        <v>100</v>
      </c>
      <c r="I42" s="1906" t="s">
        <v>3436</v>
      </c>
      <c r="J42" s="386">
        <f>SUMIF(122:122,I42,123:123)-SUMIF(122:122,C42,123:123)+100</f>
        <v>100</v>
      </c>
      <c r="K42" s="561">
        <v>2</v>
      </c>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t="s">
        <v>3420</v>
      </c>
      <c r="D43" s="386">
        <v>100</v>
      </c>
      <c r="E43" s="1906" t="s">
        <v>3420</v>
      </c>
      <c r="F43" s="412">
        <f>SUMIF(124:124,E43,125:125)-SUMIF(124:124,C43,125:125)+100</f>
        <v>100</v>
      </c>
      <c r="G43" s="1906" t="s">
        <v>3420</v>
      </c>
      <c r="H43" s="386">
        <f>SUMIF(124:124,G43,125:125)-SUMIF(124:124,C43,125:125)+100</f>
        <v>100</v>
      </c>
      <c r="I43" s="1906" t="s">
        <v>3420</v>
      </c>
      <c r="J43" s="386">
        <f>SUMIF(124:124,I43,125:125)-SUMIF(124:124,C43,125:125)+100</f>
        <v>100</v>
      </c>
      <c r="K43" s="561">
        <v>2</v>
      </c>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v>26400</v>
      </c>
      <c r="F47" s="1157"/>
      <c r="G47" s="1158">
        <v>25300</v>
      </c>
      <c r="H47" s="1159"/>
      <c r="I47" s="1156">
        <v>30000</v>
      </c>
      <c r="J47" s="1159"/>
      <c r="K47" s="714"/>
      <c r="L47" s="2724"/>
      <c r="M47" s="2725"/>
      <c r="N47" s="2716"/>
      <c r="O47" s="2725"/>
      <c r="P47" s="3697" t="str">
        <f>A47</f>
        <v>成交单价（元/平方米）</v>
      </c>
      <c r="Q47" s="3697"/>
      <c r="R47" s="3692">
        <f>E47</f>
        <v>26400</v>
      </c>
      <c r="S47" s="3692"/>
      <c r="T47" s="3692">
        <f>G47</f>
        <v>25300</v>
      </c>
      <c r="U47" s="3692"/>
      <c r="V47" s="3692">
        <f>I47</f>
        <v>30000</v>
      </c>
      <c r="W47" s="3692"/>
      <c r="X47" s="690"/>
      <c r="Y47" s="712"/>
      <c r="Z47" s="690"/>
      <c r="AA47" s="690"/>
      <c r="AB47" s="690"/>
      <c r="AC47" s="690"/>
    </row>
    <row r="48" spans="1:29" ht="15.75" thickBot="1">
      <c r="A48" s="437" t="s">
        <v>1793</v>
      </c>
      <c r="B48" s="438"/>
      <c r="C48" s="1160">
        <f>R49</f>
        <v>20992</v>
      </c>
      <c r="D48" s="2317" t="s">
        <v>2138</v>
      </c>
      <c r="E48" s="1161">
        <f>R48</f>
        <v>20039</v>
      </c>
      <c r="F48" s="2318"/>
      <c r="G48" s="1160">
        <f>T48</f>
        <v>21596</v>
      </c>
      <c r="H48" s="2318"/>
      <c r="I48" s="1161">
        <f>V48</f>
        <v>21340</v>
      </c>
      <c r="J48" s="2318"/>
      <c r="K48" s="2320">
        <f>F48+H48+J48</f>
        <v>0</v>
      </c>
      <c r="L48" s="2724"/>
      <c r="M48" s="2725"/>
      <c r="N48" s="2716"/>
      <c r="O48" s="2725"/>
      <c r="P48" s="3697" t="str">
        <f>A48</f>
        <v>比较价值（元/平方米）</v>
      </c>
      <c r="Q48" s="3697"/>
      <c r="R48" s="3698">
        <f>IF(F1="售价",ROUND(PRODUCT(R47,AA7:AA46),0),ROUND(PRODUCT(R47,AA7:AA46),1))</f>
        <v>20039</v>
      </c>
      <c r="S48" s="3698"/>
      <c r="T48" s="3698">
        <f>IF(F1="售价",ROUND(PRODUCT(T47,AB7:AB46),0),ROUND(PRODUCT(T47,AB7:AB46),1))</f>
        <v>21596</v>
      </c>
      <c r="U48" s="3698"/>
      <c r="V48" s="3698">
        <f>IF(F1="售价",ROUND(PRODUCT(V47,AC7:AC46),0),ROUND(PRODUCT(V47,AC7:AC46),1))</f>
        <v>21340</v>
      </c>
      <c r="W48" s="3698"/>
      <c r="X48" s="690"/>
      <c r="Y48" s="690"/>
      <c r="Z48" s="690"/>
      <c r="AA48" s="690"/>
      <c r="AB48" s="690"/>
      <c r="AC48" s="690"/>
    </row>
    <row r="49" spans="1:29" ht="15.75" thickBot="1">
      <c r="A49" s="441" t="s">
        <v>1794</v>
      </c>
      <c r="B49" s="442"/>
      <c r="C49" s="1163">
        <f>R49</f>
        <v>20992</v>
      </c>
      <c r="D49" s="1163"/>
      <c r="E49" s="1163"/>
      <c r="F49" s="1163"/>
      <c r="G49" s="1163"/>
      <c r="H49" s="1163"/>
      <c r="I49" s="1163"/>
      <c r="J49" s="1163"/>
      <c r="K49" s="715"/>
      <c r="L49" s="2724"/>
      <c r="M49" s="2725"/>
      <c r="N49" s="2716"/>
      <c r="O49" s="2725"/>
      <c r="P49" s="3694" t="str">
        <f>A49</f>
        <v>估价对象XX用房的比较价值（楼面单价，元/平方米）</v>
      </c>
      <c r="Q49" s="3695"/>
      <c r="R49" s="3696">
        <f>IF(F1="售价",ROUND(IF(D48="简单平均",AVERAGE(R48:V48),R48*F48+T48*H48+V48*J48),0),ROUND(IF(D48="简单平均",AVERAGE(R48:V48),R48*F48+T48*H48+V48*J48),1))</f>
        <v>20992</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0.31743100953141368</v>
      </c>
      <c r="F52" s="449" t="str">
        <f>IF(OR(E52&gt;=0.3,E52&lt;=-0.3),"超过30%","")</f>
        <v>超过30%</v>
      </c>
      <c r="G52" s="448">
        <f>IF(G47&lt;G48,G48/G47-1,G47/G48-1)</f>
        <v>0.17151324319318384</v>
      </c>
      <c r="H52" s="449" t="str">
        <f>IF(OR(G52&gt;=0.3,G52&lt;=-0.3),"超过30%","")</f>
        <v/>
      </c>
      <c r="I52" s="448">
        <f>IF(I47&lt;I48,I48/I47-1,I47/I48-1)</f>
        <v>0.4058106841611997</v>
      </c>
      <c r="J52" s="449" t="str">
        <f>IF(OR(I52&gt;=0.3,I52&lt;=-0.3),"超过30%","")</f>
        <v>超过30%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7.7698487948500317E-2</v>
      </c>
      <c r="F53" s="449" t="str">
        <f>IF(OR(E53&gt;=0.2,E53&lt;=-0.2),"超过20%","")</f>
        <v/>
      </c>
      <c r="G53" s="448">
        <f>IF(G48&lt;I48,I48/G48-1,G48/I48-1)</f>
        <v>1.199625117150882E-2</v>
      </c>
      <c r="H53" s="449" t="str">
        <f>IF(OR(G53&gt;=0.2,G53&lt;=-0.2),"超过20%","")</f>
        <v/>
      </c>
      <c r="I53" s="448">
        <f>IF(I48&lt;E48,E48/I48-1,I48/E48-1)</f>
        <v>6.4923399371226154E-2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4.3478260869565188E-2</v>
      </c>
      <c r="F54" s="449" t="str">
        <f>IF(OR(E54&gt;=0.3,E54&lt;=-0.3),"超过30%","")</f>
        <v/>
      </c>
      <c r="G54" s="448">
        <f>IF(G47&lt;I47,I47/G47-1,G47/I47-1)</f>
        <v>0.18577075098814233</v>
      </c>
      <c r="H54" s="449" t="str">
        <f>IF(OR(G54&gt;=0.3,G54&lt;=-0.3),"超过30%","")</f>
        <v/>
      </c>
      <c r="I54" s="448">
        <f>IF(I47&lt;E47,E47/I47-1,I47/E47-1)</f>
        <v>0.13636363636363646</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f>C59</f>
        <v>100</v>
      </c>
      <c r="E59" s="461">
        <f t="shared" ref="E59:M59" si="17">D59</f>
        <v>100</v>
      </c>
      <c r="F59" s="461">
        <f t="shared" si="17"/>
        <v>100</v>
      </c>
      <c r="G59" s="461">
        <f t="shared" si="17"/>
        <v>100</v>
      </c>
      <c r="H59" s="461">
        <f t="shared" si="17"/>
        <v>100</v>
      </c>
      <c r="I59" s="461">
        <f t="shared" si="17"/>
        <v>100</v>
      </c>
      <c r="J59" s="461">
        <f t="shared" si="17"/>
        <v>100</v>
      </c>
      <c r="K59" s="461">
        <f t="shared" si="17"/>
        <v>100</v>
      </c>
      <c r="L59" s="461">
        <f t="shared" si="17"/>
        <v>100</v>
      </c>
      <c r="M59" s="461">
        <f t="shared" si="17"/>
        <v>100</v>
      </c>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791" t="s">
        <v>3390</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t="s">
        <v>3391</v>
      </c>
      <c r="D65" s="532" t="s">
        <v>3392</v>
      </c>
      <c r="E65" s="532" t="s">
        <v>3393</v>
      </c>
      <c r="F65" s="532" t="s">
        <v>3394</v>
      </c>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v>100</v>
      </c>
      <c r="D66" s="485">
        <v>98</v>
      </c>
      <c r="E66" s="485">
        <v>96</v>
      </c>
      <c r="F66" s="485">
        <v>94</v>
      </c>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8">D68&amp;"（含）"&amp;"-"&amp;E68</f>
        <v>（含）-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98</v>
      </c>
      <c r="E83" s="493">
        <f t="shared" ref="E83:G83" si="20">D83-$K21</f>
        <v>96</v>
      </c>
      <c r="F83" s="493">
        <f t="shared" si="20"/>
        <v>94</v>
      </c>
      <c r="G83" s="493">
        <f t="shared" si="20"/>
        <v>92</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792" t="s">
        <v>3395</v>
      </c>
      <c r="D86" s="3792" t="s">
        <v>3396</v>
      </c>
      <c r="E86" s="3792" t="s">
        <v>3397</v>
      </c>
      <c r="F86" s="3792" t="s">
        <v>3398</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t="s">
        <v>3424</v>
      </c>
      <c r="D90" s="503" t="s">
        <v>3425</v>
      </c>
      <c r="E90" s="503" t="s">
        <v>3419</v>
      </c>
      <c r="F90" s="503" t="s">
        <v>3426</v>
      </c>
      <c r="G90" s="503" t="s">
        <v>3427</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3428</v>
      </c>
      <c r="D92" s="503" t="s">
        <v>3429</v>
      </c>
      <c r="E92" s="503" t="s">
        <v>3430</v>
      </c>
      <c r="F92" s="503" t="s">
        <v>3431</v>
      </c>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v>70</v>
      </c>
      <c r="F93" s="485">
        <v>60</v>
      </c>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793" t="s">
        <v>3399</v>
      </c>
      <c r="D100" s="3793" t="s">
        <v>3400</v>
      </c>
      <c r="E100" s="3793" t="s">
        <v>3401</v>
      </c>
      <c r="F100" s="3793" t="s">
        <v>3402</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0(含)-20</v>
      </c>
      <c r="D102" s="527" t="str">
        <f t="shared" ref="D102:L102" si="24">D103&amp;"(含)"&amp;"-"&amp;E103</f>
        <v>20(含)-50</v>
      </c>
      <c r="E102" s="527" t="str">
        <f t="shared" si="24"/>
        <v>50(含)-100</v>
      </c>
      <c r="F102" s="527" t="str">
        <f t="shared" si="24"/>
        <v>100(含)-500</v>
      </c>
      <c r="G102" s="527" t="str">
        <f t="shared" si="24"/>
        <v>500(含)-</v>
      </c>
      <c r="H102" s="527" t="str">
        <f t="shared" si="24"/>
        <v>(含)-</v>
      </c>
      <c r="I102" s="527" t="str">
        <f t="shared" si="24"/>
        <v>(含)-</v>
      </c>
      <c r="J102" s="527" t="str">
        <f t="shared" si="24"/>
        <v>(含)-</v>
      </c>
      <c r="K102" s="527" t="str">
        <f t="shared" si="24"/>
        <v>(含)-</v>
      </c>
      <c r="L102" s="527" t="str">
        <f t="shared" si="24"/>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20</v>
      </c>
      <c r="E103" s="544">
        <v>50</v>
      </c>
      <c r="F103" s="544">
        <v>100</v>
      </c>
      <c r="G103" s="544">
        <v>500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792" t="s">
        <v>3403</v>
      </c>
      <c r="D105" s="3792" t="s">
        <v>3404</v>
      </c>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792" t="s">
        <v>3405</v>
      </c>
      <c r="D107" s="3792" t="s">
        <v>3406</v>
      </c>
      <c r="E107" s="3792" t="s">
        <v>3407</v>
      </c>
      <c r="F107" s="3794" t="s">
        <v>3408</v>
      </c>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792" t="s">
        <v>3409</v>
      </c>
      <c r="D114" s="3792" t="s">
        <v>3410</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792" t="s">
        <v>3411</v>
      </c>
      <c r="D116" s="3792" t="s">
        <v>3412</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80</v>
      </c>
      <c r="E117" s="493">
        <f>D117-$K39</f>
        <v>60</v>
      </c>
      <c r="F117" s="493">
        <f>E117-$K39</f>
        <v>40</v>
      </c>
      <c r="G117" s="493">
        <f>F117-$K39</f>
        <v>20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3794" t="s">
        <v>3413</v>
      </c>
      <c r="D120" s="3794" t="s">
        <v>3414</v>
      </c>
      <c r="E120" s="3794" t="s">
        <v>3415</v>
      </c>
      <c r="F120" s="3794" t="s">
        <v>3416</v>
      </c>
      <c r="G120" s="3795" t="s">
        <v>3417</v>
      </c>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792" t="s">
        <v>3405</v>
      </c>
      <c r="D122" s="3792" t="s">
        <v>3406</v>
      </c>
      <c r="E122" s="3792" t="s">
        <v>3407</v>
      </c>
      <c r="F122" s="3794" t="s">
        <v>3408</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282.12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45084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282.12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45084</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估价对象为北京市房地产，为所有。根据《国有土地使用证》[]，估价对象（分摊）出让国有建设用地使用权面积为0平方米，建筑面积为282.12平方米。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估价对象为北京市房地产,属开发建设的，该项目尚在开发建设中。根据《国有土地使用证》[]，估价对象（分摊）出让国有建设用地使用权面积为0平方米，规划建筑面积为282.12平方米。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45084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45084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45084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136</v>
      </c>
      <c r="G10" s="414"/>
      <c r="H10" s="127">
        <f>ROUND(100/'数据-取费表'!G16,0)</f>
        <v>136</v>
      </c>
      <c r="I10" s="414"/>
      <c r="J10" s="127">
        <f>ROUND(100/'数据-取费表'!G16,0)</f>
        <v>136</v>
      </c>
      <c r="K10" s="620"/>
      <c r="L10" s="2719"/>
      <c r="M10" s="2720"/>
      <c r="N10" s="2720"/>
      <c r="O10" s="2773"/>
      <c r="P10" s="3697"/>
      <c r="Q10" s="1343" t="str">
        <f t="shared" si="6"/>
        <v>土地使用年限（年）</v>
      </c>
      <c r="R10" s="701" t="s">
        <v>14</v>
      </c>
      <c r="S10" s="702">
        <f t="shared" si="0"/>
        <v>136</v>
      </c>
      <c r="T10" s="701" t="s">
        <v>14</v>
      </c>
      <c r="U10" s="702">
        <f t="shared" si="1"/>
        <v>136</v>
      </c>
      <c r="V10" s="701" t="s">
        <v>14</v>
      </c>
      <c r="W10" s="702">
        <f t="shared" si="2"/>
        <v>136</v>
      </c>
      <c r="X10" s="703"/>
      <c r="Y10" s="3609"/>
      <c r="Z10" s="52" t="str">
        <f t="shared" si="7"/>
        <v>土地使用年限（年）</v>
      </c>
      <c r="AA10" s="704">
        <f t="shared" si="3"/>
        <v>0.73529411764705888</v>
      </c>
      <c r="AB10" s="704">
        <f t="shared" si="4"/>
        <v>0.73529411764705888</v>
      </c>
      <c r="AC10" s="704">
        <f t="shared" si="5"/>
        <v>0.73529411764705888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282.12</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282.12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45084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136</v>
      </c>
      <c r="G10" s="383"/>
      <c r="H10" s="127">
        <f>ROUND(100/'数据-取费表'!G16,0)</f>
        <v>136</v>
      </c>
      <c r="I10" s="383"/>
      <c r="J10" s="127">
        <f>ROUND(100/'数据-取费表'!G16,0)</f>
        <v>136</v>
      </c>
      <c r="K10" s="620"/>
      <c r="L10" s="2719"/>
      <c r="M10" s="2720"/>
      <c r="N10" s="2720"/>
      <c r="O10" s="2773"/>
      <c r="P10" s="3697"/>
      <c r="Q10" s="1343" t="str">
        <f t="shared" si="6"/>
        <v>土地使用年限（年）</v>
      </c>
      <c r="R10" s="701" t="s">
        <v>14</v>
      </c>
      <c r="S10" s="702">
        <f t="shared" si="0"/>
        <v>136</v>
      </c>
      <c r="T10" s="701" t="s">
        <v>14</v>
      </c>
      <c r="U10" s="702">
        <f t="shared" si="1"/>
        <v>136</v>
      </c>
      <c r="V10" s="701" t="s">
        <v>14</v>
      </c>
      <c r="W10" s="702">
        <f t="shared" si="2"/>
        <v>136</v>
      </c>
      <c r="X10" s="703"/>
      <c r="Y10" s="3609"/>
      <c r="Z10" s="52" t="str">
        <f t="shared" si="7"/>
        <v>土地使用年限（年）</v>
      </c>
      <c r="AA10" s="704">
        <f t="shared" si="3"/>
        <v>0.73529411764705888</v>
      </c>
      <c r="AB10" s="704">
        <f t="shared" si="4"/>
        <v>0.73529411764705888</v>
      </c>
      <c r="AC10" s="704">
        <f t="shared" si="5"/>
        <v>0.73529411764705888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282.12</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3258</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45084</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3298</v>
      </c>
      <c r="B103" s="3751"/>
      <c r="C103" s="3751"/>
      <c r="D103" s="3751"/>
      <c r="E103" s="3751"/>
      <c r="F103" s="3751"/>
      <c r="G103" s="3751"/>
      <c r="H103" s="3751"/>
      <c r="I103" s="3751"/>
      <c r="J103" s="3751"/>
      <c r="K103" s="3390"/>
      <c r="L103" s="3390"/>
      <c r="M103" s="3390"/>
      <c r="N103" s="3390"/>
    </row>
    <row r="104" spans="1:14">
      <c r="A104" s="3752" t="s">
        <v>3299</v>
      </c>
      <c r="B104" s="3752" t="s">
        <v>3300</v>
      </c>
      <c r="C104" s="3391" t="s">
        <v>3301</v>
      </c>
      <c r="D104" s="3392"/>
      <c r="E104" s="3392"/>
      <c r="F104" s="3392"/>
      <c r="G104" s="3392"/>
      <c r="H104" s="3392"/>
      <c r="I104" s="3392"/>
      <c r="J104" s="3393"/>
      <c r="K104" s="3394"/>
      <c r="L104" s="3394"/>
      <c r="M104" s="3394"/>
      <c r="N104" s="3394"/>
    </row>
    <row r="105" spans="1:14">
      <c r="A105" s="3752"/>
      <c r="B105" s="375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3315</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4" t="s">
        <v>2609</v>
      </c>
      <c r="B20" s="3757" t="s">
        <v>2630</v>
      </c>
      <c r="C20" s="3103" t="s">
        <v>2441</v>
      </c>
      <c r="D20" s="3104"/>
      <c r="E20" s="3105">
        <v>1</v>
      </c>
      <c r="F20" s="3106" t="s">
        <v>2442</v>
      </c>
      <c r="G20" s="3106"/>
    </row>
    <row r="21" spans="1:13" ht="19.5" customHeight="1">
      <c r="A21" s="3765"/>
      <c r="B21" s="3758"/>
      <c r="C21" s="3107" t="s">
        <v>2443</v>
      </c>
      <c r="D21" s="3108"/>
      <c r="E21" s="3109">
        <v>1</v>
      </c>
      <c r="F21" s="3106" t="s">
        <v>2444</v>
      </c>
      <c r="G21" s="3106"/>
    </row>
    <row r="22" spans="1:13" ht="19.5" customHeight="1">
      <c r="A22" s="3765"/>
      <c r="B22" s="3758"/>
      <c r="C22" s="3107" t="s">
        <v>2445</v>
      </c>
      <c r="D22" s="3108"/>
      <c r="E22" s="3109">
        <v>0.9</v>
      </c>
      <c r="F22" s="3106" t="s">
        <v>2446</v>
      </c>
      <c r="G22" s="3106"/>
    </row>
    <row r="23" spans="1:13" ht="19.5" customHeight="1">
      <c r="A23" s="3765"/>
      <c r="B23" s="3758"/>
      <c r="C23" s="3107" t="s">
        <v>2447</v>
      </c>
      <c r="D23" s="3108"/>
      <c r="E23" s="3109">
        <v>0.9</v>
      </c>
      <c r="F23" s="3106" t="s">
        <v>2448</v>
      </c>
      <c r="G23" s="3106"/>
    </row>
    <row r="24" spans="1:13" ht="19.5" customHeight="1">
      <c r="A24" s="3765"/>
      <c r="B24" s="3758"/>
      <c r="C24" s="3107" t="s">
        <v>2449</v>
      </c>
      <c r="D24" s="3108"/>
      <c r="E24" s="3109">
        <v>0.8</v>
      </c>
      <c r="F24" s="3106" t="s">
        <v>2450</v>
      </c>
      <c r="G24" s="3106"/>
    </row>
    <row r="25" spans="1:13" ht="19.5" customHeight="1" thickBot="1">
      <c r="A25" s="3766"/>
      <c r="B25" s="3759"/>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0" t="s">
        <v>2633</v>
      </c>
      <c r="B27" s="3757" t="s">
        <v>2614</v>
      </c>
      <c r="C27" s="3103" t="s">
        <v>2454</v>
      </c>
      <c r="D27" s="3104"/>
      <c r="E27" s="3105">
        <v>1</v>
      </c>
      <c r="F27" s="3106" t="s">
        <v>2455</v>
      </c>
      <c r="G27" s="3106"/>
    </row>
    <row r="28" spans="1:13" ht="19.5" customHeight="1">
      <c r="A28" s="3761"/>
      <c r="B28" s="3758"/>
      <c r="C28" s="3107" t="s">
        <v>2456</v>
      </c>
      <c r="D28" s="3108"/>
      <c r="E28" s="3109">
        <v>1</v>
      </c>
      <c r="F28" s="3106" t="s">
        <v>2457</v>
      </c>
      <c r="G28" s="3106"/>
    </row>
    <row r="29" spans="1:13" ht="19.5" customHeight="1">
      <c r="A29" s="3761"/>
      <c r="B29" s="3758"/>
      <c r="C29" s="3107" t="s">
        <v>2458</v>
      </c>
      <c r="D29" s="3108"/>
      <c r="E29" s="3109">
        <v>0.8</v>
      </c>
      <c r="F29" s="3106" t="s">
        <v>2459</v>
      </c>
      <c r="G29" s="3106"/>
    </row>
    <row r="30" spans="1:13" ht="19.5" customHeight="1">
      <c r="A30" s="3761"/>
      <c r="B30" s="3758"/>
      <c r="C30" s="3107" t="s">
        <v>2460</v>
      </c>
      <c r="D30" s="3108"/>
      <c r="E30" s="3109">
        <v>0.8</v>
      </c>
      <c r="F30" s="3106" t="s">
        <v>2461</v>
      </c>
      <c r="G30" s="3106"/>
    </row>
    <row r="31" spans="1:13" ht="19.5" customHeight="1">
      <c r="A31" s="3761"/>
      <c r="B31" s="3758"/>
      <c r="C31" s="3107" t="s">
        <v>2462</v>
      </c>
      <c r="D31" s="3108"/>
      <c r="E31" s="3109">
        <v>0.8</v>
      </c>
      <c r="F31" s="3106" t="s">
        <v>2463</v>
      </c>
      <c r="G31" s="3106"/>
    </row>
    <row r="32" spans="1:13" ht="19.5" customHeight="1">
      <c r="A32" s="3761"/>
      <c r="B32" s="3758"/>
      <c r="C32" s="3107" t="s">
        <v>2464</v>
      </c>
      <c r="D32" s="3108"/>
      <c r="E32" s="3109">
        <v>0.7</v>
      </c>
      <c r="F32" s="3106" t="s">
        <v>2465</v>
      </c>
      <c r="G32" s="3106"/>
    </row>
    <row r="33" spans="1:7" ht="19.5" customHeight="1">
      <c r="A33" s="3761"/>
      <c r="B33" s="3758"/>
      <c r="C33" s="3107" t="s">
        <v>2466</v>
      </c>
      <c r="D33" s="3108"/>
      <c r="E33" s="3109">
        <v>0.8</v>
      </c>
      <c r="F33" s="3106" t="s">
        <v>2467</v>
      </c>
      <c r="G33" s="3106"/>
    </row>
    <row r="34" spans="1:7" ht="19.5" customHeight="1">
      <c r="A34" s="3761"/>
      <c r="B34" s="3758"/>
      <c r="C34" s="3107" t="s">
        <v>2468</v>
      </c>
      <c r="D34" s="3108"/>
      <c r="E34" s="3109">
        <v>0.6</v>
      </c>
      <c r="F34" s="3106" t="s">
        <v>2469</v>
      </c>
      <c r="G34" s="3106"/>
    </row>
    <row r="35" spans="1:7" ht="19.5" customHeight="1">
      <c r="A35" s="3761"/>
      <c r="B35" s="3758"/>
      <c r="C35" s="3107" t="s">
        <v>2470</v>
      </c>
      <c r="D35" s="3108"/>
      <c r="E35" s="3109">
        <v>0.2</v>
      </c>
      <c r="F35" s="3106" t="s">
        <v>2471</v>
      </c>
      <c r="G35" s="3106"/>
    </row>
    <row r="36" spans="1:7" ht="19.5" customHeight="1">
      <c r="A36" s="3761"/>
      <c r="B36" s="3758"/>
      <c r="C36" s="3107" t="s">
        <v>2472</v>
      </c>
      <c r="D36" s="3108"/>
      <c r="E36" s="3109">
        <v>0.2</v>
      </c>
      <c r="F36" s="3106" t="s">
        <v>2473</v>
      </c>
      <c r="G36" s="3106"/>
    </row>
    <row r="37" spans="1:7" ht="19.5" customHeight="1">
      <c r="A37" s="3761"/>
      <c r="B37" s="3763" t="s">
        <v>2634</v>
      </c>
      <c r="C37" s="3107" t="s">
        <v>2474</v>
      </c>
      <c r="D37" s="3108"/>
      <c r="E37" s="3109">
        <v>0.6</v>
      </c>
      <c r="F37" s="3106" t="s">
        <v>2475</v>
      </c>
      <c r="G37" s="3106"/>
    </row>
    <row r="38" spans="1:7" ht="19.5" customHeight="1">
      <c r="A38" s="3761"/>
      <c r="B38" s="3758"/>
      <c r="C38" s="3107" t="s">
        <v>2476</v>
      </c>
      <c r="D38" s="3108"/>
      <c r="E38" s="3109">
        <v>0.6</v>
      </c>
      <c r="F38" s="3106" t="s">
        <v>2477</v>
      </c>
      <c r="G38" s="3106"/>
    </row>
    <row r="39" spans="1:7" ht="19.5" customHeight="1" thickBot="1">
      <c r="A39" s="3762"/>
      <c r="B39" s="3759"/>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4" t="s">
        <v>2612</v>
      </c>
      <c r="B41" s="3757" t="s">
        <v>2636</v>
      </c>
      <c r="C41" s="3103" t="s">
        <v>2481</v>
      </c>
      <c r="D41" s="3104"/>
      <c r="E41" s="3105">
        <v>1</v>
      </c>
      <c r="F41" s="3106" t="s">
        <v>2482</v>
      </c>
      <c r="G41" s="3106"/>
    </row>
    <row r="42" spans="1:7" ht="19.5" customHeight="1">
      <c r="A42" s="3765"/>
      <c r="B42" s="3758"/>
      <c r="C42" s="3107" t="s">
        <v>2483</v>
      </c>
      <c r="D42" s="3108"/>
      <c r="E42" s="3109">
        <v>1</v>
      </c>
      <c r="F42" s="3106" t="s">
        <v>2484</v>
      </c>
      <c r="G42" s="3106"/>
    </row>
    <row r="43" spans="1:7" ht="19.5" customHeight="1">
      <c r="A43" s="3765"/>
      <c r="B43" s="3767"/>
      <c r="C43" s="3107" t="s">
        <v>2485</v>
      </c>
      <c r="D43" s="3108"/>
      <c r="E43" s="3109">
        <v>1.5</v>
      </c>
      <c r="F43" s="3106" t="s">
        <v>2486</v>
      </c>
      <c r="G43" s="3106"/>
    </row>
    <row r="44" spans="1:7" ht="19.5" customHeight="1">
      <c r="A44" s="3765"/>
      <c r="B44" s="3118" t="s">
        <v>2637</v>
      </c>
      <c r="C44" s="3107" t="s">
        <v>2638</v>
      </c>
      <c r="D44" s="3108"/>
      <c r="E44" s="3109">
        <v>2</v>
      </c>
      <c r="F44" s="3106" t="s">
        <v>2487</v>
      </c>
      <c r="G44" s="3106"/>
    </row>
    <row r="45" spans="1:7" ht="19.5" customHeight="1">
      <c r="A45" s="3765"/>
      <c r="B45" s="3763" t="s">
        <v>2639</v>
      </c>
      <c r="C45" s="3107" t="s">
        <v>2488</v>
      </c>
      <c r="D45" s="3108"/>
      <c r="E45" s="3109">
        <v>1</v>
      </c>
      <c r="F45" s="3106" t="s">
        <v>2489</v>
      </c>
      <c r="G45" s="3106"/>
    </row>
    <row r="46" spans="1:7" ht="19.5" customHeight="1">
      <c r="A46" s="3765"/>
      <c r="B46" s="3758"/>
      <c r="C46" s="3107" t="s">
        <v>2490</v>
      </c>
      <c r="D46" s="3108"/>
      <c r="E46" s="3109">
        <v>1</v>
      </c>
      <c r="F46" s="3106" t="s">
        <v>2491</v>
      </c>
      <c r="G46" s="3106"/>
    </row>
    <row r="47" spans="1:7" ht="19.5" customHeight="1">
      <c r="A47" s="3765"/>
      <c r="B47" s="3758"/>
      <c r="C47" s="3107" t="s">
        <v>2492</v>
      </c>
      <c r="D47" s="3108"/>
      <c r="E47" s="3109">
        <v>1</v>
      </c>
      <c r="F47" s="3106" t="s">
        <v>2493</v>
      </c>
      <c r="G47" s="3106"/>
    </row>
    <row r="48" spans="1:7" ht="19.5" customHeight="1">
      <c r="A48" s="3765"/>
      <c r="B48" s="3758"/>
      <c r="C48" s="3107" t="s">
        <v>2494</v>
      </c>
      <c r="D48" s="3108"/>
      <c r="E48" s="3109">
        <v>1</v>
      </c>
      <c r="F48" s="3106" t="s">
        <v>2495</v>
      </c>
      <c r="G48" s="3106"/>
    </row>
    <row r="49" spans="1:7" ht="19.5" customHeight="1">
      <c r="A49" s="3765"/>
      <c r="B49" s="3758"/>
      <c r="C49" s="3107" t="s">
        <v>2496</v>
      </c>
      <c r="D49" s="3108"/>
      <c r="E49" s="3109">
        <v>1</v>
      </c>
      <c r="F49" s="3106" t="s">
        <v>2497</v>
      </c>
      <c r="G49" s="3106"/>
    </row>
    <row r="50" spans="1:7" ht="19.5" customHeight="1">
      <c r="A50" s="3765"/>
      <c r="B50" s="3758"/>
      <c r="C50" s="3107" t="s">
        <v>2498</v>
      </c>
      <c r="D50" s="3108"/>
      <c r="E50" s="3109">
        <v>1</v>
      </c>
      <c r="F50" s="3106" t="s">
        <v>2499</v>
      </c>
      <c r="G50" s="3106"/>
    </row>
    <row r="51" spans="1:7" ht="19.5" customHeight="1" thickBot="1">
      <c r="A51" s="3766"/>
      <c r="B51" s="3759"/>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3" t="s">
        <v>2653</v>
      </c>
      <c r="C73" s="3092" t="s">
        <v>2654</v>
      </c>
      <c r="D73" s="3092" t="s">
        <v>2655</v>
      </c>
      <c r="E73" s="3118">
        <v>0.2</v>
      </c>
      <c r="F73" s="3118">
        <v>25</v>
      </c>
    </row>
    <row r="74" spans="1:7" ht="24">
      <c r="A74" s="3118">
        <v>2</v>
      </c>
      <c r="B74" s="3758"/>
      <c r="C74" s="3092" t="s">
        <v>2656</v>
      </c>
      <c r="D74" s="3092" t="s">
        <v>2657</v>
      </c>
      <c r="E74" s="3118">
        <v>0.2</v>
      </c>
      <c r="F74" s="3118">
        <v>25</v>
      </c>
    </row>
    <row r="75" spans="1:7" ht="24">
      <c r="A75" s="3118">
        <v>3</v>
      </c>
      <c r="B75" s="3758"/>
      <c r="C75" s="3092" t="s">
        <v>2658</v>
      </c>
      <c r="D75" s="3092" t="s">
        <v>2659</v>
      </c>
      <c r="E75" s="3118">
        <v>0.2</v>
      </c>
      <c r="F75" s="3118">
        <v>25</v>
      </c>
    </row>
    <row r="76" spans="1:7" ht="13.5">
      <c r="A76" s="3118">
        <v>4</v>
      </c>
      <c r="B76" s="3758"/>
      <c r="C76" s="3092" t="s">
        <v>2660</v>
      </c>
      <c r="D76" s="3092" t="s">
        <v>2661</v>
      </c>
      <c r="E76" s="3118">
        <v>0.15</v>
      </c>
      <c r="F76" s="3118">
        <v>20</v>
      </c>
    </row>
    <row r="77" spans="1:7" ht="24">
      <c r="A77" s="3118">
        <v>5</v>
      </c>
      <c r="B77" s="3758"/>
      <c r="C77" s="3092" t="s">
        <v>2662</v>
      </c>
      <c r="D77" s="3092" t="s">
        <v>2663</v>
      </c>
      <c r="E77" s="3118">
        <v>0.15</v>
      </c>
      <c r="F77" s="3118">
        <v>20</v>
      </c>
    </row>
    <row r="78" spans="1:7" ht="24">
      <c r="A78" s="3118">
        <v>6</v>
      </c>
      <c r="B78" s="3758"/>
      <c r="C78" s="3092" t="s">
        <v>2664</v>
      </c>
      <c r="D78" s="3092" t="s">
        <v>2665</v>
      </c>
      <c r="E78" s="3118">
        <v>0.15</v>
      </c>
      <c r="F78" s="3118">
        <v>20</v>
      </c>
    </row>
    <row r="79" spans="1:7" ht="24">
      <c r="A79" s="3118">
        <v>7</v>
      </c>
      <c r="B79" s="3758"/>
      <c r="C79" s="3092" t="s">
        <v>2666</v>
      </c>
      <c r="D79" s="3092" t="s">
        <v>2667</v>
      </c>
      <c r="E79" s="3118">
        <v>0.15</v>
      </c>
      <c r="F79" s="3118">
        <v>20</v>
      </c>
    </row>
    <row r="80" spans="1:7" ht="24">
      <c r="A80" s="3118">
        <v>8</v>
      </c>
      <c r="B80" s="3758"/>
      <c r="C80" s="3092" t="s">
        <v>2668</v>
      </c>
      <c r="D80" s="3092" t="s">
        <v>2669</v>
      </c>
      <c r="E80" s="3118">
        <v>0.1</v>
      </c>
      <c r="F80" s="3118">
        <v>15</v>
      </c>
    </row>
    <row r="81" spans="1:6" ht="24">
      <c r="A81" s="3118">
        <v>9</v>
      </c>
      <c r="B81" s="3758"/>
      <c r="C81" s="3092" t="s">
        <v>2670</v>
      </c>
      <c r="D81" s="3092" t="s">
        <v>2671</v>
      </c>
      <c r="E81" s="3118">
        <v>0.1</v>
      </c>
      <c r="F81" s="3118">
        <v>15</v>
      </c>
    </row>
    <row r="82" spans="1:6" ht="24">
      <c r="A82" s="3118">
        <v>10</v>
      </c>
      <c r="B82" s="3758"/>
      <c r="C82" s="3092" t="s">
        <v>2672</v>
      </c>
      <c r="D82" s="3092" t="s">
        <v>2673</v>
      </c>
      <c r="E82" s="3118">
        <v>0.1</v>
      </c>
      <c r="F82" s="3118">
        <v>15</v>
      </c>
    </row>
    <row r="83" spans="1:6" ht="24">
      <c r="A83" s="3118">
        <v>11</v>
      </c>
      <c r="B83" s="3758"/>
      <c r="C83" s="3092" t="s">
        <v>2674</v>
      </c>
      <c r="D83" s="3092" t="s">
        <v>2675</v>
      </c>
      <c r="E83" s="3118">
        <v>0.1</v>
      </c>
      <c r="F83" s="3118">
        <v>15</v>
      </c>
    </row>
    <row r="84" spans="1:6" ht="24">
      <c r="A84" s="3118">
        <v>12</v>
      </c>
      <c r="B84" s="3758"/>
      <c r="C84" s="3092" t="s">
        <v>2676</v>
      </c>
      <c r="D84" s="3092" t="s">
        <v>2677</v>
      </c>
      <c r="E84" s="3118">
        <v>0.1</v>
      </c>
      <c r="F84" s="3118">
        <v>15</v>
      </c>
    </row>
    <row r="85" spans="1:6" ht="13.5">
      <c r="A85" s="3118">
        <v>13</v>
      </c>
      <c r="B85" s="3758"/>
      <c r="C85" s="3092" t="s">
        <v>2678</v>
      </c>
      <c r="D85" s="3092" t="s">
        <v>2679</v>
      </c>
      <c r="E85" s="3118">
        <v>0.1</v>
      </c>
      <c r="F85" s="3118">
        <v>15</v>
      </c>
    </row>
    <row r="86" spans="1:6" ht="13.5">
      <c r="A86" s="3118">
        <v>14</v>
      </c>
      <c r="B86" s="3758"/>
      <c r="C86" s="3092" t="s">
        <v>2680</v>
      </c>
      <c r="D86" s="3092" t="s">
        <v>2681</v>
      </c>
      <c r="E86" s="3118">
        <v>0.1</v>
      </c>
      <c r="F86" s="3118">
        <v>15</v>
      </c>
    </row>
    <row r="87" spans="1:6" ht="13.5">
      <c r="A87" s="3118">
        <v>15</v>
      </c>
      <c r="B87" s="3758"/>
      <c r="C87" s="3092" t="s">
        <v>2682</v>
      </c>
      <c r="D87" s="3092" t="s">
        <v>2683</v>
      </c>
      <c r="E87" s="3118">
        <v>0.1</v>
      </c>
      <c r="F87" s="3118">
        <v>15</v>
      </c>
    </row>
    <row r="88" spans="1:6" ht="24">
      <c r="A88" s="3118">
        <v>16</v>
      </c>
      <c r="B88" s="3758"/>
      <c r="C88" s="3092" t="s">
        <v>2684</v>
      </c>
      <c r="D88" s="3092" t="s">
        <v>2685</v>
      </c>
      <c r="E88" s="3118">
        <v>0.1</v>
      </c>
      <c r="F88" s="3118">
        <v>15</v>
      </c>
    </row>
    <row r="89" spans="1:6" ht="24">
      <c r="A89" s="3118">
        <v>17</v>
      </c>
      <c r="B89" s="3767"/>
      <c r="C89" s="3092" t="s">
        <v>2686</v>
      </c>
      <c r="D89" s="3092" t="s">
        <v>2687</v>
      </c>
      <c r="E89" s="3118">
        <v>0.1</v>
      </c>
      <c r="F89" s="3118">
        <v>15</v>
      </c>
    </row>
    <row r="90" spans="1:6" ht="13.5">
      <c r="A90" s="3118">
        <v>18</v>
      </c>
      <c r="B90" s="3763" t="s">
        <v>2688</v>
      </c>
      <c r="C90" s="3092" t="s">
        <v>2689</v>
      </c>
      <c r="D90" s="3092" t="s">
        <v>2690</v>
      </c>
      <c r="E90" s="3118">
        <v>0.2</v>
      </c>
      <c r="F90" s="3118">
        <v>25</v>
      </c>
    </row>
    <row r="91" spans="1:6" ht="24">
      <c r="A91" s="3118">
        <v>19</v>
      </c>
      <c r="B91" s="3758"/>
      <c r="C91" s="3092" t="s">
        <v>2691</v>
      </c>
      <c r="D91" s="3092" t="s">
        <v>2692</v>
      </c>
      <c r="E91" s="3118">
        <v>0.2</v>
      </c>
      <c r="F91" s="3118">
        <v>25</v>
      </c>
    </row>
    <row r="92" spans="1:6" ht="13.5">
      <c r="A92" s="3118">
        <v>20</v>
      </c>
      <c r="B92" s="3758"/>
      <c r="C92" s="3092" t="s">
        <v>2693</v>
      </c>
      <c r="D92" s="3092" t="s">
        <v>2694</v>
      </c>
      <c r="E92" s="3118">
        <v>0.15</v>
      </c>
      <c r="F92" s="3118">
        <v>20</v>
      </c>
    </row>
    <row r="93" spans="1:6" ht="13.5">
      <c r="A93" s="3118">
        <v>21</v>
      </c>
      <c r="B93" s="3758"/>
      <c r="C93" s="3092" t="s">
        <v>2695</v>
      </c>
      <c r="D93" s="3092" t="s">
        <v>2696</v>
      </c>
      <c r="E93" s="3118">
        <v>0.15</v>
      </c>
      <c r="F93" s="3118">
        <v>20</v>
      </c>
    </row>
    <row r="94" spans="1:6" ht="13.5">
      <c r="A94" s="3118">
        <v>22</v>
      </c>
      <c r="B94" s="3758"/>
      <c r="C94" s="3092" t="s">
        <v>2697</v>
      </c>
      <c r="D94" s="3092" t="s">
        <v>2698</v>
      </c>
      <c r="E94" s="3118">
        <v>0.15</v>
      </c>
      <c r="F94" s="3118">
        <v>20</v>
      </c>
    </row>
    <row r="95" spans="1:6" ht="36">
      <c r="A95" s="3118">
        <v>23</v>
      </c>
      <c r="B95" s="3758"/>
      <c r="C95" s="3092" t="s">
        <v>2699</v>
      </c>
      <c r="D95" s="3092" t="s">
        <v>2700</v>
      </c>
      <c r="E95" s="3118">
        <v>0.15</v>
      </c>
      <c r="F95" s="3118">
        <v>20</v>
      </c>
    </row>
    <row r="96" spans="1:6" ht="13.5">
      <c r="A96" s="3118">
        <v>24</v>
      </c>
      <c r="B96" s="3758"/>
      <c r="C96" s="3092" t="s">
        <v>2701</v>
      </c>
      <c r="D96" s="3092" t="s">
        <v>2702</v>
      </c>
      <c r="E96" s="3118">
        <v>0.1</v>
      </c>
      <c r="F96" s="3118">
        <v>15</v>
      </c>
    </row>
    <row r="97" spans="1:6" ht="13.5">
      <c r="A97" s="3118">
        <v>25</v>
      </c>
      <c r="B97" s="3758"/>
      <c r="C97" s="3092" t="s">
        <v>2703</v>
      </c>
      <c r="D97" s="3092" t="s">
        <v>2704</v>
      </c>
      <c r="E97" s="3118">
        <v>0.1</v>
      </c>
      <c r="F97" s="3118">
        <v>15</v>
      </c>
    </row>
    <row r="98" spans="1:6" ht="24">
      <c r="A98" s="3118">
        <v>26</v>
      </c>
      <c r="B98" s="3758"/>
      <c r="C98" s="3092" t="s">
        <v>2705</v>
      </c>
      <c r="D98" s="3092" t="s">
        <v>2706</v>
      </c>
      <c r="E98" s="3118">
        <v>0.1</v>
      </c>
      <c r="F98" s="3118">
        <v>15</v>
      </c>
    </row>
    <row r="99" spans="1:6" ht="24">
      <c r="A99" s="3118">
        <v>27</v>
      </c>
      <c r="B99" s="3758"/>
      <c r="C99" s="3092" t="s">
        <v>2707</v>
      </c>
      <c r="D99" s="3092" t="s">
        <v>2708</v>
      </c>
      <c r="E99" s="3118">
        <v>0.1</v>
      </c>
      <c r="F99" s="3118">
        <v>15</v>
      </c>
    </row>
    <row r="100" spans="1:6" ht="13.5">
      <c r="A100" s="3118">
        <v>28</v>
      </c>
      <c r="B100" s="3758"/>
      <c r="C100" s="3092" t="s">
        <v>2709</v>
      </c>
      <c r="D100" s="3092" t="s">
        <v>2710</v>
      </c>
      <c r="E100" s="3118">
        <v>0.1</v>
      </c>
      <c r="F100" s="3118">
        <v>15</v>
      </c>
    </row>
    <row r="101" spans="1:6" ht="13.5">
      <c r="A101" s="3118">
        <v>29</v>
      </c>
      <c r="B101" s="3758"/>
      <c r="C101" s="3092" t="s">
        <v>2711</v>
      </c>
      <c r="D101" s="3092" t="s">
        <v>2712</v>
      </c>
      <c r="E101" s="3118">
        <v>0.1</v>
      </c>
      <c r="F101" s="3118">
        <v>15</v>
      </c>
    </row>
    <row r="102" spans="1:6" ht="13.5">
      <c r="A102" s="3118">
        <v>30</v>
      </c>
      <c r="B102" s="3758"/>
      <c r="C102" s="3092" t="s">
        <v>2713</v>
      </c>
      <c r="D102" s="3092" t="s">
        <v>2714</v>
      </c>
      <c r="E102" s="3118">
        <v>0.1</v>
      </c>
      <c r="F102" s="3118">
        <v>15</v>
      </c>
    </row>
    <row r="103" spans="1:6" ht="24">
      <c r="A103" s="3118">
        <v>31</v>
      </c>
      <c r="B103" s="3758"/>
      <c r="C103" s="3092" t="s">
        <v>2715</v>
      </c>
      <c r="D103" s="3092" t="s">
        <v>2716</v>
      </c>
      <c r="E103" s="3118">
        <v>0.1</v>
      </c>
      <c r="F103" s="3118">
        <v>15</v>
      </c>
    </row>
    <row r="104" spans="1:6" ht="24">
      <c r="A104" s="3118">
        <v>32</v>
      </c>
      <c r="B104" s="3758"/>
      <c r="C104" s="3092" t="s">
        <v>2717</v>
      </c>
      <c r="D104" s="3092" t="s">
        <v>2718</v>
      </c>
      <c r="E104" s="3118">
        <v>0.1</v>
      </c>
      <c r="F104" s="3118">
        <v>15</v>
      </c>
    </row>
    <row r="105" spans="1:6" ht="24">
      <c r="A105" s="3118">
        <v>33</v>
      </c>
      <c r="B105" s="3758"/>
      <c r="C105" s="3092" t="s">
        <v>2719</v>
      </c>
      <c r="D105" s="3092" t="s">
        <v>2720</v>
      </c>
      <c r="E105" s="3118">
        <v>0.1</v>
      </c>
      <c r="F105" s="3118">
        <v>15</v>
      </c>
    </row>
    <row r="106" spans="1:6" ht="24">
      <c r="A106" s="3118">
        <v>34</v>
      </c>
      <c r="B106" s="3767"/>
      <c r="C106" s="3092" t="s">
        <v>2721</v>
      </c>
      <c r="D106" s="3092" t="s">
        <v>2722</v>
      </c>
      <c r="E106" s="3118">
        <v>0.1</v>
      </c>
      <c r="F106" s="3118">
        <v>15</v>
      </c>
    </row>
    <row r="107" spans="1:6" ht="24">
      <c r="A107" s="3118">
        <v>35</v>
      </c>
      <c r="B107" s="3763" t="s">
        <v>2723</v>
      </c>
      <c r="C107" s="3118" t="s">
        <v>2724</v>
      </c>
      <c r="D107" s="3092" t="s">
        <v>2725</v>
      </c>
      <c r="E107" s="3118">
        <v>0.15</v>
      </c>
      <c r="F107" s="3118">
        <v>20</v>
      </c>
    </row>
    <row r="108" spans="1:6" ht="13.5">
      <c r="A108" s="3118">
        <v>36</v>
      </c>
      <c r="B108" s="3758"/>
      <c r="C108" s="3118" t="s">
        <v>2726</v>
      </c>
      <c r="D108" s="3092" t="s">
        <v>2727</v>
      </c>
      <c r="E108" s="3118">
        <v>0.15</v>
      </c>
      <c r="F108" s="3118">
        <v>20</v>
      </c>
    </row>
    <row r="109" spans="1:6" ht="13.5">
      <c r="A109" s="3118">
        <v>37</v>
      </c>
      <c r="B109" s="3758"/>
      <c r="C109" s="3118" t="s">
        <v>2728</v>
      </c>
      <c r="D109" s="3092" t="s">
        <v>2729</v>
      </c>
      <c r="E109" s="3118">
        <v>0.15</v>
      </c>
      <c r="F109" s="3118">
        <v>20</v>
      </c>
    </row>
    <row r="110" spans="1:6" ht="13.5">
      <c r="A110" s="3118">
        <v>38</v>
      </c>
      <c r="B110" s="3758"/>
      <c r="C110" s="3118" t="s">
        <v>2730</v>
      </c>
      <c r="D110" s="3092" t="s">
        <v>2731</v>
      </c>
      <c r="E110" s="3118">
        <v>0.1</v>
      </c>
      <c r="F110" s="3118">
        <v>15</v>
      </c>
    </row>
    <row r="111" spans="1:6" ht="24">
      <c r="A111" s="3118">
        <v>39</v>
      </c>
      <c r="B111" s="3758"/>
      <c r="C111" s="3118" t="s">
        <v>2732</v>
      </c>
      <c r="D111" s="3092" t="s">
        <v>2733</v>
      </c>
      <c r="E111" s="3118">
        <v>0.1</v>
      </c>
      <c r="F111" s="3118">
        <v>15</v>
      </c>
    </row>
    <row r="112" spans="1:6" ht="24">
      <c r="A112" s="3118">
        <v>40</v>
      </c>
      <c r="B112" s="3767"/>
      <c r="C112" s="3118" t="s">
        <v>2734</v>
      </c>
      <c r="D112" s="3092" t="s">
        <v>2735</v>
      </c>
      <c r="E112" s="3118">
        <v>0.1</v>
      </c>
      <c r="F112" s="3118">
        <v>15</v>
      </c>
    </row>
    <row r="113" spans="1:6" ht="13.5">
      <c r="A113" s="3118">
        <v>41</v>
      </c>
      <c r="B113" s="3768" t="s">
        <v>2736</v>
      </c>
      <c r="C113" s="3118" t="s">
        <v>2737</v>
      </c>
      <c r="D113" s="3092" t="s">
        <v>2738</v>
      </c>
      <c r="E113" s="3118">
        <v>0.1</v>
      </c>
      <c r="F113" s="3118">
        <v>15</v>
      </c>
    </row>
    <row r="114" spans="1:6" ht="13.5">
      <c r="A114" s="3118">
        <v>42</v>
      </c>
      <c r="B114" s="3768"/>
      <c r="C114" s="3118" t="s">
        <v>2739</v>
      </c>
      <c r="D114" s="3092" t="s">
        <v>2740</v>
      </c>
      <c r="E114" s="3118">
        <v>0.1</v>
      </c>
      <c r="F114" s="3118">
        <v>15</v>
      </c>
    </row>
    <row r="115" spans="1:6" ht="24">
      <c r="A115" s="3118">
        <v>43</v>
      </c>
      <c r="B115" s="3768"/>
      <c r="C115" s="3118" t="s">
        <v>2741</v>
      </c>
      <c r="D115" s="3092" t="s">
        <v>2742</v>
      </c>
      <c r="E115" s="3118">
        <v>0.1</v>
      </c>
      <c r="F115" s="3118">
        <v>15</v>
      </c>
    </row>
    <row r="116" spans="1:6" ht="13.5">
      <c r="A116" s="3118">
        <v>44</v>
      </c>
      <c r="B116" s="3763" t="s">
        <v>2743</v>
      </c>
      <c r="C116" s="3118" t="s">
        <v>2744</v>
      </c>
      <c r="D116" s="3092" t="s">
        <v>2745</v>
      </c>
      <c r="E116" s="3118">
        <v>0.1</v>
      </c>
      <c r="F116" s="3118">
        <v>15</v>
      </c>
    </row>
    <row r="117" spans="1:6" ht="24">
      <c r="A117" s="3118">
        <v>45</v>
      </c>
      <c r="B117" s="3767"/>
      <c r="C117" s="3092" t="s">
        <v>2746</v>
      </c>
      <c r="D117" s="3092" t="s">
        <v>2747</v>
      </c>
      <c r="E117" s="3118">
        <v>0.1</v>
      </c>
      <c r="F117" s="3118">
        <v>15</v>
      </c>
    </row>
    <row r="118" spans="1:6" ht="24">
      <c r="A118" s="3118">
        <v>46</v>
      </c>
      <c r="B118" s="3763" t="s">
        <v>2748</v>
      </c>
      <c r="C118" s="3118" t="s">
        <v>2749</v>
      </c>
      <c r="D118" s="3092" t="s">
        <v>2750</v>
      </c>
      <c r="E118" s="3118">
        <v>0.1</v>
      </c>
      <c r="F118" s="3118">
        <v>15</v>
      </c>
    </row>
    <row r="119" spans="1:6" ht="24">
      <c r="A119" s="3118">
        <v>47</v>
      </c>
      <c r="B119" s="3767"/>
      <c r="C119" s="3118" t="s">
        <v>2751</v>
      </c>
      <c r="D119" s="3092" t="s">
        <v>2752</v>
      </c>
      <c r="E119" s="3118">
        <v>0.1</v>
      </c>
      <c r="F119" s="3118">
        <v>15</v>
      </c>
    </row>
    <row r="120" spans="1:6" ht="13.5">
      <c r="A120" s="3118">
        <v>48</v>
      </c>
      <c r="B120" s="3763" t="s">
        <v>2753</v>
      </c>
      <c r="C120" s="3118" t="s">
        <v>2754</v>
      </c>
      <c r="D120" s="3092" t="s">
        <v>2755</v>
      </c>
      <c r="E120" s="3118">
        <v>0.1</v>
      </c>
      <c r="F120" s="3118">
        <v>15</v>
      </c>
    </row>
    <row r="121" spans="1:6" ht="13.5">
      <c r="A121" s="3118">
        <v>49</v>
      </c>
      <c r="B121" s="3767"/>
      <c r="C121" s="3118" t="s">
        <v>2756</v>
      </c>
      <c r="D121" s="3092" t="s">
        <v>2757</v>
      </c>
      <c r="E121" s="3118">
        <v>0.1</v>
      </c>
      <c r="F121" s="3118">
        <v>15</v>
      </c>
    </row>
    <row r="122" spans="1:6" ht="24">
      <c r="A122" s="3118">
        <v>50</v>
      </c>
      <c r="B122" s="3768" t="s">
        <v>2758</v>
      </c>
      <c r="C122" s="3118" t="s">
        <v>2759</v>
      </c>
      <c r="D122" s="3092" t="s">
        <v>2760</v>
      </c>
      <c r="E122" s="3118">
        <v>0.1</v>
      </c>
      <c r="F122" s="3118">
        <v>15</v>
      </c>
    </row>
    <row r="123" spans="1:6" ht="24">
      <c r="A123" s="3118">
        <v>51</v>
      </c>
      <c r="B123" s="3768"/>
      <c r="C123" s="3118" t="s">
        <v>2761</v>
      </c>
      <c r="D123" s="3092" t="s">
        <v>2762</v>
      </c>
      <c r="E123" s="3118">
        <v>0.1</v>
      </c>
      <c r="F123" s="3118">
        <v>15</v>
      </c>
    </row>
    <row r="124" spans="1:6" ht="24">
      <c r="A124" s="3118">
        <v>52</v>
      </c>
      <c r="B124" s="3768" t="s">
        <v>2763</v>
      </c>
      <c r="C124" s="3118" t="s">
        <v>2764</v>
      </c>
      <c r="D124" s="3092" t="s">
        <v>2765</v>
      </c>
      <c r="E124" s="3118">
        <v>0.1</v>
      </c>
      <c r="F124" s="3118">
        <v>15</v>
      </c>
    </row>
    <row r="125" spans="1:6" ht="24">
      <c r="A125" s="3118">
        <v>53</v>
      </c>
      <c r="B125" s="3768"/>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8" t="s">
        <v>2771</v>
      </c>
      <c r="C127" s="3118" t="s">
        <v>2772</v>
      </c>
      <c r="D127" s="3092" t="s">
        <v>2773</v>
      </c>
      <c r="E127" s="3118">
        <v>0.1</v>
      </c>
      <c r="F127" s="3118">
        <v>15</v>
      </c>
    </row>
    <row r="128" spans="1:6" ht="13.5">
      <c r="A128" s="3118">
        <v>56</v>
      </c>
      <c r="B128" s="3768"/>
      <c r="C128" s="3118" t="s">
        <v>2774</v>
      </c>
      <c r="D128" s="3092" t="s">
        <v>2775</v>
      </c>
      <c r="E128" s="3118">
        <v>0.1</v>
      </c>
      <c r="F128" s="3118">
        <v>15</v>
      </c>
    </row>
    <row r="129" spans="1:6" ht="24">
      <c r="A129" s="3118">
        <v>57</v>
      </c>
      <c r="B129" s="3768"/>
      <c r="C129" s="3118" t="s">
        <v>2776</v>
      </c>
      <c r="D129" s="3092" t="s">
        <v>2777</v>
      </c>
      <c r="E129" s="3118">
        <v>0.1</v>
      </c>
      <c r="F129" s="3118">
        <v>15</v>
      </c>
    </row>
    <row r="130" spans="1:6" ht="24">
      <c r="A130" s="3118">
        <v>58</v>
      </c>
      <c r="B130" s="3768" t="s">
        <v>2778</v>
      </c>
      <c r="C130" s="3118" t="s">
        <v>2779</v>
      </c>
      <c r="D130" s="3092" t="s">
        <v>2780</v>
      </c>
      <c r="E130" s="3118">
        <v>0.1</v>
      </c>
      <c r="F130" s="3118">
        <v>15</v>
      </c>
    </row>
    <row r="131" spans="1:6" ht="13.5">
      <c r="A131" s="3118">
        <v>59</v>
      </c>
      <c r="B131" s="3768"/>
      <c r="C131" s="3118" t="s">
        <v>2781</v>
      </c>
      <c r="D131" s="3092" t="s">
        <v>2782</v>
      </c>
      <c r="E131" s="3118">
        <v>0.1</v>
      </c>
      <c r="F131" s="3118">
        <v>15</v>
      </c>
    </row>
    <row r="132" spans="1:6" ht="13.5">
      <c r="A132" s="3118">
        <v>60</v>
      </c>
      <c r="B132" s="3763" t="s">
        <v>2783</v>
      </c>
      <c r="C132" s="3118" t="s">
        <v>2784</v>
      </c>
      <c r="D132" s="3092" t="s">
        <v>2785</v>
      </c>
      <c r="E132" s="3118">
        <v>0.1</v>
      </c>
      <c r="F132" s="3118">
        <v>15</v>
      </c>
    </row>
    <row r="133" spans="1:6" ht="13.5">
      <c r="A133" s="3118">
        <v>61</v>
      </c>
      <c r="B133" s="3767"/>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8" t="s">
        <v>2791</v>
      </c>
      <c r="C135" s="3118" t="s">
        <v>2792</v>
      </c>
      <c r="D135" s="3092" t="s">
        <v>2793</v>
      </c>
      <c r="E135" s="3118">
        <v>0.1</v>
      </c>
      <c r="F135" s="3118">
        <v>15</v>
      </c>
    </row>
    <row r="136" spans="1:6" ht="13.5">
      <c r="A136" s="3118">
        <v>64</v>
      </c>
      <c r="B136" s="3768"/>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28200</v>
      </c>
      <c r="C2" s="2" t="s">
        <v>106</v>
      </c>
      <c r="D2" s="199"/>
      <c r="E2" s="199"/>
      <c r="F2" s="199"/>
      <c r="G2" s="199"/>
    </row>
    <row r="3" spans="1:7" s="200" customFormat="1" ht="18" customHeight="1" thickBot="1">
      <c r="A3" s="203" t="s">
        <v>58</v>
      </c>
      <c r="B3" s="204">
        <f ca="1">ROUND(B2*10000/'数据-汇总表'!E3,0)</f>
        <v>999575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2</v>
      </c>
      <c r="D10" s="845">
        <f>'数据-汇总表'!E6</f>
        <v>282.12</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282.12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107</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282.12</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7" t="s">
        <v>341</v>
      </c>
      <c r="B45" s="244" t="s">
        <v>85</v>
      </c>
      <c r="C45" s="245">
        <f>C46</f>
        <v>18</v>
      </c>
      <c r="D45" s="235">
        <f>C47</f>
        <v>3.0000000000000001E-3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155</v>
      </c>
      <c r="D49" s="232"/>
      <c r="E49" s="232"/>
      <c r="F49" s="264"/>
      <c r="G49" s="234" t="s">
        <v>435</v>
      </c>
    </row>
    <row r="50" spans="1:7" s="258" customFormat="1" ht="24">
      <c r="A50" s="777" t="s">
        <v>344</v>
      </c>
      <c r="B50" s="210" t="s">
        <v>97</v>
      </c>
      <c r="C50" s="232"/>
      <c r="D50" s="232"/>
      <c r="E50" s="232"/>
      <c r="F50" s="264">
        <f>IF('数据-取费表'!B24=0,'数据-取费表'!N16,1)</f>
        <v>0.73299999999999998</v>
      </c>
      <c r="G50" s="247" t="s">
        <v>98</v>
      </c>
    </row>
    <row r="51" spans="1:7" ht="16.5" customHeight="1">
      <c r="A51" s="777" t="s">
        <v>345</v>
      </c>
      <c r="B51" s="210" t="s">
        <v>105</v>
      </c>
      <c r="C51" s="232">
        <f ca="1">ROUND(C49*F50,0)</f>
        <v>114</v>
      </c>
      <c r="D51" s="232"/>
      <c r="E51" s="232"/>
      <c r="F51" s="264"/>
      <c r="G51" s="234" t="s">
        <v>37</v>
      </c>
    </row>
    <row r="52" spans="1:7" s="208" customFormat="1" ht="16.5" thickBot="1">
      <c r="A52" s="265" t="s">
        <v>38</v>
      </c>
      <c r="B52" s="266"/>
      <c r="C52" s="267">
        <f ca="1">C31+C51</f>
        <v>28200</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480</v>
      </c>
      <c r="E5" s="1491"/>
    </row>
    <row r="6" spans="1:5" ht="15.75">
      <c r="A6" s="1491"/>
      <c r="B6" s="3452"/>
      <c r="C6" s="1494" t="s">
        <v>911</v>
      </c>
      <c r="D6" s="850" t="str">
        <f ca="1">NUMBERSTRING(INT(D5*10000),2)&amp;"元整"</f>
        <v>肆佰捌拾万元整</v>
      </c>
      <c r="E6" s="1491"/>
    </row>
    <row r="7" spans="1:5" ht="15.75">
      <c r="A7" s="1491"/>
      <c r="B7" s="3457"/>
      <c r="C7" s="1495" t="s">
        <v>912</v>
      </c>
      <c r="D7" s="851">
        <f ca="1">结果表!H102</f>
        <v>17023</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480</v>
      </c>
      <c r="E13" s="1491"/>
    </row>
    <row r="14" spans="1:5" ht="15.75">
      <c r="A14" s="1491"/>
      <c r="B14" s="3452"/>
      <c r="C14" s="1494" t="s">
        <v>911</v>
      </c>
      <c r="D14" s="850" t="str">
        <f ca="1">NUMBERSTRING(INT(D13*10000),2)&amp;"元整"</f>
        <v>肆佰捌拾万元整</v>
      </c>
      <c r="E14" s="1491"/>
    </row>
    <row r="15" spans="1:5" ht="15">
      <c r="A15" s="1491"/>
      <c r="B15" s="3457"/>
      <c r="C15" s="1495" t="s">
        <v>921</v>
      </c>
      <c r="D15" s="859">
        <f ca="1">结果表!H108</f>
        <v>17023</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48" sqref="L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2843</v>
      </c>
      <c r="B1" s="3771"/>
      <c r="C1" s="3771"/>
      <c r="D1" s="3771"/>
      <c r="E1" s="3771"/>
      <c r="F1" s="3771"/>
      <c r="G1" s="377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9" t="s">
        <v>2870</v>
      </c>
      <c r="B3" s="3230"/>
      <c r="C3" s="3231" t="s">
        <v>2813</v>
      </c>
      <c r="D3" s="3231" t="s">
        <v>2871</v>
      </c>
      <c r="E3" s="3231" t="s">
        <v>2815</v>
      </c>
      <c r="F3" s="3231" t="s">
        <v>2872</v>
      </c>
      <c r="G3" s="3231" t="s">
        <v>2633</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3185</v>
      </c>
      <c r="B1" s="3773"/>
    </row>
    <row r="2" spans="1:7" ht="14.25" thickBot="1">
      <c r="A2" s="3255"/>
      <c r="B2" s="3255"/>
    </row>
    <row r="3" spans="1:7" ht="14.25" thickBot="1">
      <c r="A3" s="3255"/>
      <c r="B3" s="3255"/>
      <c r="C3" s="3256" t="s">
        <v>2813</v>
      </c>
      <c r="D3" s="3256" t="s">
        <v>2871</v>
      </c>
      <c r="E3" s="3256" t="s">
        <v>2815</v>
      </c>
      <c r="F3" s="3256" t="s">
        <v>2872</v>
      </c>
      <c r="G3" s="3256" t="s">
        <v>2633</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3236</v>
      </c>
      <c r="B1" s="3774"/>
      <c r="C1" s="3774"/>
      <c r="D1" s="3774"/>
      <c r="E1" s="3774"/>
      <c r="F1" s="3775"/>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45084</v>
      </c>
      <c r="B1" s="3210" t="s">
        <v>2842</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3372</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3375</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2822</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2823</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2824</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2825</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2826</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2827</v>
      </c>
    </row>
    <row r="20" spans="1:30" s="3009" customFormat="1"/>
    <row r="21" spans="1:30" s="3209" customFormat="1" ht="12.75">
      <c r="B21" s="3210" t="s">
        <v>2828</v>
      </c>
      <c r="C21" s="3211"/>
      <c r="D21" s="3211"/>
      <c r="E21" s="3211"/>
      <c r="F21" s="3211"/>
      <c r="G21" s="3211"/>
      <c r="H21" s="3211"/>
      <c r="I21" s="3211"/>
      <c r="J21" s="3165"/>
      <c r="K21" s="3211" t="s">
        <v>2829</v>
      </c>
      <c r="L21" s="3211"/>
      <c r="M21" s="3211"/>
      <c r="N21" s="3211"/>
      <c r="O21" s="3211"/>
      <c r="P21" s="3211"/>
      <c r="Q21" s="3165"/>
      <c r="R21" s="3776" t="s">
        <v>2830</v>
      </c>
      <c r="S21" s="3777"/>
      <c r="T21" s="3777"/>
      <c r="U21" s="3777"/>
      <c r="V21" s="3777"/>
      <c r="W21" s="3777"/>
      <c r="X21" s="3165"/>
      <c r="Y21" s="3776" t="s">
        <v>2831</v>
      </c>
      <c r="Z21" s="3777"/>
      <c r="AA21" s="3777"/>
      <c r="AB21" s="3777"/>
      <c r="AC21" s="3777"/>
      <c r="AD21" s="3777"/>
    </row>
    <row r="22" spans="1:30" s="3143" customFormat="1" ht="14.25" thickBot="1">
      <c r="B22" s="3144"/>
      <c r="C22" s="3145"/>
      <c r="D22" s="3146" t="s">
        <v>2832</v>
      </c>
      <c r="E22" s="3147" t="s">
        <v>2833</v>
      </c>
      <c r="F22" s="3147" t="s">
        <v>2834</v>
      </c>
      <c r="G22" s="3147" t="s">
        <v>2835</v>
      </c>
      <c r="H22" s="3147"/>
      <c r="I22" s="3147" t="s">
        <v>2836</v>
      </c>
      <c r="J22" s="3148"/>
      <c r="K22" s="3146" t="s">
        <v>2832</v>
      </c>
      <c r="L22" s="3147" t="s">
        <v>2833</v>
      </c>
      <c r="M22" s="3147" t="s">
        <v>2834</v>
      </c>
      <c r="N22" s="3147" t="s">
        <v>2835</v>
      </c>
      <c r="O22" s="3147"/>
      <c r="P22" s="3147" t="s">
        <v>2836</v>
      </c>
      <c r="Q22" s="3148"/>
      <c r="R22" s="3146" t="s">
        <v>2832</v>
      </c>
      <c r="S22" s="3147" t="s">
        <v>2833</v>
      </c>
      <c r="T22" s="3147" t="s">
        <v>2834</v>
      </c>
      <c r="U22" s="3147" t="s">
        <v>2835</v>
      </c>
      <c r="V22" s="3147"/>
      <c r="W22" s="3147" t="s">
        <v>2836</v>
      </c>
      <c r="X22" s="3148"/>
      <c r="Y22" s="3146" t="s">
        <v>2832</v>
      </c>
      <c r="Z22" s="3147" t="s">
        <v>2833</v>
      </c>
      <c r="AA22" s="3147" t="s">
        <v>2834</v>
      </c>
      <c r="AB22" s="3147" t="s">
        <v>2835</v>
      </c>
      <c r="AC22" s="3147"/>
      <c r="AD22" s="3147" t="s">
        <v>2836</v>
      </c>
    </row>
    <row r="23" spans="1:30" s="3161" customFormat="1" ht="12.75">
      <c r="A23" s="3149" t="s">
        <v>2837</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3372</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3375</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2838</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2839</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2840</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2841</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2826</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45084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282.12</v>
      </c>
      <c r="C4" s="854">
        <f>项目基本情况!C18</f>
        <v>0</v>
      </c>
      <c r="D4" s="854" t="e">
        <f ca="1">结果表!D118</f>
        <v>#REF!</v>
      </c>
      <c r="E4" s="854" t="e">
        <f ca="1">结果表!E118</f>
        <v>#REF!</v>
      </c>
      <c r="F4" s="854" t="e">
        <f ca="1">结果表!F118</f>
        <v>#REF!</v>
      </c>
      <c r="G4" s="854" t="e">
        <f ca="1">结果表!G118</f>
        <v>#REF!</v>
      </c>
      <c r="H4" s="854">
        <f ca="1">结果表!H118</f>
        <v>480</v>
      </c>
      <c r="I4" s="854">
        <f ca="1">结果表!I118</f>
        <v>17023</v>
      </c>
    </row>
    <row r="5" spans="1:9" ht="30" customHeight="1">
      <c r="A5" s="3463" t="s">
        <v>927</v>
      </c>
      <c r="B5" s="3463"/>
      <c r="C5" s="3463"/>
      <c r="D5" s="3463" t="e">
        <f ca="1">结果表!D119</f>
        <v>#REF!</v>
      </c>
      <c r="E5" s="3463"/>
      <c r="F5" s="3463" t="e">
        <f ca="1">结果表!F119</f>
        <v>#REF!</v>
      </c>
      <c r="G5" s="3463"/>
      <c r="H5" s="3463" t="str">
        <f ca="1">结果表!H119</f>
        <v>肆佰捌拾万元整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480</v>
      </c>
      <c r="E8" s="3464"/>
      <c r="F8" s="3464"/>
      <c r="G8" s="3464"/>
      <c r="H8" s="3464"/>
      <c r="I8" s="3464"/>
    </row>
    <row r="9" spans="1:9" ht="15">
      <c r="A9" s="3463" t="s">
        <v>927</v>
      </c>
      <c r="B9" s="3463"/>
      <c r="C9" s="3463"/>
      <c r="D9" s="3463" t="str">
        <f ca="1">结果表!D123</f>
        <v>肆佰捌拾万元整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45096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2023-06-19T07:20:35Z</dcterms:modified>
</cp:coreProperties>
</file>