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7"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 name="新旧规划结果表" sheetId="75"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_xlnm.Print_Area" localSheetId="31">'剩余法-待开发商业'!$A$1:$K$36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H3" i="75"/>
  <c r="G3"/>
  <c r="H2"/>
  <c r="G2"/>
  <c r="D2" l="1"/>
  <c r="I2" s="1"/>
  <c r="Q33" i="68" l="1"/>
  <c r="C18"/>
  <c r="C36" l="1"/>
  <c r="C10" i="72"/>
  <c r="F20" i="6" l="1"/>
  <c r="K14" i="3"/>
  <c r="F19" i="6"/>
  <c r="I13" i="3"/>
  <c r="Q32" i="68"/>
  <c r="Q31"/>
  <c r="F9" l="1"/>
  <c r="B9"/>
  <c r="D5" i="9"/>
  <c r="D20" i="68"/>
  <c r="D18"/>
  <c r="D16"/>
  <c r="D14"/>
  <c r="G5" l="1"/>
  <c r="I5"/>
  <c r="D38" i="46" s="1"/>
  <c r="J32" i="68"/>
  <c r="C35" l="1"/>
  <c r="C33"/>
  <c r="C32"/>
  <c r="C31"/>
  <c r="F34" l="1"/>
  <c r="C5" i="33" l="1"/>
  <c r="F113" i="73"/>
  <c r="N99"/>
  <c r="N108" s="1"/>
  <c r="M99"/>
  <c r="M108" s="1"/>
  <c r="L99"/>
  <c r="L108" s="1"/>
  <c r="K99"/>
  <c r="K108" s="1"/>
  <c r="J99"/>
  <c r="J108" s="1"/>
  <c r="I99"/>
  <c r="I108" s="1"/>
  <c r="H99"/>
  <c r="H108" s="1"/>
  <c r="G99"/>
  <c r="G108" s="1"/>
  <c r="F99"/>
  <c r="F108" s="1"/>
  <c r="E99"/>
  <c r="E108" s="1"/>
  <c r="D99"/>
  <c r="D108" s="1"/>
  <c r="C99"/>
  <c r="C108" s="1"/>
  <c r="M87"/>
  <c r="N87" s="1"/>
  <c r="K87"/>
  <c r="J87"/>
  <c r="D87"/>
  <c r="N86"/>
  <c r="M86"/>
  <c r="K86"/>
  <c r="J86" s="1"/>
  <c r="D86"/>
  <c r="N85"/>
  <c r="M85"/>
  <c r="K85"/>
  <c r="J85" s="1"/>
  <c r="D85"/>
  <c r="N84"/>
  <c r="M84"/>
  <c r="K84"/>
  <c r="J84" s="1"/>
  <c r="D84"/>
  <c r="M83"/>
  <c r="N83" s="1"/>
  <c r="K83"/>
  <c r="J83" s="1"/>
  <c r="D83"/>
  <c r="B83"/>
  <c r="N82"/>
  <c r="M82"/>
  <c r="K82"/>
  <c r="J82" s="1"/>
  <c r="D82"/>
  <c r="B82"/>
  <c r="M81"/>
  <c r="N81" s="1"/>
  <c r="K81"/>
  <c r="J81" s="1"/>
  <c r="D81"/>
  <c r="N80"/>
  <c r="M80"/>
  <c r="K80"/>
  <c r="J80" s="1"/>
  <c r="F80"/>
  <c r="H86" s="1"/>
  <c r="D80"/>
  <c r="E80" s="1"/>
  <c r="B78" s="1"/>
  <c r="M77"/>
  <c r="N77" s="1"/>
  <c r="K77"/>
  <c r="J77" s="1"/>
  <c r="D77"/>
  <c r="M76"/>
  <c r="N76" s="1"/>
  <c r="K76"/>
  <c r="J76" s="1"/>
  <c r="D76"/>
  <c r="M75"/>
  <c r="N75" s="1"/>
  <c r="K75"/>
  <c r="J75" s="1"/>
  <c r="N74"/>
  <c r="M74"/>
  <c r="K74"/>
  <c r="J74" s="1"/>
  <c r="D74" s="1"/>
  <c r="N73"/>
  <c r="M73"/>
  <c r="K73"/>
  <c r="J73" s="1"/>
  <c r="M72"/>
  <c r="N72" s="1"/>
  <c r="K72"/>
  <c r="J72" s="1"/>
  <c r="D72" s="1"/>
  <c r="M71"/>
  <c r="N71" s="1"/>
  <c r="K71"/>
  <c r="J71" s="1"/>
  <c r="B71"/>
  <c r="M70"/>
  <c r="N70" s="1"/>
  <c r="K70"/>
  <c r="J70" s="1"/>
  <c r="M69"/>
  <c r="N69" s="1"/>
  <c r="K69"/>
  <c r="J69" s="1"/>
  <c r="D69"/>
  <c r="M66"/>
  <c r="N66" s="1"/>
  <c r="K66"/>
  <c r="J66" s="1"/>
  <c r="D66"/>
  <c r="M65"/>
  <c r="N65" s="1"/>
  <c r="K65"/>
  <c r="J65" s="1"/>
  <c r="D65"/>
  <c r="M64"/>
  <c r="N64" s="1"/>
  <c r="K64"/>
  <c r="J64" s="1"/>
  <c r="D64"/>
  <c r="N63"/>
  <c r="M63"/>
  <c r="K63"/>
  <c r="J63" s="1"/>
  <c r="D63"/>
  <c r="M62"/>
  <c r="N62" s="1"/>
  <c r="K62"/>
  <c r="J62" s="1"/>
  <c r="D62"/>
  <c r="N61"/>
  <c r="M61"/>
  <c r="K61"/>
  <c r="J61" s="1"/>
  <c r="D61"/>
  <c r="M60"/>
  <c r="N60" s="1"/>
  <c r="K60"/>
  <c r="J60" s="1"/>
  <c r="D60"/>
  <c r="B60"/>
  <c r="N59"/>
  <c r="M59"/>
  <c r="K59"/>
  <c r="J59" s="1"/>
  <c r="D59"/>
  <c r="M58"/>
  <c r="N58" s="1"/>
  <c r="K58"/>
  <c r="J58" s="1"/>
  <c r="F58"/>
  <c r="H65" s="1"/>
  <c r="D58"/>
  <c r="E58" s="1"/>
  <c r="B56" s="1"/>
  <c r="M55"/>
  <c r="N55" s="1"/>
  <c r="K55"/>
  <c r="J55" s="1"/>
  <c r="D55"/>
  <c r="M54"/>
  <c r="N54" s="1"/>
  <c r="K54"/>
  <c r="J54" s="1"/>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D47"/>
  <c r="H39"/>
  <c r="H38"/>
  <c r="H37"/>
  <c r="H36"/>
  <c r="H35"/>
  <c r="H34"/>
  <c r="H33"/>
  <c r="D29"/>
  <c r="J20"/>
  <c r="I19"/>
  <c r="C18"/>
  <c r="F15"/>
  <c r="E15"/>
  <c r="D15"/>
  <c r="C15"/>
  <c r="C12" s="1"/>
  <c r="Y12"/>
  <c r="Y10"/>
  <c r="C10"/>
  <c r="C11" s="1"/>
  <c r="AJ9"/>
  <c r="AJ10" s="1"/>
  <c r="AI9"/>
  <c r="AI12" s="1"/>
  <c r="AH9"/>
  <c r="AH10" s="1"/>
  <c r="AG9"/>
  <c r="AG12" s="1"/>
  <c r="AF9"/>
  <c r="AF10" s="1"/>
  <c r="AE9"/>
  <c r="AE12" s="1"/>
  <c r="AD9"/>
  <c r="AD10" s="1"/>
  <c r="AC9"/>
  <c r="AC12" s="1"/>
  <c r="AB9"/>
  <c r="AB10" s="1"/>
  <c r="AA9"/>
  <c r="AA12" s="1"/>
  <c r="Z9"/>
  <c r="Z10" s="1"/>
  <c r="C9"/>
  <c r="A7"/>
  <c r="G3"/>
  <c r="B113" s="1"/>
  <c r="I2"/>
  <c r="M12" s="1"/>
  <c r="G2"/>
  <c r="F69" s="1"/>
  <c r="N1"/>
  <c r="D1"/>
  <c r="F25" i="72"/>
  <c r="F24"/>
  <c r="F23"/>
  <c r="E22"/>
  <c r="D54" i="73" l="1"/>
  <c r="E47" s="1"/>
  <c r="B45" s="1"/>
  <c r="D71"/>
  <c r="D73"/>
  <c r="M1"/>
  <c r="M2"/>
  <c r="N3"/>
  <c r="N5"/>
  <c r="M8"/>
  <c r="H80"/>
  <c r="M4"/>
  <c r="N6"/>
  <c r="M7"/>
  <c r="F47"/>
  <c r="H54" s="1"/>
  <c r="H75"/>
  <c r="H74"/>
  <c r="H72"/>
  <c r="H70"/>
  <c r="H77"/>
  <c r="H76"/>
  <c r="H73"/>
  <c r="H71"/>
  <c r="H69"/>
  <c r="D118"/>
  <c r="E118" s="1"/>
  <c r="F118" s="1"/>
  <c r="B118"/>
  <c r="C118" s="1"/>
  <c r="D117"/>
  <c r="E117" s="1"/>
  <c r="F117" s="1"/>
  <c r="G117" s="1"/>
  <c r="H117" s="1"/>
  <c r="B117"/>
  <c r="C117" s="1"/>
  <c r="D116"/>
  <c r="E116" s="1"/>
  <c r="F116" s="1"/>
  <c r="G116" s="1"/>
  <c r="H116" s="1"/>
  <c r="B116"/>
  <c r="C116" s="1"/>
  <c r="D115"/>
  <c r="E115" s="1"/>
  <c r="F115" s="1"/>
  <c r="G115" s="1"/>
  <c r="H115" s="1"/>
  <c r="B115"/>
  <c r="C115" s="1"/>
  <c r="I118"/>
  <c r="J118" s="1"/>
  <c r="K118" s="1"/>
  <c r="L118" s="1"/>
  <c r="M118" s="1"/>
  <c r="G118"/>
  <c r="H118" s="1"/>
  <c r="I117"/>
  <c r="J117" s="1"/>
  <c r="K117" s="1"/>
  <c r="L117" s="1"/>
  <c r="M117" s="1"/>
  <c r="I116"/>
  <c r="J116" s="1"/>
  <c r="K116" s="1"/>
  <c r="L116" s="1"/>
  <c r="M116" s="1"/>
  <c r="I115"/>
  <c r="J115" s="1"/>
  <c r="K115" s="1"/>
  <c r="L115" s="1"/>
  <c r="M115" s="1"/>
  <c r="E11"/>
  <c r="E10"/>
  <c r="E9"/>
  <c r="E8"/>
  <c r="S2"/>
  <c r="S7"/>
  <c r="Z7"/>
  <c r="N2"/>
  <c r="M3"/>
  <c r="S3"/>
  <c r="N4"/>
  <c r="M5"/>
  <c r="S5"/>
  <c r="M6"/>
  <c r="S6"/>
  <c r="N7"/>
  <c r="X7"/>
  <c r="N8"/>
  <c r="N9"/>
  <c r="M10"/>
  <c r="AA10"/>
  <c r="AC10"/>
  <c r="AE10"/>
  <c r="AG10"/>
  <c r="AI10"/>
  <c r="M11"/>
  <c r="Y11"/>
  <c r="Y13" s="1"/>
  <c r="AA11"/>
  <c r="AA13" s="1"/>
  <c r="AC11"/>
  <c r="AC13" s="1"/>
  <c r="AE11"/>
  <c r="AE13" s="1"/>
  <c r="AG11"/>
  <c r="AG13" s="1"/>
  <c r="AI11"/>
  <c r="AI13" s="1"/>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s="1"/>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l="1"/>
  <c r="D22"/>
  <c r="C21" s="1"/>
  <c r="E69"/>
  <c r="B67" s="1"/>
  <c r="C24" s="1"/>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s="1"/>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s="1"/>
  <c r="C5" i="73" l="1"/>
  <c r="D29" i="46" l="1"/>
  <c r="G22" i="6" l="1"/>
  <c r="G21"/>
  <c r="I6" i="68"/>
  <c r="I3"/>
  <c r="J31" s="1"/>
  <c r="I2"/>
  <c r="J30" s="1"/>
  <c r="G4"/>
  <c r="G8" s="1"/>
  <c r="C7"/>
  <c r="C4"/>
  <c r="C8" l="1"/>
  <c r="AH5" i="59"/>
  <c r="AG5"/>
  <c r="AE5"/>
  <c r="AF5" s="1"/>
  <c r="AD5"/>
  <c r="Q5"/>
  <c r="P5"/>
  <c r="O5"/>
  <c r="N5"/>
  <c r="L3" l="1"/>
  <c r="AH3" s="1"/>
  <c r="K3"/>
  <c r="J3"/>
  <c r="I3"/>
  <c r="AH6"/>
  <c r="AG6"/>
  <c r="AE6"/>
  <c r="AF6" s="1"/>
  <c r="AD6"/>
  <c r="Q6"/>
  <c r="Q7"/>
  <c r="P6"/>
  <c r="P7"/>
  <c r="O6"/>
  <c r="O7"/>
  <c r="N6"/>
  <c r="N7"/>
  <c r="AH7"/>
  <c r="AG7"/>
  <c r="AE7"/>
  <c r="AF7" s="1"/>
  <c r="AD7"/>
  <c r="Q8"/>
  <c r="P8"/>
  <c r="O8"/>
  <c r="N8"/>
  <c r="J50" i="15"/>
  <c r="J51"/>
  <c r="D10" i="59"/>
  <c r="AH8"/>
  <c r="AG8"/>
  <c r="AE8"/>
  <c r="AF8" s="1"/>
  <c r="AD8"/>
  <c r="AE9"/>
  <c r="AF9"/>
  <c r="AG9"/>
  <c r="AH9"/>
  <c r="AD9"/>
  <c r="Q9"/>
  <c r="P9"/>
  <c r="O9"/>
  <c r="N9"/>
  <c r="N10"/>
  <c r="Q10"/>
  <c r="P10"/>
  <c r="O10"/>
  <c r="K59" i="15"/>
  <c r="P62"/>
  <c r="P75"/>
  <c r="Q74" i="44"/>
  <c r="Q61"/>
  <c r="Q60"/>
  <c r="Q53"/>
  <c r="J51"/>
  <c r="J52" s="1"/>
  <c r="M48"/>
  <c r="A16" i="55"/>
  <c r="A15"/>
  <c r="A14"/>
  <c r="A11"/>
  <c r="A10"/>
  <c r="A9"/>
  <c r="A8"/>
  <c r="A6" i="54"/>
  <c r="A8"/>
  <c r="A7"/>
  <c r="A27" i="51"/>
  <c r="Q11" i="59"/>
  <c r="O11"/>
  <c r="N12"/>
  <c r="O12"/>
  <c r="P12"/>
  <c r="Q12"/>
  <c r="N11"/>
  <c r="P11"/>
  <c r="K75" i="9"/>
  <c r="K6" i="4"/>
  <c r="O76" i="9" s="1"/>
  <c r="L76"/>
  <c r="B22" i="31"/>
  <c r="E15" i="66"/>
  <c r="F15"/>
  <c r="E16"/>
  <c r="F16"/>
  <c r="E17"/>
  <c r="F17"/>
  <c r="E18"/>
  <c r="F18"/>
  <c r="E19"/>
  <c r="F19"/>
  <c r="E20"/>
  <c r="F20"/>
  <c r="E21"/>
  <c r="F21"/>
  <c r="E22"/>
  <c r="F22"/>
  <c r="E23"/>
  <c r="F23"/>
  <c r="B3"/>
  <c r="B9" i="59"/>
  <c r="B8" s="1"/>
  <c r="B7" s="1"/>
  <c r="E9"/>
  <c r="E8" s="1"/>
  <c r="E7" s="1"/>
  <c r="E6" s="1"/>
  <c r="E5" s="1"/>
  <c r="F9"/>
  <c r="F8" s="1"/>
  <c r="F7" s="1"/>
  <c r="F6" s="1"/>
  <c r="F5" s="1"/>
  <c r="U9"/>
  <c r="S9"/>
  <c r="AD3"/>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F24"/>
  <c r="AD24"/>
  <c r="AD25"/>
  <c r="AE25"/>
  <c r="AF25"/>
  <c r="AG25"/>
  <c r="AH25"/>
  <c r="S2" i="31"/>
  <c r="M2"/>
  <c r="N2"/>
  <c r="O2"/>
  <c r="P2"/>
  <c r="Q2"/>
  <c r="R2"/>
  <c r="C9" i="59"/>
  <c r="C8" s="1"/>
  <c r="C3" i="65"/>
  <c r="C1"/>
  <c r="N1" s="1"/>
  <c r="D9" i="59"/>
  <c r="B76" i="63"/>
  <c r="M5" i="54"/>
  <c r="A23" i="51"/>
  <c r="Y12" i="46"/>
  <c r="AA9"/>
  <c r="AA10" s="1"/>
  <c r="AB9"/>
  <c r="AC9"/>
  <c r="AC10" s="1"/>
  <c r="AD9"/>
  <c r="AE9"/>
  <c r="AE10" s="1"/>
  <c r="AF9"/>
  <c r="AG9"/>
  <c r="AG10" s="1"/>
  <c r="AH9"/>
  <c r="AH10" s="1"/>
  <c r="AI9"/>
  <c r="AI12" s="1"/>
  <c r="AJ9"/>
  <c r="AJ10" s="1"/>
  <c r="Z9"/>
  <c r="Z10" s="1"/>
  <c r="AI10"/>
  <c r="AF10"/>
  <c r="AD10"/>
  <c r="AB10"/>
  <c r="Y10"/>
  <c r="AJ12"/>
  <c r="AH12"/>
  <c r="AF12"/>
  <c r="AD12"/>
  <c r="AB12"/>
  <c r="Z12"/>
  <c r="AG12"/>
  <c r="AC12"/>
  <c r="B73" i="63"/>
  <c r="A21" i="64"/>
  <c r="B75" i="63" s="1"/>
  <c r="A27" i="64"/>
  <c r="A15"/>
  <c r="A14"/>
  <c r="A11"/>
  <c r="A3"/>
  <c r="A45" i="9"/>
  <c r="A44"/>
  <c r="C57" i="10"/>
  <c r="A28" i="51" s="1"/>
  <c r="B21" i="63" s="1"/>
  <c r="C56" i="10"/>
  <c r="C55"/>
  <c r="C54"/>
  <c r="B49" i="63"/>
  <c r="B44"/>
  <c r="B40"/>
  <c r="B30"/>
  <c r="B27"/>
  <c r="B25"/>
  <c r="A11" i="51"/>
  <c r="B10" i="63" s="1"/>
  <c r="A26" i="64"/>
  <c r="A26" i="51"/>
  <c r="B19" i="63" s="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c r="A14" i="51"/>
  <c r="B11" i="63"/>
  <c r="B66"/>
  <c r="A4" i="55"/>
  <c r="B57" i="63" s="1"/>
  <c r="B41"/>
  <c r="G5" i="54"/>
  <c r="B34" i="63" s="1"/>
  <c r="E5" i="54"/>
  <c r="B32" i="63" s="1"/>
  <c r="R2" i="54"/>
  <c r="B24" i="63" s="1"/>
  <c r="B49" i="50"/>
  <c r="B5" i="63" s="1"/>
  <c r="B40" i="50"/>
  <c r="B3" i="63" s="1"/>
  <c r="B67"/>
  <c r="I19" i="46"/>
  <c r="Q13" i="59"/>
  <c r="P13"/>
  <c r="E13" s="1"/>
  <c r="O13"/>
  <c r="N13"/>
  <c r="B13" s="1"/>
  <c r="D74"/>
  <c r="F73"/>
  <c r="F72" s="1"/>
  <c r="F71" s="1"/>
  <c r="E73"/>
  <c r="E72"/>
  <c r="E71" s="1"/>
  <c r="C73"/>
  <c r="D73" s="1"/>
  <c r="B73"/>
  <c r="B72" s="1"/>
  <c r="B71" s="1"/>
  <c r="D70"/>
  <c r="F69"/>
  <c r="F68" s="1"/>
  <c r="F67" s="1"/>
  <c r="E69"/>
  <c r="E68"/>
  <c r="E67" s="1"/>
  <c r="C69"/>
  <c r="D69" s="1"/>
  <c r="B69"/>
  <c r="B68" s="1"/>
  <c r="B67" s="1"/>
  <c r="D66"/>
  <c r="Q65"/>
  <c r="P65"/>
  <c r="O65"/>
  <c r="N65"/>
  <c r="F65"/>
  <c r="V65" s="1"/>
  <c r="E65"/>
  <c r="U65" s="1"/>
  <c r="C65"/>
  <c r="T65" s="1"/>
  <c r="B65"/>
  <c r="S65" s="1"/>
  <c r="Q64"/>
  <c r="P64"/>
  <c r="O64"/>
  <c r="N64"/>
  <c r="F64"/>
  <c r="F63" s="1"/>
  <c r="B64"/>
  <c r="B63" s="1"/>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F53"/>
  <c r="V53"/>
  <c r="E53"/>
  <c r="E52"/>
  <c r="P52" s="1"/>
  <c r="C53"/>
  <c r="B53"/>
  <c r="N53"/>
  <c r="F52"/>
  <c r="F51"/>
  <c r="B52"/>
  <c r="D50"/>
  <c r="Q49"/>
  <c r="P49"/>
  <c r="O49"/>
  <c r="N49"/>
  <c r="Q48"/>
  <c r="P48"/>
  <c r="O48"/>
  <c r="N48"/>
  <c r="Q47"/>
  <c r="P47"/>
  <c r="O47"/>
  <c r="N47"/>
  <c r="Q46"/>
  <c r="F47"/>
  <c r="P46"/>
  <c r="E47"/>
  <c r="E48" s="1"/>
  <c r="E49" s="1"/>
  <c r="U49" s="1"/>
  <c r="O46"/>
  <c r="C47" s="1"/>
  <c r="N46"/>
  <c r="B47"/>
  <c r="B48" s="1"/>
  <c r="B49" s="1"/>
  <c r="S49" s="1"/>
  <c r="D46"/>
  <c r="Q45"/>
  <c r="P45"/>
  <c r="O45"/>
  <c r="N45"/>
  <c r="Q44"/>
  <c r="P44"/>
  <c r="O44"/>
  <c r="N44"/>
  <c r="Q43"/>
  <c r="P43"/>
  <c r="O43"/>
  <c r="N43"/>
  <c r="Q42"/>
  <c r="F43"/>
  <c r="P42"/>
  <c r="E43"/>
  <c r="E44" s="1"/>
  <c r="E45" s="1"/>
  <c r="U45" s="1"/>
  <c r="O42"/>
  <c r="C43" s="1"/>
  <c r="N42"/>
  <c r="B43" s="1"/>
  <c r="B44" s="1"/>
  <c r="B45" s="1"/>
  <c r="S45" s="1"/>
  <c r="D42"/>
  <c r="Q41"/>
  <c r="P41"/>
  <c r="O41"/>
  <c r="N41"/>
  <c r="Q40"/>
  <c r="P40"/>
  <c r="O40"/>
  <c r="N40"/>
  <c r="Q39"/>
  <c r="P39"/>
  <c r="O39"/>
  <c r="N39"/>
  <c r="Q38"/>
  <c r="F39" s="1"/>
  <c r="F40" s="1"/>
  <c r="F41" s="1"/>
  <c r="V41" s="1"/>
  <c r="P38"/>
  <c r="E39" s="1"/>
  <c r="E40" s="1"/>
  <c r="E41" s="1"/>
  <c r="U41" s="1"/>
  <c r="O38"/>
  <c r="C39"/>
  <c r="N38"/>
  <c r="B39"/>
  <c r="B40" s="1"/>
  <c r="B41" s="1"/>
  <c r="S41" s="1"/>
  <c r="D38"/>
  <c r="Q37"/>
  <c r="P37"/>
  <c r="O37"/>
  <c r="N37"/>
  <c r="Q36"/>
  <c r="P36"/>
  <c r="O36"/>
  <c r="N36"/>
  <c r="Q35"/>
  <c r="P35"/>
  <c r="O35"/>
  <c r="N35"/>
  <c r="Q34"/>
  <c r="F35"/>
  <c r="F36" s="1"/>
  <c r="F37" s="1"/>
  <c r="V37" s="1"/>
  <c r="P34"/>
  <c r="E35" s="1"/>
  <c r="E36" s="1"/>
  <c r="E37" s="1"/>
  <c r="U37" s="1"/>
  <c r="O34"/>
  <c r="C35" s="1"/>
  <c r="N34"/>
  <c r="B35" s="1"/>
  <c r="B36" s="1"/>
  <c r="B37" s="1"/>
  <c r="S37" s="1"/>
  <c r="D34"/>
  <c r="T33"/>
  <c r="Q33"/>
  <c r="P33"/>
  <c r="O33"/>
  <c r="N33"/>
  <c r="D33"/>
  <c r="Q32"/>
  <c r="P32"/>
  <c r="O32"/>
  <c r="N32"/>
  <c r="Q31"/>
  <c r="P31"/>
  <c r="O31"/>
  <c r="N31"/>
  <c r="Q30"/>
  <c r="F31"/>
  <c r="P30"/>
  <c r="E31"/>
  <c r="E32" s="1"/>
  <c r="E33" s="1"/>
  <c r="U33" s="1"/>
  <c r="O30"/>
  <c r="C31" s="1"/>
  <c r="N30"/>
  <c r="B31" s="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c r="P24"/>
  <c r="O24"/>
  <c r="Y24" s="1"/>
  <c r="Z24" s="1"/>
  <c r="N24"/>
  <c r="X24"/>
  <c r="Q23"/>
  <c r="AB23" s="1"/>
  <c r="P23"/>
  <c r="AA23" s="1"/>
  <c r="O23"/>
  <c r="N23"/>
  <c r="X23" s="1"/>
  <c r="Q22"/>
  <c r="AB22" s="1"/>
  <c r="F23"/>
  <c r="P22"/>
  <c r="E23"/>
  <c r="E24" s="1"/>
  <c r="E25" s="1"/>
  <c r="O22"/>
  <c r="Y22" s="1"/>
  <c r="Z22" s="1"/>
  <c r="N22"/>
  <c r="X22" s="1"/>
  <c r="D22"/>
  <c r="Q21"/>
  <c r="AB21" s="1"/>
  <c r="P21"/>
  <c r="O21"/>
  <c r="Y21" s="1"/>
  <c r="Z21" s="1"/>
  <c r="N21"/>
  <c r="Q20"/>
  <c r="AB20" s="1"/>
  <c r="P20"/>
  <c r="AA20" s="1"/>
  <c r="O20"/>
  <c r="Y20" s="1"/>
  <c r="Z20" s="1"/>
  <c r="N20"/>
  <c r="Q19"/>
  <c r="AB19" s="1"/>
  <c r="P19"/>
  <c r="AA19" s="1"/>
  <c r="O19"/>
  <c r="Y19" s="1"/>
  <c r="Z19" s="1"/>
  <c r="N19"/>
  <c r="Q18"/>
  <c r="AB18" s="1"/>
  <c r="P18"/>
  <c r="AA18" s="1"/>
  <c r="O18"/>
  <c r="C19"/>
  <c r="N18"/>
  <c r="X18" s="1"/>
  <c r="B19"/>
  <c r="B20" s="1"/>
  <c r="B21" s="1"/>
  <c r="S21" s="1"/>
  <c r="D18"/>
  <c r="Q17"/>
  <c r="P17"/>
  <c r="AA17" s="1"/>
  <c r="O17"/>
  <c r="N17"/>
  <c r="X17" s="1"/>
  <c r="Q16"/>
  <c r="P16"/>
  <c r="AA16" s="1"/>
  <c r="O16"/>
  <c r="N16"/>
  <c r="X16" s="1"/>
  <c r="Q15"/>
  <c r="P15"/>
  <c r="AA15" s="1"/>
  <c r="O15"/>
  <c r="Y15" s="1"/>
  <c r="Z15" s="1"/>
  <c r="N15"/>
  <c r="X15" s="1"/>
  <c r="Q14"/>
  <c r="AB14" s="1"/>
  <c r="F15"/>
  <c r="P14"/>
  <c r="O14"/>
  <c r="Y14" s="1"/>
  <c r="Z14" s="1"/>
  <c r="N14"/>
  <c r="X14" s="1"/>
  <c r="D14"/>
  <c r="X10"/>
  <c r="X12"/>
  <c r="AA3"/>
  <c r="AA10"/>
  <c r="AA11"/>
  <c r="AA12"/>
  <c r="AA13"/>
  <c r="Y10"/>
  <c r="Z10"/>
  <c r="Y11"/>
  <c r="Z11"/>
  <c r="Y12"/>
  <c r="Z12"/>
  <c r="Y13"/>
  <c r="Z13"/>
  <c r="Y3"/>
  <c r="Z3"/>
  <c r="AB13"/>
  <c r="AB3"/>
  <c r="AB10"/>
  <c r="AB11"/>
  <c r="AB12"/>
  <c r="E15"/>
  <c r="E16"/>
  <c r="E17" s="1"/>
  <c r="U17" s="1"/>
  <c r="S53"/>
  <c r="AA24"/>
  <c r="F16"/>
  <c r="F17" s="1"/>
  <c r="V17" s="1"/>
  <c r="F24"/>
  <c r="F25" s="1"/>
  <c r="V25" s="1"/>
  <c r="F32"/>
  <c r="F33" s="1"/>
  <c r="V33" s="1"/>
  <c r="F44"/>
  <c r="F45" s="1"/>
  <c r="V45" s="1"/>
  <c r="F48"/>
  <c r="F49"/>
  <c r="V49" s="1"/>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s="1"/>
  <c r="D64"/>
  <c r="C63"/>
  <c r="D63"/>
  <c r="D56"/>
  <c r="C55"/>
  <c r="D55" s="1"/>
  <c r="C51"/>
  <c r="O52"/>
  <c r="D52"/>
  <c r="D68"/>
  <c r="C67"/>
  <c r="D67" s="1"/>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s="1"/>
  <c r="C21"/>
  <c r="Q27" i="40"/>
  <c r="Z27" s="1"/>
  <c r="D96"/>
  <c r="E96"/>
  <c r="F27"/>
  <c r="AA27"/>
  <c r="Q31" i="39"/>
  <c r="Z31" s="1"/>
  <c r="D105"/>
  <c r="E105"/>
  <c r="F31"/>
  <c r="AA31"/>
  <c r="G20" i="20"/>
  <c r="B85" i="73" s="1"/>
  <c r="B85" i="46"/>
  <c r="C22" i="20"/>
  <c r="B65" i="46"/>
  <c r="S18" i="36"/>
  <c r="S18" i="35"/>
  <c r="S21" i="37"/>
  <c r="S21" i="34"/>
  <c r="S27" i="40"/>
  <c r="S31" i="39"/>
  <c r="C27" i="40"/>
  <c r="C31" i="39"/>
  <c r="B54" i="46"/>
  <c r="B74"/>
  <c r="E66" i="36"/>
  <c r="H18" i="35"/>
  <c r="J18"/>
  <c r="H21" i="37"/>
  <c r="J21"/>
  <c r="E84" i="34"/>
  <c r="F84" s="1"/>
  <c r="G84" s="1"/>
  <c r="J21"/>
  <c r="H21"/>
  <c r="F21" i="33"/>
  <c r="H21"/>
  <c r="J21"/>
  <c r="F83" i="21"/>
  <c r="H21"/>
  <c r="G83"/>
  <c r="J21"/>
  <c r="F96" i="40"/>
  <c r="H27"/>
  <c r="F105" i="39"/>
  <c r="H31"/>
  <c r="F23" i="15"/>
  <c r="D22" s="1"/>
  <c r="G17" i="11"/>
  <c r="D23" i="15"/>
  <c r="F15"/>
  <c r="F17"/>
  <c r="F18"/>
  <c r="F20"/>
  <c r="F21"/>
  <c r="F33"/>
  <c r="F60" s="1"/>
  <c r="K2" i="4"/>
  <c r="K1"/>
  <c r="B1"/>
  <c r="B37" i="50" s="1"/>
  <c r="B2" i="63" s="1"/>
  <c r="C31" i="57"/>
  <c r="C32"/>
  <c r="I23"/>
  <c r="D20"/>
  <c r="I19"/>
  <c r="I18"/>
  <c r="I17"/>
  <c r="I20" s="1"/>
  <c r="E15"/>
  <c r="I14"/>
  <c r="I13"/>
  <c r="I12"/>
  <c r="I15"/>
  <c r="I9"/>
  <c r="I8"/>
  <c r="I7"/>
  <c r="I6"/>
  <c r="I5"/>
  <c r="I4"/>
  <c r="I3"/>
  <c r="I10"/>
  <c r="I21" s="1"/>
  <c r="C30"/>
  <c r="E26" s="1"/>
  <c r="C112" i="9"/>
  <c r="C7" i="11"/>
  <c r="F80" i="46"/>
  <c r="H81" s="1"/>
  <c r="D1"/>
  <c r="F113"/>
  <c r="D99"/>
  <c r="D108"/>
  <c r="E99"/>
  <c r="E108"/>
  <c r="F99"/>
  <c r="F100"/>
  <c r="G99"/>
  <c r="G108"/>
  <c r="H99"/>
  <c r="H108"/>
  <c r="I99"/>
  <c r="I108"/>
  <c r="J99"/>
  <c r="J108"/>
  <c r="K99"/>
  <c r="K108"/>
  <c r="L99"/>
  <c r="M99"/>
  <c r="M108" s="1"/>
  <c r="N99"/>
  <c r="N108" s="1"/>
  <c r="C99"/>
  <c r="C108" s="1"/>
  <c r="L108"/>
  <c r="K100"/>
  <c r="D100"/>
  <c r="L100"/>
  <c r="K58"/>
  <c r="J58" s="1"/>
  <c r="D58"/>
  <c r="K50"/>
  <c r="D83"/>
  <c r="D77"/>
  <c r="B83"/>
  <c r="B82"/>
  <c r="B71"/>
  <c r="B60"/>
  <c r="B49"/>
  <c r="M87"/>
  <c r="N87"/>
  <c r="K87"/>
  <c r="J87"/>
  <c r="D87"/>
  <c r="M86"/>
  <c r="D86"/>
  <c r="K86"/>
  <c r="J86" s="1"/>
  <c r="M85"/>
  <c r="N85" s="1"/>
  <c r="D85"/>
  <c r="K85"/>
  <c r="J85" s="1"/>
  <c r="M84"/>
  <c r="N84" s="1"/>
  <c r="K84"/>
  <c r="J84" s="1"/>
  <c r="M83"/>
  <c r="N83" s="1"/>
  <c r="K83"/>
  <c r="J83" s="1"/>
  <c r="M82"/>
  <c r="N82" s="1"/>
  <c r="K82"/>
  <c r="J82" s="1"/>
  <c r="D82"/>
  <c r="M81"/>
  <c r="N81"/>
  <c r="K81"/>
  <c r="J81"/>
  <c r="M80"/>
  <c r="N80"/>
  <c r="K80"/>
  <c r="J80"/>
  <c r="M77"/>
  <c r="N77"/>
  <c r="K77"/>
  <c r="J77"/>
  <c r="M76"/>
  <c r="N76" s="1"/>
  <c r="D76"/>
  <c r="K76"/>
  <c r="J76"/>
  <c r="M75"/>
  <c r="N75" s="1"/>
  <c r="K75"/>
  <c r="J75" s="1"/>
  <c r="M74"/>
  <c r="N74" s="1"/>
  <c r="K74"/>
  <c r="J74" s="1"/>
  <c r="D74" s="1"/>
  <c r="M73"/>
  <c r="K73"/>
  <c r="D73" s="1"/>
  <c r="M72"/>
  <c r="N72" s="1"/>
  <c r="K72"/>
  <c r="J72" s="1"/>
  <c r="D72"/>
  <c r="M71"/>
  <c r="N71" s="1"/>
  <c r="K71"/>
  <c r="J71" s="1"/>
  <c r="M70"/>
  <c r="N70" s="1"/>
  <c r="K70"/>
  <c r="J70" s="1"/>
  <c r="D70"/>
  <c r="M69"/>
  <c r="N69" s="1"/>
  <c r="K69"/>
  <c r="J69" s="1"/>
  <c r="M66"/>
  <c r="N66" s="1"/>
  <c r="K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M58"/>
  <c r="N58" s="1"/>
  <c r="M55"/>
  <c r="N55" s="1"/>
  <c r="K55"/>
  <c r="J55" s="1"/>
  <c r="M54"/>
  <c r="N54" s="1"/>
  <c r="K54"/>
  <c r="M53"/>
  <c r="N53" s="1"/>
  <c r="K53"/>
  <c r="J53" s="1"/>
  <c r="D53"/>
  <c r="M52"/>
  <c r="N52" s="1"/>
  <c r="K52"/>
  <c r="J52" s="1"/>
  <c r="D52"/>
  <c r="M51"/>
  <c r="N51" s="1"/>
  <c r="K51"/>
  <c r="J51" s="1"/>
  <c r="M50"/>
  <c r="N50" s="1"/>
  <c r="M49"/>
  <c r="N49" s="1"/>
  <c r="K49"/>
  <c r="J49" s="1"/>
  <c r="D49"/>
  <c r="M48"/>
  <c r="N48" s="1"/>
  <c r="K48"/>
  <c r="J48" s="1"/>
  <c r="D48"/>
  <c r="M47"/>
  <c r="N47" s="1"/>
  <c r="K47"/>
  <c r="J47" s="1"/>
  <c r="D47"/>
  <c r="D51"/>
  <c r="D55"/>
  <c r="N86"/>
  <c r="D80"/>
  <c r="D81"/>
  <c r="N73"/>
  <c r="D75"/>
  <c r="J66"/>
  <c r="D66"/>
  <c r="J50"/>
  <c r="D50"/>
  <c r="J54"/>
  <c r="D54"/>
  <c r="Q73" i="15"/>
  <c r="Q60"/>
  <c r="Q59"/>
  <c r="Q52"/>
  <c r="AE10" i="1"/>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G19" i="73" s="1"/>
  <c r="A12" i="1"/>
  <c r="R12" s="1"/>
  <c r="A13"/>
  <c r="B13" s="1"/>
  <c r="E13" s="1"/>
  <c r="A7"/>
  <c r="A8"/>
  <c r="A9"/>
  <c r="A10"/>
  <c r="R10" s="1"/>
  <c r="A11"/>
  <c r="A6"/>
  <c r="K1" i="72" s="1"/>
  <c r="T4" i="1"/>
  <c r="K13"/>
  <c r="M13" s="1"/>
  <c r="G79" i="36"/>
  <c r="G85" i="35"/>
  <c r="G97" i="37"/>
  <c r="G110" i="34"/>
  <c r="G109" i="33"/>
  <c r="L2" i="31"/>
  <c r="K2"/>
  <c r="J2"/>
  <c r="I2"/>
  <c r="H2"/>
  <c r="G2"/>
  <c r="F2"/>
  <c r="E2"/>
  <c r="D2"/>
  <c r="C2"/>
  <c r="D60" i="15"/>
  <c r="G19" i="20"/>
  <c r="B84" i="73"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s="1"/>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s="1"/>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s="1"/>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s="1"/>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s="1"/>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s="1"/>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s="1"/>
  <c r="C61" s="1"/>
  <c r="H60"/>
  <c r="H59"/>
  <c r="H58"/>
  <c r="I58" s="1"/>
  <c r="C58" s="1"/>
  <c r="H57"/>
  <c r="I57"/>
  <c r="C57" s="1"/>
  <c r="H56"/>
  <c r="I56" s="1"/>
  <c r="C56" s="1"/>
  <c r="H55"/>
  <c r="I55" s="1"/>
  <c r="C55" s="1"/>
  <c r="H54"/>
  <c r="I54" s="1"/>
  <c r="C54" s="1"/>
  <c r="H63" i="39"/>
  <c r="I63" s="1"/>
  <c r="C63" s="1"/>
  <c r="H59"/>
  <c r="I59" s="1"/>
  <c r="C59" s="1"/>
  <c r="H67"/>
  <c r="I67"/>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c r="R29"/>
  <c r="R30"/>
  <c r="S30" s="1"/>
  <c r="R31"/>
  <c r="R32"/>
  <c r="S32"/>
  <c r="R33"/>
  <c r="R34"/>
  <c r="S34" s="1"/>
  <c r="R35"/>
  <c r="R36"/>
  <c r="S36"/>
  <c r="R37"/>
  <c r="R38"/>
  <c r="S38" s="1"/>
  <c r="R39"/>
  <c r="R40"/>
  <c r="S40"/>
  <c r="R41"/>
  <c r="R42"/>
  <c r="S42" s="1"/>
  <c r="R43"/>
  <c r="R44"/>
  <c r="S44"/>
  <c r="R45"/>
  <c r="R46"/>
  <c r="S46" s="1"/>
  <c r="R47"/>
  <c r="R48"/>
  <c r="S48"/>
  <c r="R49"/>
  <c r="R50"/>
  <c r="S50" s="1"/>
  <c r="R51"/>
  <c r="R52"/>
  <c r="S52"/>
  <c r="R53"/>
  <c r="R54"/>
  <c r="S54" s="1"/>
  <c r="R55"/>
  <c r="R56"/>
  <c r="S56"/>
  <c r="R57"/>
  <c r="R58"/>
  <c r="S58" s="1"/>
  <c r="R59"/>
  <c r="R60"/>
  <c r="S60"/>
  <c r="R61"/>
  <c r="R62"/>
  <c r="S62" s="1"/>
  <c r="R63"/>
  <c r="R64"/>
  <c r="S64"/>
  <c r="R65"/>
  <c r="R66"/>
  <c r="S66" s="1"/>
  <c r="R67"/>
  <c r="R68"/>
  <c r="S68"/>
  <c r="R69"/>
  <c r="R70"/>
  <c r="S70" s="1"/>
  <c r="R71"/>
  <c r="R72"/>
  <c r="S72"/>
  <c r="R73"/>
  <c r="R74"/>
  <c r="S74" s="1"/>
  <c r="R75"/>
  <c r="R76"/>
  <c r="S76"/>
  <c r="R77"/>
  <c r="R78"/>
  <c r="S78" s="1"/>
  <c r="R79"/>
  <c r="R80"/>
  <c r="S80"/>
  <c r="R81"/>
  <c r="R82"/>
  <c r="S82" s="1"/>
  <c r="R83"/>
  <c r="R84"/>
  <c r="S84"/>
  <c r="R85"/>
  <c r="R86"/>
  <c r="S86" s="1"/>
  <c r="R87"/>
  <c r="R88"/>
  <c r="S88"/>
  <c r="R89"/>
  <c r="R90"/>
  <c r="S90" s="1"/>
  <c r="R91"/>
  <c r="R92"/>
  <c r="S92"/>
  <c r="R93"/>
  <c r="R94"/>
  <c r="S94" s="1"/>
  <c r="R95"/>
  <c r="R96"/>
  <c r="S96"/>
  <c r="R97"/>
  <c r="R98"/>
  <c r="S98" s="1"/>
  <c r="R99"/>
  <c r="R100"/>
  <c r="S100"/>
  <c r="R101"/>
  <c r="R102"/>
  <c r="S102" s="1"/>
  <c r="R103"/>
  <c r="R104"/>
  <c r="S104"/>
  <c r="R105"/>
  <c r="R106"/>
  <c r="S106" s="1"/>
  <c r="R107"/>
  <c r="R108"/>
  <c r="S108"/>
  <c r="R109"/>
  <c r="R110"/>
  <c r="S110" s="1"/>
  <c r="R111"/>
  <c r="R112"/>
  <c r="S112"/>
  <c r="R113"/>
  <c r="R114"/>
  <c r="S114" s="1"/>
  <c r="R115"/>
  <c r="R116"/>
  <c r="S116"/>
  <c r="R117"/>
  <c r="R118"/>
  <c r="S118" s="1"/>
  <c r="R119"/>
  <c r="R120"/>
  <c r="S120"/>
  <c r="R121"/>
  <c r="R122"/>
  <c r="S122" s="1"/>
  <c r="R123"/>
  <c r="R124"/>
  <c r="S124"/>
  <c r="R125"/>
  <c r="R126"/>
  <c r="S126" s="1"/>
  <c r="R127"/>
  <c r="R128"/>
  <c r="S128"/>
  <c r="R129"/>
  <c r="R130"/>
  <c r="S130" s="1"/>
  <c r="R131"/>
  <c r="R132"/>
  <c r="S132"/>
  <c r="R133"/>
  <c r="R134"/>
  <c r="S134" s="1"/>
  <c r="R135"/>
  <c r="R136"/>
  <c r="S136"/>
  <c r="R137"/>
  <c r="R138"/>
  <c r="S138" s="1"/>
  <c r="R139"/>
  <c r="R140"/>
  <c r="S140"/>
  <c r="R141"/>
  <c r="R142"/>
  <c r="S142" s="1"/>
  <c r="R143"/>
  <c r="R144"/>
  <c r="S144"/>
  <c r="R145"/>
  <c r="R146"/>
  <c r="S146" s="1"/>
  <c r="R147"/>
  <c r="R148"/>
  <c r="S148"/>
  <c r="R149"/>
  <c r="R150"/>
  <c r="S150" s="1"/>
  <c r="R151"/>
  <c r="R152"/>
  <c r="S152"/>
  <c r="R153"/>
  <c r="R154"/>
  <c r="S154" s="1"/>
  <c r="R155"/>
  <c r="R156"/>
  <c r="S156"/>
  <c r="R157"/>
  <c r="R158"/>
  <c r="S158" s="1"/>
  <c r="R159"/>
  <c r="R160"/>
  <c r="S160"/>
  <c r="R161"/>
  <c r="R162"/>
  <c r="S162" s="1"/>
  <c r="R163"/>
  <c r="R164"/>
  <c r="S164"/>
  <c r="R165"/>
  <c r="R166"/>
  <c r="S166" s="1"/>
  <c r="R167"/>
  <c r="R168"/>
  <c r="S168"/>
  <c r="R169"/>
  <c r="R170"/>
  <c r="S170" s="1"/>
  <c r="R171"/>
  <c r="R172"/>
  <c r="S172"/>
  <c r="R173"/>
  <c r="R174"/>
  <c r="S174" s="1"/>
  <c r="R175"/>
  <c r="R176"/>
  <c r="S176"/>
  <c r="R177"/>
  <c r="R178"/>
  <c r="S178" s="1"/>
  <c r="R179"/>
  <c r="R180"/>
  <c r="S180"/>
  <c r="R181"/>
  <c r="R182"/>
  <c r="S182" s="1"/>
  <c r="R183"/>
  <c r="R184"/>
  <c r="S184"/>
  <c r="R185"/>
  <c r="R186"/>
  <c r="S186" s="1"/>
  <c r="R187"/>
  <c r="R188"/>
  <c r="S188"/>
  <c r="R189"/>
  <c r="R190"/>
  <c r="S190" s="1"/>
  <c r="R191"/>
  <c r="R192"/>
  <c r="S192"/>
  <c r="R193"/>
  <c r="R194"/>
  <c r="S194" s="1"/>
  <c r="R195"/>
  <c r="R196"/>
  <c r="S196"/>
  <c r="R197"/>
  <c r="R198"/>
  <c r="S198" s="1"/>
  <c r="R199"/>
  <c r="R200"/>
  <c r="S200"/>
  <c r="R201"/>
  <c r="R202"/>
  <c r="S202" s="1"/>
  <c r="R203"/>
  <c r="R204"/>
  <c r="S204"/>
  <c r="R205"/>
  <c r="R206"/>
  <c r="S206" s="1"/>
  <c r="R207"/>
  <c r="R208"/>
  <c r="S208"/>
  <c r="R209"/>
  <c r="R210"/>
  <c r="S210" s="1"/>
  <c r="R211"/>
  <c r="R212"/>
  <c r="S212"/>
  <c r="R213"/>
  <c r="R214"/>
  <c r="S214" s="1"/>
  <c r="R215"/>
  <c r="R216"/>
  <c r="S216"/>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s="1"/>
  <c r="R429"/>
  <c r="R430"/>
  <c r="S430"/>
  <c r="R431"/>
  <c r="R432"/>
  <c r="S432" s="1"/>
  <c r="R433"/>
  <c r="R434"/>
  <c r="S434"/>
  <c r="R435"/>
  <c r="R436"/>
  <c r="S436" s="1"/>
  <c r="R437"/>
  <c r="R438"/>
  <c r="S438"/>
  <c r="R439"/>
  <c r="R440"/>
  <c r="S440" s="1"/>
  <c r="R441"/>
  <c r="R442"/>
  <c r="S442"/>
  <c r="R443"/>
  <c r="R444"/>
  <c r="S444" s="1"/>
  <c r="R445"/>
  <c r="R446"/>
  <c r="S446"/>
  <c r="R447"/>
  <c r="R448"/>
  <c r="S448" s="1"/>
  <c r="R449"/>
  <c r="R450"/>
  <c r="S450"/>
  <c r="R451"/>
  <c r="R452"/>
  <c r="S452" s="1"/>
  <c r="R453"/>
  <c r="R454"/>
  <c r="S454"/>
  <c r="R455"/>
  <c r="R456"/>
  <c r="S456" s="1"/>
  <c r="R457"/>
  <c r="R458"/>
  <c r="S458"/>
  <c r="R459"/>
  <c r="R460"/>
  <c r="S460" s="1"/>
  <c r="R461"/>
  <c r="R462"/>
  <c r="S462"/>
  <c r="R463"/>
  <c r="R464"/>
  <c r="S464" s="1"/>
  <c r="R465"/>
  <c r="R466"/>
  <c r="S466"/>
  <c r="R467"/>
  <c r="R468"/>
  <c r="S468" s="1"/>
  <c r="R469"/>
  <c r="R470"/>
  <c r="S470"/>
  <c r="R471"/>
  <c r="R472"/>
  <c r="S472" s="1"/>
  <c r="R473"/>
  <c r="R474"/>
  <c r="R475"/>
  <c r="R476"/>
  <c r="R477"/>
  <c r="R478"/>
  <c r="R479"/>
  <c r="R480"/>
  <c r="R481"/>
  <c r="R482"/>
  <c r="R483"/>
  <c r="R484"/>
  <c r="R485"/>
  <c r="R486"/>
  <c r="R487"/>
  <c r="R488"/>
  <c r="R489"/>
  <c r="R490"/>
  <c r="R491"/>
  <c r="R492"/>
  <c r="S492"/>
  <c r="R493"/>
  <c r="R494"/>
  <c r="R495"/>
  <c r="R496"/>
  <c r="R497"/>
  <c r="R498"/>
  <c r="S498" s="1"/>
  <c r="R499"/>
  <c r="R500"/>
  <c r="S500"/>
  <c r="R501"/>
  <c r="R502"/>
  <c r="S502" s="1"/>
  <c r="R503"/>
  <c r="R504"/>
  <c r="S504"/>
  <c r="R505"/>
  <c r="R506"/>
  <c r="S506" s="1"/>
  <c r="R507"/>
  <c r="R508"/>
  <c r="S508"/>
  <c r="R509"/>
  <c r="R510"/>
  <c r="S510" s="1"/>
  <c r="R511"/>
  <c r="R512"/>
  <c r="S512"/>
  <c r="R513"/>
  <c r="R514"/>
  <c r="S514" s="1"/>
  <c r="R515"/>
  <c r="R516"/>
  <c r="S516"/>
  <c r="R517"/>
  <c r="R518"/>
  <c r="S518" s="1"/>
  <c r="R519"/>
  <c r="R520"/>
  <c r="S520"/>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41" i="46" s="1"/>
  <c r="G19" i="4"/>
  <c r="F9" i="1" s="1"/>
  <c r="F19" i="4"/>
  <c r="F8" i="1"/>
  <c r="E19" i="4"/>
  <c r="F7" i="1" s="1"/>
  <c r="I20" i="73" s="1"/>
  <c r="B2" i="52"/>
  <c r="B15" s="1"/>
  <c r="I2" i="46"/>
  <c r="N12" s="1"/>
  <c r="A7"/>
  <c r="F41" i="4"/>
  <c r="J52" i="40" s="1"/>
  <c r="H61" i="49"/>
  <c r="H39" i="46"/>
  <c r="H38"/>
  <c r="H37"/>
  <c r="H36"/>
  <c r="H35"/>
  <c r="H34"/>
  <c r="H33"/>
  <c r="J20"/>
  <c r="C18"/>
  <c r="G17"/>
  <c r="F15"/>
  <c r="E15"/>
  <c r="D15"/>
  <c r="C15"/>
  <c r="C10"/>
  <c r="C11"/>
  <c r="C9"/>
  <c r="E19" i="6"/>
  <c r="E32"/>
  <c r="E20"/>
  <c r="C9" i="72" s="1"/>
  <c r="E21" i="6"/>
  <c r="K8" i="1" s="1"/>
  <c r="E22" i="6"/>
  <c r="E23"/>
  <c r="E24"/>
  <c r="E25"/>
  <c r="E26"/>
  <c r="D38" i="4"/>
  <c r="C39" s="1"/>
  <c r="C35"/>
  <c r="E16" i="12"/>
  <c r="F14"/>
  <c r="F15"/>
  <c r="F17"/>
  <c r="E19"/>
  <c r="E21"/>
  <c r="E22"/>
  <c r="F23"/>
  <c r="F24"/>
  <c r="F25"/>
  <c r="C43" i="9"/>
  <c r="K47" s="1"/>
  <c r="B65" i="63"/>
  <c r="I73" i="9"/>
  <c r="F73"/>
  <c r="P73" s="1"/>
  <c r="D107"/>
  <c r="C107" s="1"/>
  <c r="C105" s="1"/>
  <c r="C110" s="1"/>
  <c r="C17"/>
  <c r="D17"/>
  <c r="F17" i="44"/>
  <c r="F19"/>
  <c r="F22"/>
  <c r="F25"/>
  <c r="D25" s="1"/>
  <c r="F23"/>
  <c r="E16" i="43"/>
  <c r="F14"/>
  <c r="F15"/>
  <c r="F17"/>
  <c r="F19"/>
  <c r="F20"/>
  <c r="F10" i="40"/>
  <c r="AA10"/>
  <c r="F11"/>
  <c r="AA11"/>
  <c r="C21"/>
  <c r="C32"/>
  <c r="F36"/>
  <c r="AA36"/>
  <c r="H10"/>
  <c r="AB10"/>
  <c r="H11"/>
  <c r="AB11"/>
  <c r="H36"/>
  <c r="AB36"/>
  <c r="J10"/>
  <c r="AC10"/>
  <c r="J11"/>
  <c r="AC11"/>
  <c r="J36"/>
  <c r="AC36"/>
  <c r="F10" i="39"/>
  <c r="AA10"/>
  <c r="F11"/>
  <c r="AA1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c r="L75"/>
  <c r="F77"/>
  <c r="P75" s="1"/>
  <c r="O74"/>
  <c r="O73"/>
  <c r="E66"/>
  <c r="O72" s="1"/>
  <c r="F74"/>
  <c r="P74" s="1"/>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2"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s="1"/>
  <c r="G54"/>
  <c r="E54"/>
  <c r="F54" s="1"/>
  <c r="H14" i="3"/>
  <c r="AC14"/>
  <c r="G14"/>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c r="J30" i="36"/>
  <c r="H30"/>
  <c r="U30" s="1"/>
  <c r="F30"/>
  <c r="AA30" s="1"/>
  <c r="C26" i="35"/>
  <c r="C79" s="1"/>
  <c r="J31"/>
  <c r="H31"/>
  <c r="F31"/>
  <c r="D87"/>
  <c r="E87"/>
  <c r="F87" s="1"/>
  <c r="G87"/>
  <c r="H87" s="1"/>
  <c r="I87" s="1"/>
  <c r="J87" s="1"/>
  <c r="K87" s="1"/>
  <c r="L87" s="1"/>
  <c r="M87" s="1"/>
  <c r="H34" i="37"/>
  <c r="AB34"/>
  <c r="D101"/>
  <c r="F34"/>
  <c r="D99"/>
  <c r="E99"/>
  <c r="H42" i="34"/>
  <c r="J42"/>
  <c r="F42"/>
  <c r="J38"/>
  <c r="D114"/>
  <c r="F38"/>
  <c r="D112"/>
  <c r="E112"/>
  <c r="F112" s="1"/>
  <c r="G112"/>
  <c r="H112" s="1"/>
  <c r="I112" s="1"/>
  <c r="J112" s="1"/>
  <c r="K112" s="1"/>
  <c r="L112" s="1"/>
  <c r="M112" s="1"/>
  <c r="F40" i="33"/>
  <c r="J41"/>
  <c r="AC41" s="1"/>
  <c r="D113"/>
  <c r="D111"/>
  <c r="E111" s="1"/>
  <c r="F111" s="1"/>
  <c r="S515" i="31"/>
  <c r="S517"/>
  <c r="S519"/>
  <c r="S521"/>
  <c r="S523"/>
  <c r="F41" i="21"/>
  <c r="J41"/>
  <c r="AC41" s="1"/>
  <c r="H41"/>
  <c r="U41" s="1"/>
  <c r="D83" i="39"/>
  <c r="E83"/>
  <c r="F83" s="1"/>
  <c r="G83"/>
  <c r="H83" s="1"/>
  <c r="I83" s="1"/>
  <c r="J83" s="1"/>
  <c r="K83" s="1"/>
  <c r="L83" s="1"/>
  <c r="M83" s="1"/>
  <c r="D78" i="40"/>
  <c r="F13"/>
  <c r="S13" s="1"/>
  <c r="B122"/>
  <c r="F42" s="1"/>
  <c r="AA42" s="1"/>
  <c r="B120"/>
  <c r="B118"/>
  <c r="F40" s="1"/>
  <c r="AA40"/>
  <c r="D117"/>
  <c r="E117"/>
  <c r="F117" s="1"/>
  <c r="G117" s="1"/>
  <c r="H117" s="1"/>
  <c r="I117" s="1"/>
  <c r="J117" s="1"/>
  <c r="K117" s="1"/>
  <c r="L117" s="1"/>
  <c r="M117" s="1"/>
  <c r="D115"/>
  <c r="J38"/>
  <c r="AC38" s="1"/>
  <c r="E115"/>
  <c r="F115" s="1"/>
  <c r="G115"/>
  <c r="H115" s="1"/>
  <c r="I115" s="1"/>
  <c r="J115" s="1"/>
  <c r="K115" s="1"/>
  <c r="L115" s="1"/>
  <c r="M115" s="1"/>
  <c r="H38"/>
  <c r="AB38"/>
  <c r="D113"/>
  <c r="E113"/>
  <c r="F113" s="1"/>
  <c r="M109"/>
  <c r="L109"/>
  <c r="K109"/>
  <c r="J109"/>
  <c r="I109"/>
  <c r="H109"/>
  <c r="G109"/>
  <c r="F109"/>
  <c r="E109"/>
  <c r="D109"/>
  <c r="C109"/>
  <c r="B107"/>
  <c r="B105"/>
  <c r="F34" s="1"/>
  <c r="AA34" s="1"/>
  <c r="B103"/>
  <c r="D102"/>
  <c r="E102" s="1"/>
  <c r="F102"/>
  <c r="G102" s="1"/>
  <c r="H102" s="1"/>
  <c r="I102" s="1"/>
  <c r="J102" s="1"/>
  <c r="K102" s="1"/>
  <c r="L102" s="1"/>
  <c r="M102" s="1"/>
  <c r="D100"/>
  <c r="E100" s="1"/>
  <c r="D98"/>
  <c r="E98" s="1"/>
  <c r="B97"/>
  <c r="D94"/>
  <c r="D92"/>
  <c r="D90"/>
  <c r="H21"/>
  <c r="AB21" s="1"/>
  <c r="D88"/>
  <c r="E88" s="1"/>
  <c r="D86"/>
  <c r="E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c r="G126" s="1"/>
  <c r="H126" s="1"/>
  <c r="I126" s="1"/>
  <c r="J126" s="1"/>
  <c r="K126" s="1"/>
  <c r="L126" s="1"/>
  <c r="M126" s="1"/>
  <c r="D122"/>
  <c r="E122" s="1"/>
  <c r="F122" s="1"/>
  <c r="G122" s="1"/>
  <c r="H122" s="1"/>
  <c r="I122" s="1"/>
  <c r="J122" s="1"/>
  <c r="K122" s="1"/>
  <c r="L122" s="1"/>
  <c r="M122" s="1"/>
  <c r="B116"/>
  <c r="D111"/>
  <c r="E111"/>
  <c r="F111" s="1"/>
  <c r="G111"/>
  <c r="H111" s="1"/>
  <c r="I111" s="1"/>
  <c r="J111" s="1"/>
  <c r="K111" s="1"/>
  <c r="L111" s="1"/>
  <c r="M111" s="1"/>
  <c r="D109"/>
  <c r="E109"/>
  <c r="F109" s="1"/>
  <c r="G109"/>
  <c r="H109" s="1"/>
  <c r="I109" s="1"/>
  <c r="J109" s="1"/>
  <c r="K109" s="1"/>
  <c r="L109" s="1"/>
  <c r="M109" s="1"/>
  <c r="D107"/>
  <c r="E107"/>
  <c r="F107" s="1"/>
  <c r="G107"/>
  <c r="H107" s="1"/>
  <c r="I107" s="1"/>
  <c r="J107" s="1"/>
  <c r="K107" s="1"/>
  <c r="L107" s="1"/>
  <c r="M107" s="1"/>
  <c r="D103"/>
  <c r="D101"/>
  <c r="E101" s="1"/>
  <c r="F101"/>
  <c r="G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c r="F124" s="1"/>
  <c r="G124" s="1"/>
  <c r="H124" s="1"/>
  <c r="I124" s="1"/>
  <c r="J124" s="1"/>
  <c r="K124" s="1"/>
  <c r="L124" s="1"/>
  <c r="M124" s="1"/>
  <c r="B106"/>
  <c r="D99"/>
  <c r="E99" s="1"/>
  <c r="F99" s="1"/>
  <c r="G99" s="1"/>
  <c r="D97"/>
  <c r="D95"/>
  <c r="E95"/>
  <c r="F95" s="1"/>
  <c r="G95" s="1"/>
  <c r="D93"/>
  <c r="E93"/>
  <c r="F93" s="1"/>
  <c r="G93"/>
  <c r="D91"/>
  <c r="E91"/>
  <c r="F91" s="1"/>
  <c r="G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s="1"/>
  <c r="B110"/>
  <c r="J39" s="1"/>
  <c r="AC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H26" s="1"/>
  <c r="AB26" s="1"/>
  <c r="D79"/>
  <c r="E79"/>
  <c r="D75"/>
  <c r="E75"/>
  <c r="F75" s="1"/>
  <c r="D73"/>
  <c r="E73" s="1"/>
  <c r="F73"/>
  <c r="G73" s="1"/>
  <c r="D71"/>
  <c r="E71" s="1"/>
  <c r="F71"/>
  <c r="G71" s="1"/>
  <c r="F15"/>
  <c r="AA15"/>
  <c r="B68"/>
  <c r="H14"/>
  <c r="U14" s="1"/>
  <c r="B66"/>
  <c r="B64"/>
  <c r="D63"/>
  <c r="E63" s="1"/>
  <c r="F63" s="1"/>
  <c r="G63" s="1"/>
  <c r="H63" s="1"/>
  <c r="I63" s="1"/>
  <c r="J63" s="1"/>
  <c r="K63" s="1"/>
  <c r="L63" s="1"/>
  <c r="M63" s="1"/>
  <c r="M61"/>
  <c r="L61"/>
  <c r="K61"/>
  <c r="J61"/>
  <c r="I61"/>
  <c r="H61"/>
  <c r="G61"/>
  <c r="F61"/>
  <c r="E61"/>
  <c r="D61"/>
  <c r="C61"/>
  <c r="F60"/>
  <c r="G60"/>
  <c r="H60" s="1"/>
  <c r="I60" s="1"/>
  <c r="H10"/>
  <c r="U10"/>
  <c r="C57"/>
  <c r="P43"/>
  <c r="P42"/>
  <c r="V41"/>
  <c r="T41"/>
  <c r="R41"/>
  <c r="P41"/>
  <c r="Q40"/>
  <c r="Z40" s="1"/>
  <c r="Q39"/>
  <c r="Z39" s="1"/>
  <c r="Q38"/>
  <c r="Z38" s="1"/>
  <c r="Q37"/>
  <c r="Z37" s="1"/>
  <c r="Q36"/>
  <c r="Z36" s="1"/>
  <c r="Q35"/>
  <c r="Z35" s="1"/>
  <c r="Q34"/>
  <c r="Z34" s="1"/>
  <c r="Q33"/>
  <c r="Z33" s="1"/>
  <c r="Q32"/>
  <c r="Z32" s="1"/>
  <c r="Q31"/>
  <c r="Z31" s="1"/>
  <c r="J31"/>
  <c r="Q30"/>
  <c r="Z30"/>
  <c r="J30"/>
  <c r="W30"/>
  <c r="H30"/>
  <c r="AB30"/>
  <c r="F30"/>
  <c r="Q29"/>
  <c r="Z29" s="1"/>
  <c r="H29"/>
  <c r="U29" s="1"/>
  <c r="Q28"/>
  <c r="Z28" s="1"/>
  <c r="Q27"/>
  <c r="Z27" s="1"/>
  <c r="Q26"/>
  <c r="Z26" s="1"/>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s="1"/>
  <c r="G81" s="1"/>
  <c r="H81" s="1"/>
  <c r="I81" s="1"/>
  <c r="J81" s="1"/>
  <c r="K81" s="1"/>
  <c r="L81" s="1"/>
  <c r="M81" s="1"/>
  <c r="F79"/>
  <c r="E79"/>
  <c r="D79"/>
  <c r="C79"/>
  <c r="B93"/>
  <c r="B91"/>
  <c r="F32" s="1"/>
  <c r="S32" s="1"/>
  <c r="B95"/>
  <c r="H34"/>
  <c r="D83"/>
  <c r="E83"/>
  <c r="F83" s="1"/>
  <c r="G83" s="1"/>
  <c r="H83" s="1"/>
  <c r="I83" s="1"/>
  <c r="J83" s="1"/>
  <c r="K83" s="1"/>
  <c r="L83" s="1"/>
  <c r="M83" s="1"/>
  <c r="D78"/>
  <c r="J26"/>
  <c r="W26" s="1"/>
  <c r="B75"/>
  <c r="B73"/>
  <c r="J24"/>
  <c r="W24" s="1"/>
  <c r="B71"/>
  <c r="D70"/>
  <c r="H22"/>
  <c r="AB22" s="1"/>
  <c r="D68"/>
  <c r="E68" s="1"/>
  <c r="D64"/>
  <c r="E64" s="1"/>
  <c r="F64" s="1"/>
  <c r="G64" s="1"/>
  <c r="J16"/>
  <c r="D62"/>
  <c r="E62"/>
  <c r="B59"/>
  <c r="B57"/>
  <c r="J12" s="1"/>
  <c r="W12" s="1"/>
  <c r="B55"/>
  <c r="F54"/>
  <c r="G54"/>
  <c r="H54" s="1"/>
  <c r="I54" s="1"/>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B99"/>
  <c r="B97"/>
  <c r="J34" s="1"/>
  <c r="AC34" s="1"/>
  <c r="B77"/>
  <c r="B75"/>
  <c r="J24" s="1"/>
  <c r="B73"/>
  <c r="B57"/>
  <c r="B61"/>
  <c r="B59"/>
  <c r="H12" s="1"/>
  <c r="B131" i="34"/>
  <c r="B129"/>
  <c r="B127"/>
  <c r="B99"/>
  <c r="B97"/>
  <c r="B95"/>
  <c r="B93"/>
  <c r="B75"/>
  <c r="B73"/>
  <c r="B71"/>
  <c r="B130" i="33"/>
  <c r="B128"/>
  <c r="H45"/>
  <c r="U45" s="1"/>
  <c r="B126"/>
  <c r="H44" s="1"/>
  <c r="B98"/>
  <c r="F31" s="1"/>
  <c r="B96"/>
  <c r="B94"/>
  <c r="B74"/>
  <c r="B72"/>
  <c r="B70"/>
  <c r="H12" s="1"/>
  <c r="U12" s="1"/>
  <c r="D96" i="35"/>
  <c r="E96"/>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P39"/>
  <c r="P38"/>
  <c r="V37"/>
  <c r="T37"/>
  <c r="R37"/>
  <c r="P37"/>
  <c r="Q36"/>
  <c r="Z36"/>
  <c r="J36"/>
  <c r="AC36"/>
  <c r="Q35"/>
  <c r="Z35"/>
  <c r="Q34"/>
  <c r="Z34"/>
  <c r="Q33"/>
  <c r="Z33"/>
  <c r="Q32"/>
  <c r="Z32"/>
  <c r="H32"/>
  <c r="AB32"/>
  <c r="F32"/>
  <c r="AA32"/>
  <c r="Q31"/>
  <c r="Z31"/>
  <c r="AC31"/>
  <c r="AB31"/>
  <c r="AA31"/>
  <c r="Q30"/>
  <c r="Z30" s="1"/>
  <c r="Q29"/>
  <c r="Z29" s="1"/>
  <c r="Q28"/>
  <c r="Z28" s="1"/>
  <c r="J28"/>
  <c r="H28"/>
  <c r="F28"/>
  <c r="AA28" s="1"/>
  <c r="Q27"/>
  <c r="Z27" s="1"/>
  <c r="Q26"/>
  <c r="Z26" s="1"/>
  <c r="Q25"/>
  <c r="Z25" s="1"/>
  <c r="Q24"/>
  <c r="Z24" s="1"/>
  <c r="Q23"/>
  <c r="Z23" s="1"/>
  <c r="J23"/>
  <c r="AC23" s="1"/>
  <c r="Q22"/>
  <c r="Z22" s="1"/>
  <c r="Q20"/>
  <c r="Z20" s="1"/>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c r="H67" s="1"/>
  <c r="I67" s="1"/>
  <c r="H10"/>
  <c r="AB10"/>
  <c r="D126"/>
  <c r="E126"/>
  <c r="F126" s="1"/>
  <c r="G126" s="1"/>
  <c r="D124"/>
  <c r="E124"/>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F28"/>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c r="Q37"/>
  <c r="Z37"/>
  <c r="Q36"/>
  <c r="Z36"/>
  <c r="Q35"/>
  <c r="Z35"/>
  <c r="Q34"/>
  <c r="Z34"/>
  <c r="J34"/>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Q11"/>
  <c r="Z11"/>
  <c r="Q10"/>
  <c r="Z10"/>
  <c r="F10"/>
  <c r="AA10"/>
  <c r="Q9"/>
  <c r="Z9"/>
  <c r="J9"/>
  <c r="AC9"/>
  <c r="H9"/>
  <c r="AB9"/>
  <c r="F9"/>
  <c r="AA9"/>
  <c r="J8"/>
  <c r="AC8"/>
  <c r="H8"/>
  <c r="U8"/>
  <c r="F8"/>
  <c r="AA8"/>
  <c r="C7"/>
  <c r="D121" i="33"/>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c r="F108" s="1"/>
  <c r="G108" s="1"/>
  <c r="H108" s="1"/>
  <c r="I108" s="1"/>
  <c r="J108" s="1"/>
  <c r="K108" s="1"/>
  <c r="L108" s="1"/>
  <c r="M108" s="1"/>
  <c r="D106"/>
  <c r="M102"/>
  <c r="L102"/>
  <c r="K102"/>
  <c r="J102"/>
  <c r="I102"/>
  <c r="H102"/>
  <c r="G102"/>
  <c r="F102"/>
  <c r="E102"/>
  <c r="D102"/>
  <c r="C102"/>
  <c r="D101"/>
  <c r="E101" s="1"/>
  <c r="B92"/>
  <c r="B90"/>
  <c r="D87"/>
  <c r="E87" s="1"/>
  <c r="F87" s="1"/>
  <c r="G87" s="1"/>
  <c r="H87" s="1"/>
  <c r="I87" s="1"/>
  <c r="J87" s="1"/>
  <c r="K87" s="1"/>
  <c r="L87" s="1"/>
  <c r="M87" s="1"/>
  <c r="D85"/>
  <c r="E85"/>
  <c r="D81"/>
  <c r="E81"/>
  <c r="F81" s="1"/>
  <c r="G81" s="1"/>
  <c r="D79"/>
  <c r="E79" s="1"/>
  <c r="D77"/>
  <c r="E77" s="1"/>
  <c r="D69"/>
  <c r="E69" s="1"/>
  <c r="F69" s="1"/>
  <c r="G69" s="1"/>
  <c r="H69" s="1"/>
  <c r="I69" s="1"/>
  <c r="J69" s="1"/>
  <c r="K69" s="1"/>
  <c r="L69" s="1"/>
  <c r="M69" s="1"/>
  <c r="M67"/>
  <c r="L67"/>
  <c r="K67"/>
  <c r="J67"/>
  <c r="I67"/>
  <c r="H67"/>
  <c r="G67"/>
  <c r="F67"/>
  <c r="E67"/>
  <c r="D67"/>
  <c r="C67"/>
  <c r="G66"/>
  <c r="C63"/>
  <c r="H54"/>
  <c r="P49"/>
  <c r="P48"/>
  <c r="V47"/>
  <c r="T47"/>
  <c r="R47"/>
  <c r="P47"/>
  <c r="Q46"/>
  <c r="Z46"/>
  <c r="Q45"/>
  <c r="Z45"/>
  <c r="Q44"/>
  <c r="Z44" s="1"/>
  <c r="Q43"/>
  <c r="Z43" s="1"/>
  <c r="Q42"/>
  <c r="Z42" s="1"/>
  <c r="J42"/>
  <c r="AC42" s="1"/>
  <c r="W41"/>
  <c r="Q41"/>
  <c r="Z41" s="1"/>
  <c r="Q40"/>
  <c r="Z40" s="1"/>
  <c r="J40"/>
  <c r="AC40" s="1"/>
  <c r="H40"/>
  <c r="AA40"/>
  <c r="Q39"/>
  <c r="Z39" s="1"/>
  <c r="J39"/>
  <c r="AC39" s="1"/>
  <c r="Q38"/>
  <c r="Z38" s="1"/>
  <c r="J38"/>
  <c r="AC38" s="1"/>
  <c r="H38"/>
  <c r="AB38" s="1"/>
  <c r="F38"/>
  <c r="AA38" s="1"/>
  <c r="Q37"/>
  <c r="Z37"/>
  <c r="Q36"/>
  <c r="Z36"/>
  <c r="Q35"/>
  <c r="Z35"/>
  <c r="H35"/>
  <c r="AB35" s="1"/>
  <c r="Q34"/>
  <c r="Z34" s="1"/>
  <c r="Q33"/>
  <c r="Z33" s="1"/>
  <c r="J33"/>
  <c r="AC33" s="1"/>
  <c r="H33"/>
  <c r="AB33" s="1"/>
  <c r="F33"/>
  <c r="AA33" s="1"/>
  <c r="Q32"/>
  <c r="Z32"/>
  <c r="Q31"/>
  <c r="Z31" s="1"/>
  <c r="Q30"/>
  <c r="Z30" s="1"/>
  <c r="Q29"/>
  <c r="Z29" s="1"/>
  <c r="Q28"/>
  <c r="Z28"/>
  <c r="Q27"/>
  <c r="Z27"/>
  <c r="Q26"/>
  <c r="Z26"/>
  <c r="Q25"/>
  <c r="Z25"/>
  <c r="Q23"/>
  <c r="Z23"/>
  <c r="Q19"/>
  <c r="Z19"/>
  <c r="Q17"/>
  <c r="Z17"/>
  <c r="Q15"/>
  <c r="Z15"/>
  <c r="Q14"/>
  <c r="Z14" s="1"/>
  <c r="Q13"/>
  <c r="Z13" s="1"/>
  <c r="Q12"/>
  <c r="Z12" s="1"/>
  <c r="J12"/>
  <c r="W12" s="1"/>
  <c r="F12"/>
  <c r="S12" s="1"/>
  <c r="Q11"/>
  <c r="Z11" s="1"/>
  <c r="Q10"/>
  <c r="Z10" s="1"/>
  <c r="Q9"/>
  <c r="Z9" s="1"/>
  <c r="J9"/>
  <c r="AC9" s="1"/>
  <c r="H9"/>
  <c r="AB9" s="1"/>
  <c r="F9"/>
  <c r="AA9" s="1"/>
  <c r="J8"/>
  <c r="W8"/>
  <c r="H8"/>
  <c r="F8"/>
  <c r="C7"/>
  <c r="C58" s="1"/>
  <c r="M102" i="21"/>
  <c r="D102"/>
  <c r="E102"/>
  <c r="F102"/>
  <c r="G102"/>
  <c r="H102"/>
  <c r="I102"/>
  <c r="J102"/>
  <c r="K102"/>
  <c r="L102"/>
  <c r="C102"/>
  <c r="C63"/>
  <c r="F9"/>
  <c r="S9" s="1"/>
  <c r="G18" i="20"/>
  <c r="B87" i="73" s="1"/>
  <c r="B87" i="46"/>
  <c r="C25" i="40"/>
  <c r="G16" i="20"/>
  <c r="B81" i="73" s="1"/>
  <c r="G15" i="20"/>
  <c r="B80" i="73" s="1"/>
  <c r="C24" i="20"/>
  <c r="B72" i="46" s="1"/>
  <c r="C21" i="20"/>
  <c r="B73" i="46" s="1"/>
  <c r="C20" i="20"/>
  <c r="C18"/>
  <c r="B70" i="46"/>
  <c r="C17" i="20"/>
  <c r="B58" i="73" s="1"/>
  <c r="C16" i="20"/>
  <c r="B47" i="73" s="1"/>
  <c r="C15" i="20"/>
  <c r="E54" i="21"/>
  <c r="F54" s="1"/>
  <c r="I54"/>
  <c r="J54" s="1"/>
  <c r="G54"/>
  <c r="H54" s="1"/>
  <c r="D125"/>
  <c r="E125"/>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D110"/>
  <c r="E110"/>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D85"/>
  <c r="E85"/>
  <c r="D81"/>
  <c r="E81"/>
  <c r="F81" s="1"/>
  <c r="G81" s="1"/>
  <c r="D77"/>
  <c r="E77"/>
  <c r="B130"/>
  <c r="B128"/>
  <c r="B126"/>
  <c r="B98"/>
  <c r="B96"/>
  <c r="B94"/>
  <c r="B92"/>
  <c r="B90"/>
  <c r="B74"/>
  <c r="B72"/>
  <c r="B70"/>
  <c r="F12"/>
  <c r="F10"/>
  <c r="AA10" s="1"/>
  <c r="C7"/>
  <c r="C58" s="1"/>
  <c r="C19"/>
  <c r="C17"/>
  <c r="C23"/>
  <c r="Q9"/>
  <c r="Z9" s="1"/>
  <c r="Q10"/>
  <c r="Z10" s="1"/>
  <c r="Q11"/>
  <c r="Z11" s="1"/>
  <c r="Q12"/>
  <c r="Z12" s="1"/>
  <c r="Q13"/>
  <c r="Z13" s="1"/>
  <c r="Q14"/>
  <c r="Z14" s="1"/>
  <c r="Q15"/>
  <c r="Z15" s="1"/>
  <c r="Q17"/>
  <c r="Z17" s="1"/>
  <c r="Q19"/>
  <c r="Z19" s="1"/>
  <c r="Q23"/>
  <c r="Z23" s="1"/>
  <c r="Q25"/>
  <c r="Z25" s="1"/>
  <c r="Q26"/>
  <c r="Z26"/>
  <c r="Q27"/>
  <c r="Z27"/>
  <c r="Q28"/>
  <c r="Z28" s="1"/>
  <c r="Q29"/>
  <c r="Z29" s="1"/>
  <c r="Q30"/>
  <c r="Z30"/>
  <c r="Q31"/>
  <c r="Z31"/>
  <c r="Q32"/>
  <c r="Z32"/>
  <c r="Q33"/>
  <c r="Z33" s="1"/>
  <c r="Q34"/>
  <c r="Z34" s="1"/>
  <c r="J35"/>
  <c r="W35" s="1"/>
  <c r="Q35"/>
  <c r="Z35" s="1"/>
  <c r="Q36"/>
  <c r="Z36"/>
  <c r="Q37"/>
  <c r="Z37" s="1"/>
  <c r="J38"/>
  <c r="W38" s="1"/>
  <c r="Q38"/>
  <c r="Z38"/>
  <c r="J39"/>
  <c r="AC39" s="1"/>
  <c r="Q39"/>
  <c r="Z39" s="1"/>
  <c r="Q40"/>
  <c r="Z40" s="1"/>
  <c r="Q41"/>
  <c r="Z41" s="1"/>
  <c r="Q42"/>
  <c r="Z42" s="1"/>
  <c r="J43"/>
  <c r="AC43" s="1"/>
  <c r="Q43"/>
  <c r="Z43"/>
  <c r="Q44"/>
  <c r="Z44" s="1"/>
  <c r="Q45"/>
  <c r="Z45" s="1"/>
  <c r="Q46"/>
  <c r="Z46"/>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s="1"/>
  <c r="H571"/>
  <c r="G571" s="1"/>
  <c r="H572"/>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W39"/>
  <c r="F29" i="36"/>
  <c r="AA29"/>
  <c r="F16"/>
  <c r="AA16"/>
  <c r="U22"/>
  <c r="W23"/>
  <c r="W22"/>
  <c r="U26"/>
  <c r="AC31"/>
  <c r="J33"/>
  <c r="W33" s="1"/>
  <c r="AC27" i="35"/>
  <c r="U31"/>
  <c r="W36"/>
  <c r="S31"/>
  <c r="W31"/>
  <c r="F36" i="34"/>
  <c r="S36" s="1"/>
  <c r="W9"/>
  <c r="S34"/>
  <c r="W39"/>
  <c r="H39" i="33"/>
  <c r="AB39" s="1"/>
  <c r="F26"/>
  <c r="AA26" s="1"/>
  <c r="U33"/>
  <c r="S40"/>
  <c r="S33"/>
  <c r="W33"/>
  <c r="S8" i="21"/>
  <c r="W8"/>
  <c r="H39" i="37"/>
  <c r="AB39"/>
  <c r="AB27" i="35"/>
  <c r="S10" i="40"/>
  <c r="W10"/>
  <c r="S11"/>
  <c r="U11"/>
  <c r="S36"/>
  <c r="U36"/>
  <c r="S40" i="39"/>
  <c r="S36"/>
  <c r="F11" i="21"/>
  <c r="S11" s="1"/>
  <c r="C29" i="39"/>
  <c r="C23"/>
  <c r="U36"/>
  <c r="S42"/>
  <c r="H11" i="21"/>
  <c r="U11" s="1"/>
  <c r="J11"/>
  <c r="W11" s="1"/>
  <c r="F100" i="40"/>
  <c r="F86"/>
  <c r="G86" s="1"/>
  <c r="AA12" i="33"/>
  <c r="J27" i="36"/>
  <c r="W27" s="1"/>
  <c r="J34"/>
  <c r="W34" s="1"/>
  <c r="J30" i="35"/>
  <c r="W30" s="1"/>
  <c r="F22"/>
  <c r="AA22" s="1"/>
  <c r="H10"/>
  <c r="U10" s="1"/>
  <c r="AC24" i="36"/>
  <c r="U29"/>
  <c r="U24"/>
  <c r="E85"/>
  <c r="F85"/>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c r="J10"/>
  <c r="AC10"/>
  <c r="U9"/>
  <c r="W8"/>
  <c r="J28"/>
  <c r="W28"/>
  <c r="S38" i="33"/>
  <c r="E113"/>
  <c r="F37" s="1"/>
  <c r="AA37" s="1"/>
  <c r="F19"/>
  <c r="S19" s="1"/>
  <c r="J19"/>
  <c r="AC19" s="1"/>
  <c r="S10" i="21"/>
  <c r="W40" i="33"/>
  <c r="F125" i="21"/>
  <c r="G125"/>
  <c r="AB30" i="36"/>
  <c r="S22" i="35"/>
  <c r="H29"/>
  <c r="U34" i="37"/>
  <c r="S34"/>
  <c r="AA34"/>
  <c r="AC43" i="34"/>
  <c r="AB42"/>
  <c r="AB40"/>
  <c r="W36"/>
  <c r="J19"/>
  <c r="AC19"/>
  <c r="S37" i="33"/>
  <c r="W43" i="34"/>
  <c r="AC42"/>
  <c r="W42"/>
  <c r="AA42"/>
  <c r="S42"/>
  <c r="AC38"/>
  <c r="W38"/>
  <c r="AA38"/>
  <c r="S38"/>
  <c r="J37" i="33"/>
  <c r="W37" s="1"/>
  <c r="J42" i="21"/>
  <c r="AC42" s="1"/>
  <c r="J44" i="34"/>
  <c r="AC44" s="1"/>
  <c r="F44"/>
  <c r="S44" s="1"/>
  <c r="J10" i="35"/>
  <c r="W10" s="1"/>
  <c r="AL5" i="3"/>
  <c r="BQ13"/>
  <c r="BL572"/>
  <c r="J14" i="21"/>
  <c r="W14" s="1"/>
  <c r="F14"/>
  <c r="AA14"/>
  <c r="H14"/>
  <c r="U14" s="1"/>
  <c r="H28"/>
  <c r="AB28" s="1"/>
  <c r="F28"/>
  <c r="S28" s="1"/>
  <c r="J28"/>
  <c r="AC28" s="1"/>
  <c r="H30"/>
  <c r="U30" s="1"/>
  <c r="F30"/>
  <c r="S30" s="1"/>
  <c r="J30"/>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s="1"/>
  <c r="J13"/>
  <c r="AC13" s="1"/>
  <c r="F13"/>
  <c r="AA13" s="1"/>
  <c r="H27"/>
  <c r="AB27" s="1"/>
  <c r="J27"/>
  <c r="W27" s="1"/>
  <c r="F27"/>
  <c r="AA27" s="1"/>
  <c r="J29"/>
  <c r="AC29"/>
  <c r="H29"/>
  <c r="U29" s="1"/>
  <c r="F29"/>
  <c r="S29" s="1"/>
  <c r="J31"/>
  <c r="AC31" s="1"/>
  <c r="H31"/>
  <c r="U31" s="1"/>
  <c r="F31"/>
  <c r="S31" s="1"/>
  <c r="J45"/>
  <c r="W45" s="1"/>
  <c r="F45"/>
  <c r="AA45" s="1"/>
  <c r="H45"/>
  <c r="U45" s="1"/>
  <c r="F13" i="33"/>
  <c r="S13" s="1"/>
  <c r="J29"/>
  <c r="W29" s="1"/>
  <c r="J31"/>
  <c r="AC31" s="1"/>
  <c r="H31"/>
  <c r="U31" s="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s="1"/>
  <c r="H30"/>
  <c r="AB30" s="1"/>
  <c r="F30"/>
  <c r="S30" s="1"/>
  <c r="J30"/>
  <c r="J44"/>
  <c r="AC44" s="1"/>
  <c r="J46"/>
  <c r="AC46" s="1"/>
  <c r="F46"/>
  <c r="AA46" s="1"/>
  <c r="H46"/>
  <c r="AB46" s="1"/>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s="1"/>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c r="F23"/>
  <c r="S23"/>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D3" i="21"/>
  <c r="AC33" i="36"/>
  <c r="AC12" i="35"/>
  <c r="W23"/>
  <c r="AC23" i="37"/>
  <c r="S27"/>
  <c r="U39"/>
  <c r="AC8"/>
  <c r="S25"/>
  <c r="AC36" i="34"/>
  <c r="AB8"/>
  <c r="AC37" i="33"/>
  <c r="AC45"/>
  <c r="AC33" i="21"/>
  <c r="F43" i="33"/>
  <c r="AA43" s="1"/>
  <c r="AA23" i="37"/>
  <c r="S10" i="35"/>
  <c r="G107" i="37"/>
  <c r="H107"/>
  <c r="I107" s="1"/>
  <c r="J107" s="1"/>
  <c r="K107" s="1"/>
  <c r="L107" s="1"/>
  <c r="M10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c r="U31"/>
  <c r="E90" i="40"/>
  <c r="F90" s="1"/>
  <c r="G90" s="1"/>
  <c r="F21"/>
  <c r="S21"/>
  <c r="W36"/>
  <c r="U40" i="39"/>
  <c r="J21" i="40"/>
  <c r="AC21" s="1"/>
  <c r="S27" i="31"/>
  <c r="G483" i="3"/>
  <c r="G515"/>
  <c r="G507"/>
  <c r="G501"/>
  <c r="BA15"/>
  <c r="BL17"/>
  <c r="BL15"/>
  <c r="BA14"/>
  <c r="AZ14" s="1"/>
  <c r="BT5"/>
  <c r="J57" i="39"/>
  <c r="H13" i="40"/>
  <c r="U13"/>
  <c r="H12" i="48"/>
  <c r="I4" i="4"/>
  <c r="K141" i="21"/>
  <c r="K143"/>
  <c r="K144"/>
  <c r="I59" i="40"/>
  <c r="C59" s="1"/>
  <c r="I60"/>
  <c r="C60" s="1"/>
  <c r="W9" i="33"/>
  <c r="G297" i="3"/>
  <c r="BL298"/>
  <c r="G299"/>
  <c r="BL300"/>
  <c r="AZ300" s="1"/>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9"/>
  <c r="AZ43"/>
  <c r="AZ55"/>
  <c r="AZ59"/>
  <c r="G537"/>
  <c r="BL181"/>
  <c r="AZ181"/>
  <c r="G182"/>
  <c r="BA184"/>
  <c r="AZ184" s="1"/>
  <c r="BL185"/>
  <c r="G186"/>
  <c r="BA188"/>
  <c r="AZ188" s="1"/>
  <c r="BL189"/>
  <c r="AZ189" s="1"/>
  <c r="G190"/>
  <c r="BA192"/>
  <c r="AZ192"/>
  <c r="BL193"/>
  <c r="AZ193"/>
  <c r="G194"/>
  <c r="BA196"/>
  <c r="AZ196" s="1"/>
  <c r="BL197"/>
  <c r="AZ197" s="1"/>
  <c r="G198"/>
  <c r="BA200"/>
  <c r="AZ200"/>
  <c r="BL201"/>
  <c r="AZ70"/>
  <c r="AZ74"/>
  <c r="AZ185"/>
  <c r="AZ201"/>
  <c r="AZ84"/>
  <c r="AZ90"/>
  <c r="AZ94"/>
  <c r="AZ106"/>
  <c r="AZ110"/>
  <c r="G491"/>
  <c r="BA298"/>
  <c r="AZ298" s="1"/>
  <c r="BA299"/>
  <c r="AZ299" s="1"/>
  <c r="BL299"/>
  <c r="G300"/>
  <c r="G303"/>
  <c r="BL304"/>
  <c r="BA306"/>
  <c r="AZ306" s="1"/>
  <c r="BA307"/>
  <c r="BL307"/>
  <c r="AZ307"/>
  <c r="G308"/>
  <c r="G319"/>
  <c r="BL320"/>
  <c r="BA322"/>
  <c r="AZ322" s="1"/>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s="1"/>
  <c r="G78" s="1"/>
  <c r="H78" s="1"/>
  <c r="I78" s="1"/>
  <c r="J78" s="1"/>
  <c r="K78" s="1"/>
  <c r="L78" s="1"/>
  <c r="M78" s="1"/>
  <c r="BH5" i="3"/>
  <c r="R16" i="4"/>
  <c r="P16"/>
  <c r="D3" i="35"/>
  <c r="G4" i="4"/>
  <c r="S37" i="34"/>
  <c r="J16" i="35"/>
  <c r="W16"/>
  <c r="AC26" i="36"/>
  <c r="W25" i="35"/>
  <c r="AZ354" i="3"/>
  <c r="H13" i="39"/>
  <c r="AB13" s="1"/>
  <c r="F13"/>
  <c r="J13"/>
  <c r="AC13"/>
  <c r="H11" i="37"/>
  <c r="AB11" s="1"/>
  <c r="W37"/>
  <c r="AA30" i="33"/>
  <c r="AA36" i="37"/>
  <c r="AB17"/>
  <c r="AZ516" i="3"/>
  <c r="AZ524"/>
  <c r="AZ532"/>
  <c r="AZ546"/>
  <c r="AA45" i="33"/>
  <c r="AC11" i="36"/>
  <c r="AC10"/>
  <c r="AB45" i="34"/>
  <c r="AC14" i="37"/>
  <c r="AB35" i="35"/>
  <c r="S25"/>
  <c r="AC30" i="33"/>
  <c r="W30"/>
  <c r="AC29" i="37"/>
  <c r="W32" i="36"/>
  <c r="AC32"/>
  <c r="AB28" i="33"/>
  <c r="J33" i="34"/>
  <c r="AC33"/>
  <c r="AB36"/>
  <c r="J40"/>
  <c r="W40" s="1"/>
  <c r="F16" i="35"/>
  <c r="AA16" s="1"/>
  <c r="S24" i="36"/>
  <c r="W42" i="33"/>
  <c r="J35" i="34"/>
  <c r="W35" s="1"/>
  <c r="F107"/>
  <c r="G107" s="1"/>
  <c r="H107" s="1"/>
  <c r="I107" s="1"/>
  <c r="J107" s="1"/>
  <c r="K107" s="1"/>
  <c r="L107" s="1"/>
  <c r="M107" s="1"/>
  <c r="S30" i="36"/>
  <c r="H16"/>
  <c r="AB16"/>
  <c r="H35" i="37"/>
  <c r="AB35" s="1"/>
  <c r="AB12" i="21"/>
  <c r="H32"/>
  <c r="U32" s="1"/>
  <c r="U26"/>
  <c r="AA33"/>
  <c r="S33"/>
  <c r="U39"/>
  <c r="J32"/>
  <c r="AC32" s="1"/>
  <c r="G13" i="3"/>
  <c r="AC5"/>
  <c r="F40" i="21"/>
  <c r="S40" s="1"/>
  <c r="H40"/>
  <c r="AB40" s="1"/>
  <c r="E119"/>
  <c r="F119"/>
  <c r="G119" s="1"/>
  <c r="H119" s="1"/>
  <c r="I119" s="1"/>
  <c r="J119" s="1"/>
  <c r="K119" s="1"/>
  <c r="L119" s="1"/>
  <c r="M119" s="1"/>
  <c r="AA8" i="33"/>
  <c r="S8"/>
  <c r="AC8"/>
  <c r="H66"/>
  <c r="F10"/>
  <c r="AA10" s="1"/>
  <c r="F11"/>
  <c r="S11" s="1"/>
  <c r="H19"/>
  <c r="AB19" s="1"/>
  <c r="J32"/>
  <c r="AC32" s="1"/>
  <c r="F35"/>
  <c r="AA35" s="1"/>
  <c r="AB39" i="34"/>
  <c r="F11"/>
  <c r="S11"/>
  <c r="E80"/>
  <c r="F80"/>
  <c r="H17"/>
  <c r="AB1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J19"/>
  <c r="W19"/>
  <c r="F43"/>
  <c r="H43"/>
  <c r="U43" s="1"/>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s="1"/>
  <c r="AB40" i="33"/>
  <c r="U40"/>
  <c r="AA35" i="34"/>
  <c r="S35"/>
  <c r="E90"/>
  <c r="H27"/>
  <c r="AB27" s="1"/>
  <c r="AB8" i="35"/>
  <c r="U8"/>
  <c r="S9"/>
  <c r="J14"/>
  <c r="AC14"/>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c r="U34"/>
  <c r="AB34"/>
  <c r="H33"/>
  <c r="U33"/>
  <c r="F33"/>
  <c r="AA33"/>
  <c r="H27"/>
  <c r="AB27"/>
  <c r="AA31"/>
  <c r="AC25" i="37"/>
  <c r="AC26"/>
  <c r="W26"/>
  <c r="AB29"/>
  <c r="AA30"/>
  <c r="S30"/>
  <c r="AC30"/>
  <c r="AC31"/>
  <c r="W31"/>
  <c r="AB14"/>
  <c r="F17" i="39"/>
  <c r="AA17" s="1"/>
  <c r="H17"/>
  <c r="U17" s="1"/>
  <c r="J17"/>
  <c r="W17" s="1"/>
  <c r="F21"/>
  <c r="S21" s="1"/>
  <c r="H21"/>
  <c r="AB21" s="1"/>
  <c r="J21"/>
  <c r="W21"/>
  <c r="F33"/>
  <c r="H33"/>
  <c r="U33" s="1"/>
  <c r="J33"/>
  <c r="W33" s="1"/>
  <c r="F44"/>
  <c r="S44"/>
  <c r="H44"/>
  <c r="U44"/>
  <c r="J44"/>
  <c r="W44"/>
  <c r="E128"/>
  <c r="F128"/>
  <c r="G128" s="1"/>
  <c r="H128" s="1"/>
  <c r="I128" s="1"/>
  <c r="J128" s="1"/>
  <c r="K128" s="1"/>
  <c r="L128" s="1"/>
  <c r="M128" s="1"/>
  <c r="F46"/>
  <c r="S46" s="1"/>
  <c r="H46"/>
  <c r="U46" s="1"/>
  <c r="J46"/>
  <c r="W46" s="1"/>
  <c r="F29"/>
  <c r="AA29" s="1"/>
  <c r="E103"/>
  <c r="F103" s="1"/>
  <c r="G103" s="1"/>
  <c r="H29"/>
  <c r="U29"/>
  <c r="F34"/>
  <c r="AA34"/>
  <c r="H34"/>
  <c r="AB34"/>
  <c r="J34"/>
  <c r="AC34"/>
  <c r="F39"/>
  <c r="H39"/>
  <c r="AB39" s="1"/>
  <c r="J39"/>
  <c r="W39" s="1"/>
  <c r="J29" i="35"/>
  <c r="AC29"/>
  <c r="F29"/>
  <c r="S29"/>
  <c r="W30" i="36"/>
  <c r="AC30"/>
  <c r="F37" i="39"/>
  <c r="S37"/>
  <c r="H37"/>
  <c r="U37"/>
  <c r="J37"/>
  <c r="W37"/>
  <c r="BL568" i="3"/>
  <c r="BA568"/>
  <c r="AZ568" s="1"/>
  <c r="BL567"/>
  <c r="BA567"/>
  <c r="AZ567"/>
  <c r="BL566"/>
  <c r="AZ566"/>
  <c r="BL565"/>
  <c r="AZ565"/>
  <c r="BA564"/>
  <c r="AZ564"/>
  <c r="BA563"/>
  <c r="AZ563"/>
  <c r="BL554"/>
  <c r="AZ554"/>
  <c r="BA553"/>
  <c r="AZ553"/>
  <c r="BA552"/>
  <c r="BL549"/>
  <c r="BA549"/>
  <c r="AZ549" s="1"/>
  <c r="BL548"/>
  <c r="BA548"/>
  <c r="BL547"/>
  <c r="BA547"/>
  <c r="AZ547" s="1"/>
  <c r="BL539"/>
  <c r="BA539"/>
  <c r="AZ539" s="1"/>
  <c r="BA538"/>
  <c r="AZ538" s="1"/>
  <c r="BL537"/>
  <c r="BA537"/>
  <c r="BL536"/>
  <c r="AZ536" s="1"/>
  <c r="BA535"/>
  <c r="AZ535" s="1"/>
  <c r="BA534"/>
  <c r="AZ534" s="1"/>
  <c r="BA533"/>
  <c r="AZ533" s="1"/>
  <c r="BL531"/>
  <c r="AZ531" s="1"/>
  <c r="BL530"/>
  <c r="AZ530" s="1"/>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AZ515" s="1"/>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AZ497" s="1"/>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H100" s="1"/>
  <c r="J30"/>
  <c r="AC30"/>
  <c r="F38"/>
  <c r="AA38"/>
  <c r="AA36" i="34"/>
  <c r="AC12" i="21"/>
  <c r="W12"/>
  <c r="AB33"/>
  <c r="AB10"/>
  <c r="AB8"/>
  <c r="S34"/>
  <c r="AC36"/>
  <c r="AB8" i="33"/>
  <c r="U8"/>
  <c r="E106"/>
  <c r="H34"/>
  <c r="U34" s="1"/>
  <c r="F34"/>
  <c r="S34" s="1"/>
  <c r="E121"/>
  <c r="F41"/>
  <c r="S41" s="1"/>
  <c r="AC34" i="34"/>
  <c r="W34"/>
  <c r="AA39"/>
  <c r="S39"/>
  <c r="S43"/>
  <c r="E78"/>
  <c r="F15"/>
  <c r="S15" s="1"/>
  <c r="AC28" i="35"/>
  <c r="W28"/>
  <c r="J20"/>
  <c r="AC20"/>
  <c r="E72"/>
  <c r="F72"/>
  <c r="G72" s="1"/>
  <c r="H22"/>
  <c r="AB22" s="1"/>
  <c r="H23"/>
  <c r="U23" s="1"/>
  <c r="F23"/>
  <c r="AA23"/>
  <c r="AB36"/>
  <c r="U36"/>
  <c r="AC12" i="36"/>
  <c r="U31"/>
  <c r="S8" i="37"/>
  <c r="AA8"/>
  <c r="F14" i="39"/>
  <c r="AA14" s="1"/>
  <c r="H14"/>
  <c r="AB14" s="1"/>
  <c r="J14"/>
  <c r="AC14" s="1"/>
  <c r="F16"/>
  <c r="AA16" s="1"/>
  <c r="H16"/>
  <c r="J16"/>
  <c r="AC16" s="1"/>
  <c r="F23"/>
  <c r="AA23" s="1"/>
  <c r="E97"/>
  <c r="F27"/>
  <c r="AA27"/>
  <c r="H27"/>
  <c r="AB27"/>
  <c r="J27"/>
  <c r="AC27"/>
  <c r="F15" i="40"/>
  <c r="AA15"/>
  <c r="J15"/>
  <c r="H15"/>
  <c r="AB15" s="1"/>
  <c r="E92"/>
  <c r="F92" s="1"/>
  <c r="H23"/>
  <c r="U23" s="1"/>
  <c r="H41"/>
  <c r="F41"/>
  <c r="J41"/>
  <c r="AC41" s="1"/>
  <c r="H37" i="34"/>
  <c r="F15" i="39"/>
  <c r="AA15" s="1"/>
  <c r="H15"/>
  <c r="U15" s="1"/>
  <c r="J15"/>
  <c r="AC15" s="1"/>
  <c r="H25"/>
  <c r="U25" s="1"/>
  <c r="J25"/>
  <c r="AC25" s="1"/>
  <c r="F25"/>
  <c r="AA25" s="1"/>
  <c r="F45"/>
  <c r="AA45" s="1"/>
  <c r="H45"/>
  <c r="U45" s="1"/>
  <c r="J45"/>
  <c r="AC45" s="1"/>
  <c r="F47"/>
  <c r="H47"/>
  <c r="J47"/>
  <c r="W47" s="1"/>
  <c r="F41"/>
  <c r="AA41" s="1"/>
  <c r="H41"/>
  <c r="AB41" s="1"/>
  <c r="J41"/>
  <c r="AC41" s="1"/>
  <c r="E94" i="40"/>
  <c r="F94" s="1"/>
  <c r="J25"/>
  <c r="AC25"/>
  <c r="J32"/>
  <c r="AC32"/>
  <c r="H32"/>
  <c r="U32"/>
  <c r="H33"/>
  <c r="AB33"/>
  <c r="F33"/>
  <c r="AA33"/>
  <c r="J33"/>
  <c r="AC33"/>
  <c r="H35"/>
  <c r="AB35"/>
  <c r="F35"/>
  <c r="AA35"/>
  <c r="J35"/>
  <c r="AC35"/>
  <c r="J38" i="39"/>
  <c r="W38"/>
  <c r="H38"/>
  <c r="U38"/>
  <c r="J16" i="40"/>
  <c r="W16"/>
  <c r="J14"/>
  <c r="W14"/>
  <c r="H42"/>
  <c r="H40"/>
  <c r="U40" s="1"/>
  <c r="H34"/>
  <c r="U34" s="1"/>
  <c r="AZ391" i="3"/>
  <c r="AZ399"/>
  <c r="AZ403"/>
  <c r="AZ407"/>
  <c r="AZ415"/>
  <c r="AZ423"/>
  <c r="AZ431"/>
  <c r="AZ439"/>
  <c r="AZ454"/>
  <c r="B41" i="1"/>
  <c r="F29" i="72" s="1"/>
  <c r="J42" i="40"/>
  <c r="AC42" s="1"/>
  <c r="J40"/>
  <c r="AC40" s="1"/>
  <c r="J34"/>
  <c r="H16"/>
  <c r="AB16" s="1"/>
  <c r="H14"/>
  <c r="F32"/>
  <c r="AA32" s="1"/>
  <c r="AZ401" i="3"/>
  <c r="AZ428"/>
  <c r="AZ433"/>
  <c r="AZ436"/>
  <c r="AZ441"/>
  <c r="AZ444"/>
  <c r="AZ449"/>
  <c r="AZ452"/>
  <c r="M1" i="46"/>
  <c r="M6"/>
  <c r="M10"/>
  <c r="N2"/>
  <c r="N5"/>
  <c r="F58"/>
  <c r="H61"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s="1"/>
  <c r="F71"/>
  <c r="F72"/>
  <c r="AC14" i="40"/>
  <c r="W35"/>
  <c r="S33"/>
  <c r="AB32"/>
  <c r="AC47" i="39"/>
  <c r="AB25"/>
  <c r="U37" i="34"/>
  <c r="AB37"/>
  <c r="W41" i="40"/>
  <c r="J23"/>
  <c r="AC23" s="1"/>
  <c r="G92"/>
  <c r="F23"/>
  <c r="S23"/>
  <c r="AC15"/>
  <c r="W15"/>
  <c r="W27" i="39"/>
  <c r="S23"/>
  <c r="W14"/>
  <c r="AB23" i="35"/>
  <c r="H20"/>
  <c r="F20"/>
  <c r="H15" i="34"/>
  <c r="AB15" s="1"/>
  <c r="F78"/>
  <c r="G78" s="1"/>
  <c r="J15"/>
  <c r="AC15" s="1"/>
  <c r="H41" i="33"/>
  <c r="U41" s="1"/>
  <c r="F121"/>
  <c r="G121" s="1"/>
  <c r="H121" s="1"/>
  <c r="I121" s="1"/>
  <c r="J121" s="1"/>
  <c r="K121" s="1"/>
  <c r="L121" s="1"/>
  <c r="M121" s="1"/>
  <c r="F30" i="40"/>
  <c r="AA30"/>
  <c r="I100"/>
  <c r="J100" s="1"/>
  <c r="K100"/>
  <c r="L100" s="1"/>
  <c r="M100" s="1"/>
  <c r="AZ486" i="3"/>
  <c r="AZ504"/>
  <c r="AZ529"/>
  <c r="AZ537"/>
  <c r="AZ548"/>
  <c r="AB37" i="39"/>
  <c r="AA29" i="35"/>
  <c r="U39" i="39"/>
  <c r="J29"/>
  <c r="AC29"/>
  <c r="U21"/>
  <c r="AB33" i="36"/>
  <c r="AA11"/>
  <c r="AA14" i="35"/>
  <c r="S14"/>
  <c r="G99" i="37"/>
  <c r="F33"/>
  <c r="AB19" i="39"/>
  <c r="U19"/>
  <c r="U46" i="34"/>
  <c r="AC30"/>
  <c r="AA14"/>
  <c r="W12"/>
  <c r="U29" i="33"/>
  <c r="AC13"/>
  <c r="U17" i="34"/>
  <c r="AA11"/>
  <c r="H15" i="33"/>
  <c r="U15" s="1"/>
  <c r="AA11"/>
  <c r="S13" i="39"/>
  <c r="AA13"/>
  <c r="U16" i="40"/>
  <c r="AB34"/>
  <c r="AB42"/>
  <c r="U42"/>
  <c r="AC16"/>
  <c r="W32"/>
  <c r="H25"/>
  <c r="AB25"/>
  <c r="G94"/>
  <c r="W15" i="39"/>
  <c r="J37" i="34"/>
  <c r="AC37"/>
  <c r="AB23" i="40"/>
  <c r="U27" i="39"/>
  <c r="H23"/>
  <c r="AB23" s="1"/>
  <c r="J23"/>
  <c r="AC23" s="1"/>
  <c r="F97"/>
  <c r="G97" s="1"/>
  <c r="S16"/>
  <c r="AA15" i="34"/>
  <c r="AA41" i="33"/>
  <c r="F106"/>
  <c r="G106" s="1"/>
  <c r="H106"/>
  <c r="I106" s="1"/>
  <c r="J106" s="1"/>
  <c r="K106" s="1"/>
  <c r="L106" s="1"/>
  <c r="M106" s="1"/>
  <c r="J34"/>
  <c r="AC34" s="1"/>
  <c r="AA37" i="39"/>
  <c r="W29" i="35"/>
  <c r="AC39" i="39"/>
  <c r="AA39"/>
  <c r="S39"/>
  <c r="U34"/>
  <c r="AB29"/>
  <c r="AB46"/>
  <c r="AB44"/>
  <c r="AC33"/>
  <c r="AA33"/>
  <c r="S33"/>
  <c r="S17"/>
  <c r="U11" i="36"/>
  <c r="F80" i="35"/>
  <c r="G80" s="1"/>
  <c r="H80" s="1"/>
  <c r="I80" s="1"/>
  <c r="J80" s="1"/>
  <c r="K80" s="1"/>
  <c r="L80" s="1"/>
  <c r="M80" s="1"/>
  <c r="W14"/>
  <c r="F90" i="34"/>
  <c r="G90"/>
  <c r="H90" s="1"/>
  <c r="I90" s="1"/>
  <c r="J90" s="1"/>
  <c r="K90" s="1"/>
  <c r="L90" s="1"/>
  <c r="M90" s="1"/>
  <c r="F27"/>
  <c r="S27"/>
  <c r="AC43" i="39"/>
  <c r="W43"/>
  <c r="AA43"/>
  <c r="S43"/>
  <c r="AA19"/>
  <c r="G96" i="37"/>
  <c r="H96" s="1"/>
  <c r="I96"/>
  <c r="J96" s="1"/>
  <c r="K96" s="1"/>
  <c r="L96" s="1"/>
  <c r="M96" s="1"/>
  <c r="F32"/>
  <c r="S32"/>
  <c r="U11" i="35"/>
  <c r="AB11"/>
  <c r="S46" i="34"/>
  <c r="U32"/>
  <c r="U14"/>
  <c r="AC14"/>
  <c r="U12"/>
  <c r="AB13" i="33"/>
  <c r="G80" i="34"/>
  <c r="F17"/>
  <c r="AA17" s="1"/>
  <c r="J17"/>
  <c r="AC17" s="1"/>
  <c r="H11"/>
  <c r="AB11" s="1"/>
  <c r="J35" i="33"/>
  <c r="W35" s="1"/>
  <c r="H11"/>
  <c r="U11" s="1"/>
  <c r="H10"/>
  <c r="U10" s="1"/>
  <c r="I66"/>
  <c r="J10"/>
  <c r="AC10" s="1"/>
  <c r="U40" i="21"/>
  <c r="U11" i="37"/>
  <c r="U13" i="39"/>
  <c r="AC16" i="35"/>
  <c r="AC13" i="40"/>
  <c r="J11" i="34"/>
  <c r="S17"/>
  <c r="F25" i="40"/>
  <c r="AA25"/>
  <c r="J11" i="33"/>
  <c r="W11" s="1"/>
  <c r="H33" i="37"/>
  <c r="AB33" s="1"/>
  <c r="U20" i="35"/>
  <c r="AB20"/>
  <c r="W23" i="40"/>
  <c r="D73" i="9"/>
  <c r="N73" s="1"/>
  <c r="AP11" i="1"/>
  <c r="B11"/>
  <c r="E11"/>
  <c r="K11"/>
  <c r="M11" s="1"/>
  <c r="B9"/>
  <c r="E9" s="1"/>
  <c r="K9"/>
  <c r="M9" s="1"/>
  <c r="B7"/>
  <c r="E7" s="1"/>
  <c r="K7"/>
  <c r="M7" s="1"/>
  <c r="C20" i="43"/>
  <c r="F6" i="1"/>
  <c r="AP6" s="1"/>
  <c r="G11"/>
  <c r="M22" i="44"/>
  <c r="F32" i="15"/>
  <c r="F59" s="1"/>
  <c r="F29" i="12"/>
  <c r="F70" i="9"/>
  <c r="D86"/>
  <c r="M20" i="44"/>
  <c r="F31" i="43"/>
  <c r="F30" i="44"/>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s="1"/>
  <c r="J25"/>
  <c r="W25" s="1"/>
  <c r="F25"/>
  <c r="S25" s="1"/>
  <c r="F85"/>
  <c r="G85" s="1"/>
  <c r="J23"/>
  <c r="F23"/>
  <c r="AA23" s="1"/>
  <c r="H23"/>
  <c r="J17"/>
  <c r="AC17" s="1"/>
  <c r="AC11"/>
  <c r="S14"/>
  <c r="AC21"/>
  <c r="W21"/>
  <c r="W14"/>
  <c r="AB21"/>
  <c r="U21"/>
  <c r="AA21"/>
  <c r="S21"/>
  <c r="S44" i="21"/>
  <c r="U35"/>
  <c r="W43"/>
  <c r="AB32"/>
  <c r="W28"/>
  <c r="AC46"/>
  <c r="F85"/>
  <c r="G85"/>
  <c r="J23"/>
  <c r="W23" s="1"/>
  <c r="F23"/>
  <c r="S23" s="1"/>
  <c r="H23"/>
  <c r="AB23" s="1"/>
  <c r="F15"/>
  <c r="S15" s="1"/>
  <c r="F77"/>
  <c r="G77"/>
  <c r="J15"/>
  <c r="H15"/>
  <c r="AB15" s="1"/>
  <c r="AC11"/>
  <c r="AB11"/>
  <c r="W13"/>
  <c r="AA11"/>
  <c r="AC21"/>
  <c r="W21"/>
  <c r="AC19"/>
  <c r="W10"/>
  <c r="AC38"/>
  <c r="AB21"/>
  <c r="U21"/>
  <c r="AB29"/>
  <c r="AA30"/>
  <c r="AA31"/>
  <c r="W33" i="40"/>
  <c r="U33"/>
  <c r="S35"/>
  <c r="U15"/>
  <c r="S14"/>
  <c r="S15"/>
  <c r="AB13"/>
  <c r="S16"/>
  <c r="W11"/>
  <c r="AA21"/>
  <c r="U21"/>
  <c r="W25"/>
  <c r="U25"/>
  <c r="W42"/>
  <c r="U35"/>
  <c r="F37"/>
  <c r="J37"/>
  <c r="AC37"/>
  <c r="H37"/>
  <c r="G113"/>
  <c r="H113" s="1"/>
  <c r="I113" s="1"/>
  <c r="J113" s="1"/>
  <c r="K113" s="1"/>
  <c r="L113" s="1"/>
  <c r="M113" s="1"/>
  <c r="F39"/>
  <c r="S38"/>
  <c r="H39"/>
  <c r="J39"/>
  <c r="W38"/>
  <c r="F29"/>
  <c r="H29"/>
  <c r="J29"/>
  <c r="F98"/>
  <c r="G98"/>
  <c r="H98" s="1"/>
  <c r="I98" s="1"/>
  <c r="J98" s="1"/>
  <c r="K98" s="1"/>
  <c r="L98" s="1"/>
  <c r="M98" s="1"/>
  <c r="S30"/>
  <c r="S25"/>
  <c r="AA23"/>
  <c r="F88"/>
  <c r="G88" s="1"/>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s="1"/>
  <c r="C53" i="10"/>
  <c r="A25" i="64" s="1"/>
  <c r="A18" i="51"/>
  <c r="B14" i="63" s="1"/>
  <c r="BA16" i="3"/>
  <c r="BA17"/>
  <c r="AZ17"/>
  <c r="F3" i="35"/>
  <c r="K1" i="43"/>
  <c r="K1" i="12"/>
  <c r="G1" i="44"/>
  <c r="I4" i="6"/>
  <c r="G3" i="46" s="1"/>
  <c r="AZ15" i="3"/>
  <c r="BK5"/>
  <c r="BO5"/>
  <c r="BP5"/>
  <c r="BN5"/>
  <c r="BL18"/>
  <c r="AZ18"/>
  <c r="BC5"/>
  <c r="E8" i="6" s="1"/>
  <c r="BD5" i="3"/>
  <c r="BR5"/>
  <c r="G28" i="6" s="1"/>
  <c r="BS5" i="3"/>
  <c r="BQ5"/>
  <c r="BL16"/>
  <c r="BM5"/>
  <c r="BA13"/>
  <c r="G28" i="12"/>
  <c r="G22" i="43"/>
  <c r="G26" i="12"/>
  <c r="D24" i="44"/>
  <c r="D26"/>
  <c r="G27" i="12"/>
  <c r="G23" i="43"/>
  <c r="G21"/>
  <c r="H50" i="46"/>
  <c r="E11"/>
  <c r="E10"/>
  <c r="N8"/>
  <c r="N4"/>
  <c r="N1"/>
  <c r="M9"/>
  <c r="M2"/>
  <c r="N11"/>
  <c r="N9"/>
  <c r="F69"/>
  <c r="H71" s="1"/>
  <c r="M4"/>
  <c r="M12"/>
  <c r="M8"/>
  <c r="M3"/>
  <c r="M5"/>
  <c r="C6"/>
  <c r="H6" i="48"/>
  <c r="E9" i="46"/>
  <c r="H15" i="48"/>
  <c r="H5"/>
  <c r="H14"/>
  <c r="F38" i="46"/>
  <c r="F36"/>
  <c r="F34"/>
  <c r="J17"/>
  <c r="C17"/>
  <c r="F39"/>
  <c r="H13" i="48"/>
  <c r="H11"/>
  <c r="E8" i="46"/>
  <c r="C7" s="1"/>
  <c r="I17"/>
  <c r="E17"/>
  <c r="D71"/>
  <c r="D84"/>
  <c r="E80" s="1"/>
  <c r="B78" s="1"/>
  <c r="D69"/>
  <c r="E47"/>
  <c r="B45" s="1"/>
  <c r="E58"/>
  <c r="A4" i="64"/>
  <c r="A4" i="51"/>
  <c r="B6" i="63" s="1"/>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s="1"/>
  <c r="K5" i="54"/>
  <c r="B38" i="63" s="1"/>
  <c r="T41" i="4"/>
  <c r="A17" i="64" s="1"/>
  <c r="B46" i="50"/>
  <c r="B4" i="63" s="1"/>
  <c r="C46" i="36"/>
  <c r="D46"/>
  <c r="E46" s="1"/>
  <c r="C59" i="34"/>
  <c r="D59"/>
  <c r="E59" s="1"/>
  <c r="C48" i="35"/>
  <c r="D48" s="1"/>
  <c r="C52" i="37"/>
  <c r="D52" s="1"/>
  <c r="O19" i="46"/>
  <c r="H77"/>
  <c r="H86"/>
  <c r="H82"/>
  <c r="H63"/>
  <c r="H64"/>
  <c r="H10" i="48"/>
  <c r="H87" i="46"/>
  <c r="H85"/>
  <c r="H83"/>
  <c r="K10" i="1"/>
  <c r="M10" s="1"/>
  <c r="S11"/>
  <c r="R11"/>
  <c r="S13"/>
  <c r="R13"/>
  <c r="B6"/>
  <c r="E6" s="1"/>
  <c r="B10"/>
  <c r="E10" s="1"/>
  <c r="S10"/>
  <c r="B8"/>
  <c r="E8" s="1"/>
  <c r="B12"/>
  <c r="E12" s="1"/>
  <c r="S12"/>
  <c r="K6"/>
  <c r="M6" s="1"/>
  <c r="G1" i="15"/>
  <c r="F66" i="36"/>
  <c r="H18"/>
  <c r="AB18" s="1"/>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s="1"/>
  <c r="W37"/>
  <c r="S17"/>
  <c r="W30"/>
  <c r="S34"/>
  <c r="U17"/>
  <c r="U38"/>
  <c r="S40"/>
  <c r="S42"/>
  <c r="G105" i="39"/>
  <c r="J31"/>
  <c r="AC31" s="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s="1"/>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s="1"/>
  <c r="E5" i="6"/>
  <c r="D12" i="11" s="1"/>
  <c r="C12" s="1"/>
  <c r="G29" i="6"/>
  <c r="E29" s="1"/>
  <c r="AZ16" i="3"/>
  <c r="H70" i="46"/>
  <c r="A9" i="64"/>
  <c r="A9" i="51"/>
  <c r="B9" i="63" s="1"/>
  <c r="A25" i="51"/>
  <c r="B18" i="63" s="1"/>
  <c r="A3" i="55"/>
  <c r="B56" i="63" s="1"/>
  <c r="G66" i="36"/>
  <c r="J18"/>
  <c r="W18"/>
  <c r="AC18"/>
  <c r="AG6" i="1"/>
  <c r="L20" i="6"/>
  <c r="C45" i="9"/>
  <c r="H14" i="66" s="1"/>
  <c r="B7" s="1"/>
  <c r="C44" i="9"/>
  <c r="G14" i="66"/>
  <c r="B6" s="1"/>
  <c r="N69" i="9"/>
  <c r="M86" s="1"/>
  <c r="N86" s="1"/>
  <c r="O39"/>
  <c r="R6" i="54" s="1"/>
  <c r="B50" i="63" s="1"/>
  <c r="K29" i="9"/>
  <c r="K30" s="1"/>
  <c r="M84"/>
  <c r="N84" s="1"/>
  <c r="M87"/>
  <c r="N87" s="1"/>
  <c r="M83"/>
  <c r="N83" s="1"/>
  <c r="N89" s="1"/>
  <c r="O89" s="1"/>
  <c r="N76"/>
  <c r="C46"/>
  <c r="K33" s="1"/>
  <c r="AE9" i="1"/>
  <c r="AE6"/>
  <c r="AE8"/>
  <c r="F8" i="67"/>
  <c r="B12"/>
  <c r="F39" i="44"/>
  <c r="F9" i="15"/>
  <c r="F43"/>
  <c r="F16"/>
  <c r="F14" i="67"/>
  <c r="J36" i="15"/>
  <c r="M8"/>
  <c r="N6" i="65"/>
  <c r="M28" i="15"/>
  <c r="F6"/>
  <c r="F38" i="44"/>
  <c r="F7" i="15"/>
  <c r="M24"/>
  <c r="F10" i="67"/>
  <c r="L49" i="44"/>
  <c r="E11" i="67"/>
  <c r="N7" i="65"/>
  <c r="F9" i="67"/>
  <c r="F18" i="44"/>
  <c r="M30"/>
  <c r="E9" i="67"/>
  <c r="F38" i="15"/>
  <c r="E13" i="67"/>
  <c r="M26" i="44"/>
  <c r="F9"/>
  <c r="L48" i="15"/>
  <c r="F11" i="44"/>
  <c r="N4" i="65"/>
  <c r="M8" i="44"/>
  <c r="M6" i="15"/>
  <c r="M27"/>
  <c r="B8" i="67"/>
  <c r="F40" i="44"/>
  <c r="J17"/>
  <c r="M9" i="15"/>
  <c r="M29"/>
  <c r="F8" i="44"/>
  <c r="L48"/>
  <c r="E12" i="67"/>
  <c r="M23" i="44"/>
  <c r="F13" i="15"/>
  <c r="M31" i="44"/>
  <c r="F8" i="15"/>
  <c r="C15" i="43"/>
  <c r="F37" i="15"/>
  <c r="F36"/>
  <c r="B9" i="67"/>
  <c r="L47" i="15"/>
  <c r="B13" i="67"/>
  <c r="F45" i="44"/>
  <c r="M25"/>
  <c r="M11"/>
  <c r="M23" i="15"/>
  <c r="B14" i="67"/>
  <c r="F43" i="44"/>
  <c r="F15"/>
  <c r="B11" i="67"/>
  <c r="F41" i="15"/>
  <c r="F37" i="44"/>
  <c r="M24"/>
  <c r="F13" i="67"/>
  <c r="E8"/>
  <c r="M22" i="15"/>
  <c r="F28" i="44"/>
  <c r="N5" i="65"/>
  <c r="B10" i="67"/>
  <c r="M29" i="44"/>
  <c r="F11" i="67"/>
  <c r="F46" i="44"/>
  <c r="J15" i="15"/>
  <c r="M26"/>
  <c r="E14" i="67"/>
  <c r="N3" i="65"/>
  <c r="F26" i="15"/>
  <c r="C19" i="44"/>
  <c r="E10" i="67"/>
  <c r="F35" i="15"/>
  <c r="M21"/>
  <c r="M10" i="44"/>
  <c r="F10"/>
  <c r="F40" i="15"/>
  <c r="M28" i="44"/>
  <c r="F12" i="67"/>
  <c r="F42" i="15"/>
  <c r="H48" i="46" l="1"/>
  <c r="M85" i="9"/>
  <c r="N85" s="1"/>
  <c r="M88"/>
  <c r="N88" s="1"/>
  <c r="O40"/>
  <c r="K31" s="1"/>
  <c r="K32" s="1"/>
  <c r="K15" i="1"/>
  <c r="L19" i="6"/>
  <c r="L27" s="1"/>
  <c r="O41" i="9"/>
  <c r="R8" i="54" s="1"/>
  <c r="B54" i="63" s="1"/>
  <c r="I14" i="66"/>
  <c r="B8" s="1"/>
  <c r="U14" i="40"/>
  <c r="AB14"/>
  <c r="AC34"/>
  <c r="W34"/>
  <c r="AA47" i="39"/>
  <c r="S47"/>
  <c r="AA41" i="40"/>
  <c r="S41"/>
  <c r="F77" i="33"/>
  <c r="G77" s="1"/>
  <c r="J15"/>
  <c r="W15" s="1"/>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s="1"/>
  <c r="H113" s="1"/>
  <c r="I113" s="1"/>
  <c r="J113" s="1"/>
  <c r="K113" s="1"/>
  <c r="L113" s="1"/>
  <c r="M113" s="1"/>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s="1"/>
  <c r="O12" s="1"/>
  <c r="P12" s="1"/>
  <c r="C42"/>
  <c r="C28" i="15" s="1"/>
  <c r="D1" i="57"/>
  <c r="E10" s="1"/>
  <c r="M19" i="46"/>
  <c r="U25" i="59"/>
  <c r="C36"/>
  <c r="D35"/>
  <c r="BA21" i="3"/>
  <c r="AZ22"/>
  <c r="BA25"/>
  <c r="AZ25" s="1"/>
  <c r="AZ26"/>
  <c r="BA28"/>
  <c r="AZ28" s="1"/>
  <c r="AZ29"/>
  <c r="BA30"/>
  <c r="AZ30" s="1"/>
  <c r="BA31"/>
  <c r="AZ31" s="1"/>
  <c r="BA32"/>
  <c r="AZ32" s="1"/>
  <c r="AZ33"/>
  <c r="BA34"/>
  <c r="AZ34" s="1"/>
  <c r="BA35"/>
  <c r="AZ35" s="1"/>
  <c r="AZ36"/>
  <c r="BA37"/>
  <c r="AZ37" s="1"/>
  <c r="AZ38"/>
  <c r="BA41"/>
  <c r="AZ41" s="1"/>
  <c r="AZ42"/>
  <c r="BA44"/>
  <c r="AZ44" s="1"/>
  <c r="AZ45"/>
  <c r="BA46"/>
  <c r="AZ46" s="1"/>
  <c r="BA47"/>
  <c r="AZ47" s="1"/>
  <c r="BA48"/>
  <c r="AZ48" s="1"/>
  <c r="AZ49"/>
  <c r="BA50"/>
  <c r="AZ50" s="1"/>
  <c r="BA51"/>
  <c r="AZ51" s="1"/>
  <c r="AZ52"/>
  <c r="BA53"/>
  <c r="AZ53" s="1"/>
  <c r="AZ54"/>
  <c r="BA57"/>
  <c r="AZ57" s="1"/>
  <c r="AZ58"/>
  <c r="BA60"/>
  <c r="AZ60" s="1"/>
  <c r="AZ61"/>
  <c r="BA62"/>
  <c r="AZ62" s="1"/>
  <c r="BA63"/>
  <c r="AZ63" s="1"/>
  <c r="AZ64"/>
  <c r="BA65"/>
  <c r="AZ65" s="1"/>
  <c r="BA66"/>
  <c r="AZ66" s="1"/>
  <c r="AZ67"/>
  <c r="BA68"/>
  <c r="AZ68" s="1"/>
  <c r="AZ69"/>
  <c r="BA72"/>
  <c r="AZ72" s="1"/>
  <c r="AZ73"/>
  <c r="BA75"/>
  <c r="AZ75" s="1"/>
  <c r="AZ76"/>
  <c r="BA77"/>
  <c r="AZ77" s="1"/>
  <c r="BA78"/>
  <c r="AZ78" s="1"/>
  <c r="BA79"/>
  <c r="AZ79" s="1"/>
  <c r="AZ80"/>
  <c r="BA81"/>
  <c r="AZ81" s="1"/>
  <c r="BA82"/>
  <c r="AZ82" s="1"/>
  <c r="AZ83"/>
  <c r="BA85"/>
  <c r="AZ85" s="1"/>
  <c r="BA86"/>
  <c r="AZ86" s="1"/>
  <c r="AZ87"/>
  <c r="BA88"/>
  <c r="AZ88" s="1"/>
  <c r="AZ89"/>
  <c r="BA92"/>
  <c r="AZ92" s="1"/>
  <c r="AZ93"/>
  <c r="BA95"/>
  <c r="AZ95" s="1"/>
  <c r="AZ96"/>
  <c r="BA97"/>
  <c r="AZ97" s="1"/>
  <c r="BA98"/>
  <c r="AZ98" s="1"/>
  <c r="BA99"/>
  <c r="AZ99" s="1"/>
  <c r="AZ100"/>
  <c r="BA101"/>
  <c r="AZ101" s="1"/>
  <c r="BA102"/>
  <c r="AZ102" s="1"/>
  <c r="AZ103"/>
  <c r="BA104"/>
  <c r="AZ104" s="1"/>
  <c r="AZ105"/>
  <c r="BA108"/>
  <c r="AZ108" s="1"/>
  <c r="AZ109"/>
  <c r="P24" i="73"/>
  <c r="P21"/>
  <c r="P25"/>
  <c r="O19"/>
  <c r="P23"/>
  <c r="P22"/>
  <c r="C32" i="59"/>
  <c r="D32" s="1"/>
  <c r="D31"/>
  <c r="C44"/>
  <c r="D43"/>
  <c r="Q51"/>
  <c r="Q50"/>
  <c r="Y9"/>
  <c r="Z9" s="1"/>
  <c r="AB9"/>
  <c r="C7"/>
  <c r="D7" s="1"/>
  <c r="D8"/>
  <c r="AA9"/>
  <c r="AA7"/>
  <c r="X6"/>
  <c r="AA6"/>
  <c r="B65" i="73"/>
  <c r="B54"/>
  <c r="B74"/>
  <c r="X13" i="59"/>
  <c r="X11"/>
  <c r="X3"/>
  <c r="B15"/>
  <c r="B16" s="1"/>
  <c r="B17" s="1"/>
  <c r="S17" s="1"/>
  <c r="C15"/>
  <c r="AA14"/>
  <c r="AB15"/>
  <c r="Y16"/>
  <c r="Z16" s="1"/>
  <c r="AB16"/>
  <c r="Y17"/>
  <c r="Z17" s="1"/>
  <c r="AB17"/>
  <c r="Y18"/>
  <c r="Z18" s="1"/>
  <c r="E19"/>
  <c r="E20" s="1"/>
  <c r="E21" s="1"/>
  <c r="U21" s="1"/>
  <c r="F19"/>
  <c r="F20" s="1"/>
  <c r="F21" s="1"/>
  <c r="V21" s="1"/>
  <c r="X19"/>
  <c r="X20"/>
  <c r="X21"/>
  <c r="AA21"/>
  <c r="B23"/>
  <c r="B24" s="1"/>
  <c r="B25" s="1"/>
  <c r="S25" s="1"/>
  <c r="C23"/>
  <c r="AA22"/>
  <c r="Y23"/>
  <c r="Z23" s="1"/>
  <c r="S13"/>
  <c r="B12"/>
  <c r="B11" s="1"/>
  <c r="U13"/>
  <c r="E12"/>
  <c r="E11" s="1"/>
  <c r="X8"/>
  <c r="Y6"/>
  <c r="Z6" s="1"/>
  <c r="AB7"/>
  <c r="AB6"/>
  <c r="A28" i="64"/>
  <c r="AA12" i="46"/>
  <c r="AE12"/>
  <c r="H1" i="65"/>
  <c r="T9" i="59"/>
  <c r="V9"/>
  <c r="K76" i="9"/>
  <c r="K77" s="1"/>
  <c r="K79" s="1"/>
  <c r="K81" s="1"/>
  <c r="C13" i="59"/>
  <c r="X9"/>
  <c r="Y8"/>
  <c r="Z8" s="1"/>
  <c r="AA8"/>
  <c r="AB8"/>
  <c r="X7"/>
  <c r="X5"/>
  <c r="AA5"/>
  <c r="F13"/>
  <c r="Y7"/>
  <c r="Z7" s="1"/>
  <c r="Y5"/>
  <c r="Z5" s="1"/>
  <c r="AB5"/>
  <c r="AC23" i="21"/>
  <c r="U23"/>
  <c r="M43" i="9"/>
  <c r="D18"/>
  <c r="M44" s="1"/>
  <c r="H17" i="21"/>
  <c r="AB17" s="1"/>
  <c r="F79"/>
  <c r="G79" s="1"/>
  <c r="F17"/>
  <c r="S17" s="1"/>
  <c r="J17"/>
  <c r="AC17" s="1"/>
  <c r="W44"/>
  <c r="C2" i="65"/>
  <c r="G28" i="72"/>
  <c r="G27"/>
  <c r="G26"/>
  <c r="W17" i="33"/>
  <c r="J73" i="46"/>
  <c r="U44" i="33"/>
  <c r="AB44"/>
  <c r="AB45"/>
  <c r="W46"/>
  <c r="F44"/>
  <c r="S44" s="1"/>
  <c r="AB43"/>
  <c r="S42"/>
  <c r="U38"/>
  <c r="W38"/>
  <c r="G111"/>
  <c r="H111" s="1"/>
  <c r="I111" s="1"/>
  <c r="J111" s="1"/>
  <c r="K111" s="1"/>
  <c r="L111" s="1"/>
  <c r="M111" s="1"/>
  <c r="F36"/>
  <c r="H36"/>
  <c r="J36"/>
  <c r="W36" s="1"/>
  <c r="W44"/>
  <c r="S39"/>
  <c r="AC35"/>
  <c r="AA34"/>
  <c r="W34"/>
  <c r="H32"/>
  <c r="AB32" s="1"/>
  <c r="F32"/>
  <c r="AA32" s="1"/>
  <c r="F101"/>
  <c r="G101" s="1"/>
  <c r="H101" s="1"/>
  <c r="I101" s="1"/>
  <c r="J101" s="1"/>
  <c r="K101" s="1"/>
  <c r="L101" s="1"/>
  <c r="M101" s="1"/>
  <c r="U32"/>
  <c r="W32"/>
  <c r="AC28"/>
  <c r="H27"/>
  <c r="U27" s="1"/>
  <c r="F27"/>
  <c r="S27" s="1"/>
  <c r="F91"/>
  <c r="G91" s="1"/>
  <c r="H91" s="1"/>
  <c r="I91" s="1"/>
  <c r="J91" s="1"/>
  <c r="K91" s="1"/>
  <c r="L91" s="1"/>
  <c r="M91" s="1"/>
  <c r="J27"/>
  <c r="AB27"/>
  <c r="U25"/>
  <c r="AA25"/>
  <c r="AC25"/>
  <c r="B76" i="73"/>
  <c r="B66"/>
  <c r="B55"/>
  <c r="B76" i="46"/>
  <c r="AA23" i="21"/>
  <c r="U19" i="33"/>
  <c r="AC29"/>
  <c r="H17"/>
  <c r="F79"/>
  <c r="G79" s="1"/>
  <c r="F17"/>
  <c r="AC15"/>
  <c r="AB15"/>
  <c r="S10"/>
  <c r="AB10"/>
  <c r="W10"/>
  <c r="U9"/>
  <c r="B84" i="46"/>
  <c r="B58"/>
  <c r="B47"/>
  <c r="A30" i="64"/>
  <c r="E69" i="46"/>
  <c r="B67" s="1"/>
  <c r="C24" s="1"/>
  <c r="A30" i="51"/>
  <c r="B22" i="63" s="1"/>
  <c r="AA43" i="21"/>
  <c r="U42"/>
  <c r="W42"/>
  <c r="AA36"/>
  <c r="AA40"/>
  <c r="AA38"/>
  <c r="H113"/>
  <c r="J37"/>
  <c r="F37"/>
  <c r="S37" s="1"/>
  <c r="H37"/>
  <c r="AA37"/>
  <c r="S42"/>
  <c r="AC40"/>
  <c r="W39"/>
  <c r="AB36"/>
  <c r="S35"/>
  <c r="AC35"/>
  <c r="W32"/>
  <c r="AC34"/>
  <c r="AB44"/>
  <c r="S27"/>
  <c r="AC26"/>
  <c r="S26"/>
  <c r="S21"/>
  <c r="U19"/>
  <c r="S19"/>
  <c r="W17"/>
  <c r="W9"/>
  <c r="AA9"/>
  <c r="U9"/>
  <c r="L16" i="4"/>
  <c r="N16"/>
  <c r="G5" i="3"/>
  <c r="B3" s="1"/>
  <c r="E495" s="1"/>
  <c r="M8" i="1"/>
  <c r="O8" s="1"/>
  <c r="P8" s="1"/>
  <c r="E571" i="3"/>
  <c r="E273"/>
  <c r="E175"/>
  <c r="E506"/>
  <c r="E522"/>
  <c r="E516"/>
  <c r="S6"/>
  <c r="E377"/>
  <c r="E484"/>
  <c r="E356"/>
  <c r="AZ21"/>
  <c r="BA5"/>
  <c r="E53" i="40"/>
  <c r="E58" i="39"/>
  <c r="F27" i="6"/>
  <c r="F31" s="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s="1"/>
  <c r="G30" i="6"/>
  <c r="G31" s="1"/>
  <c r="E28"/>
  <c r="O9" i="1"/>
  <c r="P9" s="1"/>
  <c r="E14" i="6"/>
  <c r="E15"/>
  <c r="E13"/>
  <c r="E12"/>
  <c r="E10"/>
  <c r="E11"/>
  <c r="O13" i="1"/>
  <c r="P13" s="1"/>
  <c r="O6"/>
  <c r="P6" s="1"/>
  <c r="O7"/>
  <c r="P7" s="1"/>
  <c r="O11"/>
  <c r="P11" s="1"/>
  <c r="BL5" i="3"/>
  <c r="AZ13"/>
  <c r="AZ5" s="1"/>
  <c r="H16" i="1"/>
  <c r="AB11" i="46"/>
  <c r="AB13" s="1"/>
  <c r="AI11"/>
  <c r="AI13" s="1"/>
  <c r="AA11"/>
  <c r="AA13" s="1"/>
  <c r="C23"/>
  <c r="AH11"/>
  <c r="AH13" s="1"/>
  <c r="AD11"/>
  <c r="AD13" s="1"/>
  <c r="Z11"/>
  <c r="Z13" s="1"/>
  <c r="F101"/>
  <c r="N101"/>
  <c r="K101"/>
  <c r="Z7"/>
  <c r="E101"/>
  <c r="F22"/>
  <c r="L101"/>
  <c r="N104" i="45"/>
  <c r="B113" i="46"/>
  <c r="J101"/>
  <c r="G101"/>
  <c r="C101"/>
  <c r="H22"/>
  <c r="AE11"/>
  <c r="AE13" s="1"/>
  <c r="AJ11"/>
  <c r="AJ13" s="1"/>
  <c r="AF11"/>
  <c r="AF13" s="1"/>
  <c r="Y11"/>
  <c r="Y13" s="1"/>
  <c r="AG11"/>
  <c r="AG13" s="1"/>
  <c r="AC11"/>
  <c r="AC13" s="1"/>
  <c r="E22"/>
  <c r="H101"/>
  <c r="M101"/>
  <c r="D101"/>
  <c r="I101"/>
  <c r="G22"/>
  <c r="J22"/>
  <c r="C16"/>
  <c r="C5" s="1"/>
  <c r="H51"/>
  <c r="H53"/>
  <c r="H60"/>
  <c r="H59"/>
  <c r="H69"/>
  <c r="H65"/>
  <c r="H75"/>
  <c r="H72"/>
  <c r="H74"/>
  <c r="H73"/>
  <c r="H76"/>
  <c r="H55"/>
  <c r="H54"/>
  <c r="H52"/>
  <c r="H47"/>
  <c r="D5"/>
  <c r="G8" i="1"/>
  <c r="G10"/>
  <c r="G13"/>
  <c r="K17" i="4"/>
  <c r="A22" i="51" s="1"/>
  <c r="B16" i="63" s="1"/>
  <c r="AP16" i="1"/>
  <c r="F22" i="11" s="1"/>
  <c r="G6" i="1"/>
  <c r="N4" i="63"/>
  <c r="E14" i="52"/>
  <c r="E48" i="35"/>
  <c r="F48" s="1"/>
  <c r="G48" s="1"/>
  <c r="H48" s="1"/>
  <c r="I48" s="1"/>
  <c r="J48" s="1"/>
  <c r="K48" s="1"/>
  <c r="L48" s="1"/>
  <c r="M48" s="1"/>
  <c r="N48" s="1"/>
  <c r="O48" s="1"/>
  <c r="D58" i="21"/>
  <c r="E58" s="1"/>
  <c r="F58" s="1"/>
  <c r="G58" s="1"/>
  <c r="H58" s="1"/>
  <c r="I58" s="1"/>
  <c r="J58" s="1"/>
  <c r="K58" s="1"/>
  <c r="L58" s="1"/>
  <c r="M58" s="1"/>
  <c r="N58" s="1"/>
  <c r="O58" s="1"/>
  <c r="C72" i="39"/>
  <c r="D70"/>
  <c r="E52" i="37"/>
  <c r="F52" s="1"/>
  <c r="G52" s="1"/>
  <c r="H52" s="1"/>
  <c r="I52" s="1"/>
  <c r="J52" s="1"/>
  <c r="K52" s="1"/>
  <c r="L52" s="1"/>
  <c r="M52" s="1"/>
  <c r="N52" s="1"/>
  <c r="O52" s="1"/>
  <c r="F59" i="34"/>
  <c r="G59" s="1"/>
  <c r="H59" s="1"/>
  <c r="I59" s="1"/>
  <c r="J59" s="1"/>
  <c r="K59" s="1"/>
  <c r="L59" s="1"/>
  <c r="M59" s="1"/>
  <c r="N59" s="1"/>
  <c r="O59" s="1"/>
  <c r="F46" i="36"/>
  <c r="G46" s="1"/>
  <c r="H46" s="1"/>
  <c r="I46" s="1"/>
  <c r="J46" s="1"/>
  <c r="K46" s="1"/>
  <c r="L46" s="1"/>
  <c r="M46" s="1"/>
  <c r="N46" s="1"/>
  <c r="O46" s="1"/>
  <c r="D58" i="33"/>
  <c r="E58" s="1"/>
  <c r="F58" s="1"/>
  <c r="G58" s="1"/>
  <c r="H58" s="1"/>
  <c r="I58" s="1"/>
  <c r="J58" s="1"/>
  <c r="K58" s="1"/>
  <c r="L58" s="1"/>
  <c r="M58" s="1"/>
  <c r="N58" s="1"/>
  <c r="O58" s="1"/>
  <c r="D65" i="40"/>
  <c r="C67"/>
  <c r="H7" i="37"/>
  <c r="H7" i="36"/>
  <c r="H7" i="34"/>
  <c r="C6" i="59"/>
  <c r="C5" s="1"/>
  <c r="D5" s="1"/>
  <c r="B6" i="52"/>
  <c r="E7"/>
  <c r="E6"/>
  <c r="E4"/>
  <c r="B7"/>
  <c r="E5"/>
  <c r="P21" i="46"/>
  <c r="B6" i="59"/>
  <c r="B5" s="1"/>
  <c r="P22" i="46"/>
  <c r="P23"/>
  <c r="P25"/>
  <c r="B73" i="39" s="1"/>
  <c r="P24" i="46"/>
  <c r="B68" i="40" s="1"/>
  <c r="E22" i="52"/>
  <c r="B22"/>
  <c r="B10"/>
  <c r="B11"/>
  <c r="B4"/>
  <c r="E9"/>
  <c r="C36" i="44"/>
  <c r="C8"/>
  <c r="F63" i="15"/>
  <c r="F67"/>
  <c r="C4" i="65"/>
  <c r="B39" i="1" s="1"/>
  <c r="J60" i="44"/>
  <c r="J54"/>
  <c r="I55"/>
  <c r="J58"/>
  <c r="J56" s="1"/>
  <c r="J59" s="1"/>
  <c r="Q52" s="1"/>
  <c r="L57"/>
  <c r="J61"/>
  <c r="Q50" s="1"/>
  <c r="J22"/>
  <c r="Q72" i="15"/>
  <c r="I1" i="65"/>
  <c r="Q73" i="44"/>
  <c r="F64" i="15"/>
  <c r="L60" i="44"/>
  <c r="L59"/>
  <c r="C27" i="15"/>
  <c r="F62"/>
  <c r="C61" s="1"/>
  <c r="C34"/>
  <c r="J20"/>
  <c r="F68"/>
  <c r="F65"/>
  <c r="F50"/>
  <c r="L59"/>
  <c r="L58"/>
  <c r="F49"/>
  <c r="M7"/>
  <c r="J6" s="1"/>
  <c r="C29" i="44"/>
  <c r="F70" i="15"/>
  <c r="M9" i="44"/>
  <c r="J8" s="1"/>
  <c r="C6" i="15"/>
  <c r="I54"/>
  <c r="J57"/>
  <c r="J55" s="1"/>
  <c r="J58" s="1"/>
  <c r="Q51" s="1"/>
  <c r="J53"/>
  <c r="L56"/>
  <c r="E17" i="52"/>
  <c r="E11"/>
  <c r="E15"/>
  <c r="E4" i="4" s="1"/>
  <c r="B21" i="55" s="1"/>
  <c r="B72" i="63" s="1"/>
  <c r="E13" i="52"/>
  <c r="B14"/>
  <c r="E8"/>
  <c r="E16"/>
  <c r="B5"/>
  <c r="B9"/>
  <c r="B16"/>
  <c r="B8"/>
  <c r="B13"/>
  <c r="E10"/>
  <c r="C4" i="4" s="1"/>
  <c r="B20" i="55" s="1"/>
  <c r="B70" i="63" s="1"/>
  <c r="E21" i="52"/>
  <c r="M17" i="15"/>
  <c r="F58"/>
  <c r="F31"/>
  <c r="F33" i="44"/>
  <c r="M19"/>
  <c r="D21" i="12"/>
  <c r="F33" i="72"/>
  <c r="C18" i="44"/>
  <c r="C16" i="15"/>
  <c r="D21" i="72"/>
  <c r="C15"/>
  <c r="C17" i="15"/>
  <c r="C15" i="12"/>
  <c r="E481" i="3" l="1"/>
  <c r="E326"/>
  <c r="E382"/>
  <c r="E511"/>
  <c r="E227"/>
  <c r="E572"/>
  <c r="E342"/>
  <c r="E503"/>
  <c r="E112"/>
  <c r="E566"/>
  <c r="E122"/>
  <c r="R7" i="54"/>
  <c r="B52" i="63" s="1"/>
  <c r="J7" i="34"/>
  <c r="H7" i="35"/>
  <c r="J7" i="36"/>
  <c r="F7" i="37"/>
  <c r="F7" i="36"/>
  <c r="F7" i="34"/>
  <c r="J7" i="37"/>
  <c r="F7" i="21"/>
  <c r="H7"/>
  <c r="C19" i="73"/>
  <c r="Q16" i="1"/>
  <c r="C21" i="72"/>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s="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s="1"/>
  <c r="F18" i="11"/>
  <c r="C18" s="1"/>
  <c r="AB36" i="33"/>
  <c r="U36"/>
  <c r="AC36"/>
  <c r="S36"/>
  <c r="AA36"/>
  <c r="S32"/>
  <c r="AA27"/>
  <c r="AC27"/>
  <c r="W27"/>
  <c r="AA17"/>
  <c r="S17"/>
  <c r="AB17"/>
  <c r="U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s="1"/>
  <c r="AC6" i="3"/>
  <c r="E60" i="40"/>
  <c r="E65" i="39"/>
  <c r="E66"/>
  <c r="E61" i="40"/>
  <c r="E16" i="6"/>
  <c r="AY6" i="3"/>
  <c r="E3" i="6"/>
  <c r="E58" i="40"/>
  <c r="E63" i="39"/>
  <c r="E64"/>
  <c r="E59" i="40"/>
  <c r="E62"/>
  <c r="E67" i="39"/>
  <c r="K14" i="1"/>
  <c r="E30" i="6"/>
  <c r="I102" i="46"/>
  <c r="I109"/>
  <c r="I107"/>
  <c r="I104"/>
  <c r="I106"/>
  <c r="I105"/>
  <c r="I103"/>
  <c r="M104"/>
  <c r="M103"/>
  <c r="M105"/>
  <c r="M107"/>
  <c r="M109"/>
  <c r="M102"/>
  <c r="M106"/>
  <c r="G103"/>
  <c r="G106"/>
  <c r="G104"/>
  <c r="G102"/>
  <c r="G107"/>
  <c r="G109"/>
  <c r="G105"/>
  <c r="I115"/>
  <c r="J115" s="1"/>
  <c r="K115" s="1"/>
  <c r="L115" s="1"/>
  <c r="M115" s="1"/>
  <c r="B117"/>
  <c r="C117" s="1"/>
  <c r="D115"/>
  <c r="E115" s="1"/>
  <c r="F115" s="1"/>
  <c r="G115" s="1"/>
  <c r="H115" s="1"/>
  <c r="I118"/>
  <c r="J118" s="1"/>
  <c r="K118" s="1"/>
  <c r="L118" s="1"/>
  <c r="M118" s="1"/>
  <c r="D116"/>
  <c r="E116" s="1"/>
  <c r="F116" s="1"/>
  <c r="G116" s="1"/>
  <c r="H116" s="1"/>
  <c r="B118"/>
  <c r="C118" s="1"/>
  <c r="D118"/>
  <c r="E118" s="1"/>
  <c r="F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7"/>
  <c r="K102"/>
  <c r="K106"/>
  <c r="K109"/>
  <c r="K104"/>
  <c r="K105"/>
  <c r="K103"/>
  <c r="F106"/>
  <c r="F103"/>
  <c r="F104"/>
  <c r="F109"/>
  <c r="F107"/>
  <c r="F105"/>
  <c r="F102"/>
  <c r="D22"/>
  <c r="C21" s="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s="1"/>
  <c r="W7" i="34"/>
  <c r="AC7"/>
  <c r="V49" s="1"/>
  <c r="I49" s="1"/>
  <c r="W7" i="35"/>
  <c r="AC7"/>
  <c r="V38" s="1"/>
  <c r="I38" s="1"/>
  <c r="U7" i="36"/>
  <c r="AB7"/>
  <c r="T36" s="1"/>
  <c r="G36" s="1"/>
  <c r="AB7" i="37"/>
  <c r="T42" s="1"/>
  <c r="G42" s="1"/>
  <c r="U7"/>
  <c r="D67" i="40"/>
  <c r="E65"/>
  <c r="J7" i="33"/>
  <c r="J7" i="21"/>
  <c r="U7" i="34"/>
  <c r="AB7"/>
  <c r="T49" s="1"/>
  <c r="G49" s="1"/>
  <c r="AB7" i="35"/>
  <c r="T38" s="1"/>
  <c r="G38" s="1"/>
  <c r="U7"/>
  <c r="AC7" i="36"/>
  <c r="V36" s="1"/>
  <c r="I36" s="1"/>
  <c r="W7"/>
  <c r="AA7" i="37"/>
  <c r="R42" s="1"/>
  <c r="S7"/>
  <c r="S7" i="33"/>
  <c r="AA7"/>
  <c r="U7"/>
  <c r="AB7"/>
  <c r="AA7" i="36"/>
  <c r="R36" s="1"/>
  <c r="S7"/>
  <c r="S7" i="34"/>
  <c r="AA7"/>
  <c r="R49" s="1"/>
  <c r="W7" i="37"/>
  <c r="AC7"/>
  <c r="V42" s="1"/>
  <c r="I42" s="1"/>
  <c r="D72" i="39"/>
  <c r="E70"/>
  <c r="S7" i="21"/>
  <c r="AA7"/>
  <c r="U7"/>
  <c r="AB7"/>
  <c r="T48" s="1"/>
  <c r="G48" s="1"/>
  <c r="AA7" i="35"/>
  <c r="R38" s="1"/>
  <c r="S7"/>
  <c r="C48" i="15"/>
  <c r="L47" i="44"/>
  <c r="Q61" i="15"/>
  <c r="Q74"/>
  <c r="Q76" i="44"/>
  <c r="Q63"/>
  <c r="Q54"/>
  <c r="F1"/>
  <c r="F13"/>
  <c r="C12" s="1"/>
  <c r="C7" s="1"/>
  <c r="M11" i="15"/>
  <c r="J10" s="1"/>
  <c r="J5" s="1"/>
  <c r="F11"/>
  <c r="M13" i="44"/>
  <c r="J12" s="1"/>
  <c r="J7" s="1"/>
  <c r="F1" i="15"/>
  <c r="Q53"/>
  <c r="Q75"/>
  <c r="Q62"/>
  <c r="Q75" i="44"/>
  <c r="Q62"/>
  <c r="F24" i="43"/>
  <c r="J5" i="65"/>
  <c r="I3"/>
  <c r="I7"/>
  <c r="J6"/>
  <c r="J4"/>
  <c r="I6"/>
  <c r="J7"/>
  <c r="J3"/>
  <c r="F33" i="12"/>
  <c r="I5" i="65"/>
  <c r="I4"/>
  <c r="K24" i="6" l="1"/>
  <c r="M24" s="1"/>
  <c r="I24" s="1"/>
  <c r="S24" s="1"/>
  <c r="K19"/>
  <c r="S6" i="1" s="1"/>
  <c r="H6" i="3"/>
  <c r="J1" i="65"/>
  <c r="E20" i="73"/>
  <c r="E20" i="46"/>
  <c r="D37" i="59"/>
  <c r="T37"/>
  <c r="D24"/>
  <c r="C25"/>
  <c r="D12"/>
  <c r="C11"/>
  <c r="D16"/>
  <c r="C17"/>
  <c r="D45"/>
  <c r="T45"/>
  <c r="R48" i="21"/>
  <c r="T48" i="33"/>
  <c r="G48" s="1"/>
  <c r="R48"/>
  <c r="C26" i="43"/>
  <c r="D24" s="1"/>
  <c r="C34" i="12"/>
  <c r="D33" s="1"/>
  <c r="K21" i="6"/>
  <c r="S8" i="1" s="1"/>
  <c r="K23" i="6"/>
  <c r="M23" s="1"/>
  <c r="I23" s="1"/>
  <c r="S23" s="1"/>
  <c r="E31"/>
  <c r="K25"/>
  <c r="M25" s="1"/>
  <c r="I25" s="1"/>
  <c r="S25" s="1"/>
  <c r="K22"/>
  <c r="S9" i="1" s="1"/>
  <c r="K26" i="6"/>
  <c r="M26" s="1"/>
  <c r="I26" s="1"/>
  <c r="S26" s="1"/>
  <c r="M21"/>
  <c r="I21" s="1"/>
  <c r="S21" s="1"/>
  <c r="M20"/>
  <c r="I20" s="1"/>
  <c r="S20" s="1"/>
  <c r="S7" i="1"/>
  <c r="E6" i="3"/>
  <c r="M14" i="1"/>
  <c r="K16"/>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s="1"/>
  <c r="C21" i="4"/>
  <c r="O5" i="54" s="1"/>
  <c r="B45" i="63" s="1"/>
  <c r="D10" i="11"/>
  <c r="E6" i="6"/>
  <c r="L38" i="9"/>
  <c r="B14" i="66" s="1"/>
  <c r="B1" s="1"/>
  <c r="D45" i="9"/>
  <c r="D44"/>
  <c r="D46"/>
  <c r="S5" i="46"/>
  <c r="S3"/>
  <c r="S4"/>
  <c r="S6"/>
  <c r="S2"/>
  <c r="S7"/>
  <c r="C115"/>
  <c r="D113" s="1"/>
  <c r="H12" i="40"/>
  <c r="AB12" s="1"/>
  <c r="J12" i="39"/>
  <c r="AC12" s="1"/>
  <c r="F12"/>
  <c r="H12"/>
  <c r="W12" i="40"/>
  <c r="AC12"/>
  <c r="AA12"/>
  <c r="R39" i="35"/>
  <c r="E38"/>
  <c r="I43" s="1"/>
  <c r="J43" s="1"/>
  <c r="E36" i="36"/>
  <c r="R37"/>
  <c r="G53" i="34"/>
  <c r="H53" s="1"/>
  <c r="G54"/>
  <c r="H54" s="1"/>
  <c r="AC7" i="21"/>
  <c r="V48" s="1"/>
  <c r="I48" s="1"/>
  <c r="G53" s="1"/>
  <c r="H53" s="1"/>
  <c r="W7"/>
  <c r="G47" i="37"/>
  <c r="H47" s="1"/>
  <c r="G46"/>
  <c r="H46" s="1"/>
  <c r="G52" i="21"/>
  <c r="H52" s="1"/>
  <c r="E48"/>
  <c r="E72" i="39"/>
  <c r="F70"/>
  <c r="I46" i="37"/>
  <c r="J46" s="1"/>
  <c r="R50" i="34"/>
  <c r="E49"/>
  <c r="G52" i="33"/>
  <c r="H52" s="1"/>
  <c r="E48"/>
  <c r="E42" i="37"/>
  <c r="I47" s="1"/>
  <c r="J47" s="1"/>
  <c r="R43"/>
  <c r="I41" i="36"/>
  <c r="J41" s="1"/>
  <c r="I40"/>
  <c r="J40" s="1"/>
  <c r="G42" i="35"/>
  <c r="H42" s="1"/>
  <c r="G43"/>
  <c r="H43" s="1"/>
  <c r="W7" i="33"/>
  <c r="AC7"/>
  <c r="V48" s="1"/>
  <c r="I48" s="1"/>
  <c r="E67" i="40"/>
  <c r="F65"/>
  <c r="G40" i="36"/>
  <c r="H40" s="1"/>
  <c r="G41"/>
  <c r="H41" s="1"/>
  <c r="I42" i="35"/>
  <c r="J42" s="1"/>
  <c r="I53" i="34"/>
  <c r="J53" s="1"/>
  <c r="I54"/>
  <c r="J54" s="1"/>
  <c r="J28" i="44"/>
  <c r="J31" s="1"/>
  <c r="J26"/>
  <c r="J20"/>
  <c r="C34"/>
  <c r="C40"/>
  <c r="C52" i="15"/>
  <c r="C47" s="1"/>
  <c r="C10"/>
  <c r="C5" s="1"/>
  <c r="J26"/>
  <c r="J29" s="1"/>
  <c r="J24"/>
  <c r="J18"/>
  <c r="E2" i="65"/>
  <c r="D16" i="43"/>
  <c r="D16" i="12"/>
  <c r="D22" i="72"/>
  <c r="D16"/>
  <c r="L52" i="44"/>
  <c r="E3" i="65"/>
  <c r="M19" i="6" l="1"/>
  <c r="M22"/>
  <c r="I22" s="1"/>
  <c r="S22" s="1"/>
  <c r="B40" i="1"/>
  <c r="F21" i="43" s="1"/>
  <c r="C23" s="1"/>
  <c r="D21" s="1"/>
  <c r="R49" i="21"/>
  <c r="C49" s="1"/>
  <c r="F26" i="44"/>
  <c r="C26" s="1"/>
  <c r="C16" i="72"/>
  <c r="D19"/>
  <c r="C19" s="1"/>
  <c r="C22"/>
  <c r="C20" s="1"/>
  <c r="F17" i="11"/>
  <c r="C17" s="1"/>
  <c r="C19" s="1"/>
  <c r="C20" s="1"/>
  <c r="C21" s="1"/>
  <c r="C22" s="1"/>
  <c r="C23" s="1"/>
  <c r="B2" s="1"/>
  <c r="B3" s="1"/>
  <c r="D17" i="59"/>
  <c r="T17"/>
  <c r="D11"/>
  <c r="M20" i="46" s="1"/>
  <c r="C19" s="1"/>
  <c r="M19" i="73"/>
  <c r="D25" i="59"/>
  <c r="M20" i="73" s="1"/>
  <c r="T25" i="59"/>
  <c r="N17" i="73"/>
  <c r="M17"/>
  <c r="G20" s="1"/>
  <c r="E41" s="1"/>
  <c r="C41" s="1"/>
  <c r="C39" s="1"/>
  <c r="P17"/>
  <c r="O17"/>
  <c r="O17" i="46"/>
  <c r="G20" s="1"/>
  <c r="M17"/>
  <c r="P17"/>
  <c r="N17"/>
  <c r="C16" i="43"/>
  <c r="R49" i="33"/>
  <c r="C48" s="1"/>
  <c r="S16" i="1"/>
  <c r="T11" s="1"/>
  <c r="U12" i="40"/>
  <c r="W12" i="39"/>
  <c r="D13" i="11"/>
  <c r="C13" s="1"/>
  <c r="E68" i="39"/>
  <c r="K38" i="9"/>
  <c r="C14" i="66" s="1"/>
  <c r="B2" s="1"/>
  <c r="D26" i="6"/>
  <c r="D11"/>
  <c r="H20"/>
  <c r="D9"/>
  <c r="D29"/>
  <c r="D15"/>
  <c r="E44" i="9"/>
  <c r="E46"/>
  <c r="E63" i="40"/>
  <c r="D19" i="6"/>
  <c r="D25"/>
  <c r="D13"/>
  <c r="H24"/>
  <c r="D23"/>
  <c r="D28"/>
  <c r="D30" s="1"/>
  <c r="D8"/>
  <c r="E45" i="9"/>
  <c r="D24" i="6"/>
  <c r="D22"/>
  <c r="D12"/>
  <c r="H25"/>
  <c r="D5"/>
  <c r="H22"/>
  <c r="H26"/>
  <c r="F46" i="9"/>
  <c r="F45"/>
  <c r="C22" i="4"/>
  <c r="D21" i="6"/>
  <c r="D10"/>
  <c r="H21"/>
  <c r="D6"/>
  <c r="D14"/>
  <c r="D20"/>
  <c r="R20" s="1"/>
  <c r="R7" i="1" s="1"/>
  <c r="H23" i="6"/>
  <c r="F44" i="9"/>
  <c r="O14" i="1"/>
  <c r="O16" s="1"/>
  <c r="T7"/>
  <c r="M16"/>
  <c r="T9"/>
  <c r="C7" i="66"/>
  <c r="C6"/>
  <c r="C8"/>
  <c r="D19" i="12"/>
  <c r="C19" s="1"/>
  <c r="C16"/>
  <c r="M27" i="6"/>
  <c r="I19"/>
  <c r="AB12" i="39"/>
  <c r="U12"/>
  <c r="AA12"/>
  <c r="S12"/>
  <c r="G65" i="40"/>
  <c r="F67"/>
  <c r="I52" i="33"/>
  <c r="J52" s="1"/>
  <c r="I53"/>
  <c r="J53" s="1"/>
  <c r="C42" i="37"/>
  <c r="C43"/>
  <c r="B3" s="1"/>
  <c r="B2" s="1"/>
  <c r="C49" i="33"/>
  <c r="E54" i="34"/>
  <c r="F54" s="1"/>
  <c r="E53"/>
  <c r="F53" s="1"/>
  <c r="G70" i="39"/>
  <c r="F72"/>
  <c r="C36" i="36"/>
  <c r="C37"/>
  <c r="B3" s="1"/>
  <c r="B2" s="1"/>
  <c r="E43" i="35"/>
  <c r="F43" s="1"/>
  <c r="E42"/>
  <c r="F42" s="1"/>
  <c r="G53" i="33"/>
  <c r="H53" s="1"/>
  <c r="E46" i="37"/>
  <c r="F46" s="1"/>
  <c r="E47"/>
  <c r="F47" s="1"/>
  <c r="E52" i="33"/>
  <c r="E53"/>
  <c r="F53" s="1"/>
  <c r="C50" i="34"/>
  <c r="B3" s="1"/>
  <c r="B2" s="1"/>
  <c r="C49"/>
  <c r="E53" i="21"/>
  <c r="F53" s="1"/>
  <c r="E52"/>
  <c r="F52" s="1"/>
  <c r="I52"/>
  <c r="J52" s="1"/>
  <c r="I53"/>
  <c r="J53" s="1"/>
  <c r="E41" i="36"/>
  <c r="F41" s="1"/>
  <c r="E40"/>
  <c r="F40" s="1"/>
  <c r="C39" i="35"/>
  <c r="B3" s="1"/>
  <c r="B2" s="1"/>
  <c r="C38"/>
  <c r="Q69" i="44"/>
  <c r="L58"/>
  <c r="L61" s="1"/>
  <c r="C32" i="15"/>
  <c r="C38"/>
  <c r="C59"/>
  <c r="C65"/>
  <c r="Q49" i="44"/>
  <c r="Q55" s="1"/>
  <c r="Q67"/>
  <c r="Q58"/>
  <c r="AE7" i="1"/>
  <c r="C13" i="72"/>
  <c r="D22" i="12"/>
  <c r="P14" i="1" l="1"/>
  <c r="P16" s="1"/>
  <c r="T6"/>
  <c r="T12"/>
  <c r="C48" i="21"/>
  <c r="F26" i="72"/>
  <c r="C27" s="1"/>
  <c r="D26" s="1"/>
  <c r="C32" s="1"/>
  <c r="D30" s="1"/>
  <c r="F24" i="15"/>
  <c r="C24" s="1"/>
  <c r="F26" i="12"/>
  <c r="C27" s="1"/>
  <c r="D26" s="1"/>
  <c r="C32" s="1"/>
  <c r="D30" s="1"/>
  <c r="B5" i="11"/>
  <c r="B4"/>
  <c r="C38" i="73"/>
  <c r="G38" s="1"/>
  <c r="I38" s="1"/>
  <c r="C20"/>
  <c r="C34" s="1"/>
  <c r="G34" s="1"/>
  <c r="I34" s="1"/>
  <c r="T8" i="1"/>
  <c r="T16" s="1"/>
  <c r="T10"/>
  <c r="T13"/>
  <c r="E41" i="46"/>
  <c r="C41" s="1"/>
  <c r="C38" s="1"/>
  <c r="C20"/>
  <c r="T2" s="1"/>
  <c r="V2" s="1"/>
  <c r="B3" i="33"/>
  <c r="B2" s="1"/>
  <c r="C8" i="72"/>
  <c r="C6" s="1"/>
  <c r="C17"/>
  <c r="C14"/>
  <c r="B3" i="21"/>
  <c r="B2" s="1"/>
  <c r="C8" i="12"/>
  <c r="C10" s="1"/>
  <c r="F52" i="33"/>
  <c r="G39" i="73"/>
  <c r="I39" s="1"/>
  <c r="E39"/>
  <c r="C22" i="12"/>
  <c r="C20" s="1"/>
  <c r="R24" i="6"/>
  <c r="D16"/>
  <c r="R21"/>
  <c r="R8" i="1" s="1"/>
  <c r="R25" i="6"/>
  <c r="R26"/>
  <c r="I27"/>
  <c r="S19"/>
  <c r="S27" s="1"/>
  <c r="N16" i="1"/>
  <c r="L16"/>
  <c r="A20" i="51"/>
  <c r="B15" i="63" s="1"/>
  <c r="A6" i="51"/>
  <c r="B7" i="63" s="1"/>
  <c r="A20" i="64"/>
  <c r="N5" i="54"/>
  <c r="B43" i="63" s="1"/>
  <c r="A6" i="64"/>
  <c r="D27" i="6"/>
  <c r="D31" s="1"/>
  <c r="D6" i="66"/>
  <c r="D7"/>
  <c r="D8"/>
  <c r="R22" i="6"/>
  <c r="R9" i="1" s="1"/>
  <c r="H19" i="6"/>
  <c r="H27" s="1"/>
  <c r="R23"/>
  <c r="G72" i="39"/>
  <c r="H70"/>
  <c r="G67" i="40"/>
  <c r="H65"/>
  <c r="Q68" i="44"/>
  <c r="Q77" s="1"/>
  <c r="Q59"/>
  <c r="Q64" s="1"/>
  <c r="C29" i="43"/>
  <c r="C13"/>
  <c r="C14" i="15"/>
  <c r="C16" i="44"/>
  <c r="C13" i="12"/>
  <c r="F7" i="67"/>
  <c r="C6" i="12" l="1"/>
  <c r="C17"/>
  <c r="C14"/>
  <c r="C35" i="73"/>
  <c r="G35" s="1"/>
  <c r="I35" s="1"/>
  <c r="E38"/>
  <c r="T12"/>
  <c r="V12" s="1"/>
  <c r="T13"/>
  <c r="V13" s="1"/>
  <c r="T8"/>
  <c r="V8" s="1"/>
  <c r="T5"/>
  <c r="V5" s="1"/>
  <c r="E34"/>
  <c r="T7"/>
  <c r="V7" s="1"/>
  <c r="T3"/>
  <c r="V3" s="1"/>
  <c r="T11"/>
  <c r="V11" s="1"/>
  <c r="T9"/>
  <c r="V9" s="1"/>
  <c r="T16"/>
  <c r="V16" s="1"/>
  <c r="C29"/>
  <c r="T6"/>
  <c r="V6" s="1"/>
  <c r="T14"/>
  <c r="V14" s="1"/>
  <c r="T10"/>
  <c r="V10" s="1"/>
  <c r="T15"/>
  <c r="V15" s="1"/>
  <c r="C37"/>
  <c r="E37" s="1"/>
  <c r="T4"/>
  <c r="V4" s="1"/>
  <c r="C33"/>
  <c r="E33" s="1"/>
  <c r="T2"/>
  <c r="V2" s="1"/>
  <c r="C36"/>
  <c r="G36" s="1"/>
  <c r="I36" s="1"/>
  <c r="C17" i="44"/>
  <c r="C20"/>
  <c r="C15" i="15"/>
  <c r="C18"/>
  <c r="E38" i="46"/>
  <c r="C14" i="68"/>
  <c r="G38" i="46"/>
  <c r="I38" s="1"/>
  <c r="T15"/>
  <c r="V15" s="1"/>
  <c r="T9"/>
  <c r="V9" s="1"/>
  <c r="C34"/>
  <c r="T12"/>
  <c r="V12" s="1"/>
  <c r="T6"/>
  <c r="V6" s="1"/>
  <c r="T14"/>
  <c r="V14" s="1"/>
  <c r="C33"/>
  <c r="T11"/>
  <c r="V11" s="1"/>
  <c r="C37"/>
  <c r="T3"/>
  <c r="V3" s="1"/>
  <c r="T5"/>
  <c r="V5" s="1"/>
  <c r="C29"/>
  <c r="T16"/>
  <c r="V16" s="1"/>
  <c r="T10"/>
  <c r="V10" s="1"/>
  <c r="T8"/>
  <c r="V8" s="1"/>
  <c r="C39"/>
  <c r="T4"/>
  <c r="V4" s="1"/>
  <c r="C36"/>
  <c r="C35"/>
  <c r="T13"/>
  <c r="V13" s="1"/>
  <c r="T7"/>
  <c r="V7" s="1"/>
  <c r="C24" i="72"/>
  <c r="C29"/>
  <c r="C18"/>
  <c r="C23" s="1"/>
  <c r="C35" s="1"/>
  <c r="C33" s="1"/>
  <c r="E4" i="67"/>
  <c r="R19" i="6"/>
  <c r="I5"/>
  <c r="I6"/>
  <c r="C14" i="43"/>
  <c r="C17"/>
  <c r="H67" i="40"/>
  <c r="I65"/>
  <c r="H72" i="39"/>
  <c r="I70"/>
  <c r="E7" i="67"/>
  <c r="C18" i="12" l="1"/>
  <c r="C23" s="1"/>
  <c r="D3" i="75"/>
  <c r="I3" s="1"/>
  <c r="C20" i="68"/>
  <c r="C29" i="12"/>
  <c r="C24"/>
  <c r="E35" i="73"/>
  <c r="E29"/>
  <c r="E36"/>
  <c r="G37"/>
  <c r="I37" s="1"/>
  <c r="G33"/>
  <c r="I33" s="1"/>
  <c r="C19" i="15"/>
  <c r="C20" s="1"/>
  <c r="C26" s="1"/>
  <c r="C21" i="44"/>
  <c r="C22" s="1"/>
  <c r="C25" s="1"/>
  <c r="C30" i="73"/>
  <c r="E30" s="1"/>
  <c r="G39" i="46"/>
  <c r="I39" s="1"/>
  <c r="E39"/>
  <c r="C12" i="68"/>
  <c r="C30" i="46"/>
  <c r="E30" s="1"/>
  <c r="E29"/>
  <c r="G35"/>
  <c r="I35" s="1"/>
  <c r="E35"/>
  <c r="G37"/>
  <c r="I37" s="1"/>
  <c r="E37"/>
  <c r="G33"/>
  <c r="I33" s="1"/>
  <c r="E33"/>
  <c r="E34"/>
  <c r="G34"/>
  <c r="I34" s="1"/>
  <c r="E36"/>
  <c r="G36"/>
  <c r="I36" s="1"/>
  <c r="C28" i="72"/>
  <c r="C26" s="1"/>
  <c r="C31" s="1"/>
  <c r="C30" s="1"/>
  <c r="C36" s="1"/>
  <c r="E3" i="67"/>
  <c r="R27" i="6"/>
  <c r="R6" i="1"/>
  <c r="R16" s="1"/>
  <c r="C18" i="43"/>
  <c r="C19" s="1"/>
  <c r="C28" i="12"/>
  <c r="C26" s="1"/>
  <c r="C31" s="1"/>
  <c r="C30" s="1"/>
  <c r="I72" i="39"/>
  <c r="J70"/>
  <c r="I67" i="40"/>
  <c r="J65"/>
  <c r="B7" i="67"/>
  <c r="C35" i="12" l="1"/>
  <c r="C33" s="1"/>
  <c r="C36" s="1"/>
  <c r="B2" s="1"/>
  <c r="C23" i="15"/>
  <c r="C29" s="1"/>
  <c r="C36" s="1"/>
  <c r="C26" i="73"/>
  <c r="B2" s="1"/>
  <c r="D4" s="1"/>
  <c r="C28" i="44"/>
  <c r="C31" s="1"/>
  <c r="C35" s="1"/>
  <c r="C33" s="1"/>
  <c r="C27" i="73"/>
  <c r="C26" i="46"/>
  <c r="B2" s="1"/>
  <c r="D4" s="1"/>
  <c r="C27"/>
  <c r="B2" i="72"/>
  <c r="B2" i="67"/>
  <c r="C25" i="43"/>
  <c r="C24" s="1"/>
  <c r="C22"/>
  <c r="C21" s="1"/>
  <c r="J67" i="40"/>
  <c r="K65"/>
  <c r="J72" i="39"/>
  <c r="K70"/>
  <c r="D19" i="9"/>
  <c r="C19"/>
  <c r="B3" i="12"/>
  <c r="B4"/>
  <c r="B4" i="72"/>
  <c r="Q50" i="15" l="1"/>
  <c r="J59"/>
  <c r="J60" s="1"/>
  <c r="L46" s="1"/>
  <c r="J14"/>
  <c r="J22" s="1"/>
  <c r="C56"/>
  <c r="C63" s="1"/>
  <c r="J19"/>
  <c r="J17" s="1"/>
  <c r="C13"/>
  <c r="C37" s="1"/>
  <c r="C33"/>
  <c r="C31" s="1"/>
  <c r="C13" i="68"/>
  <c r="E12" s="1"/>
  <c r="C15" i="44"/>
  <c r="Q72" s="1"/>
  <c r="C38"/>
  <c r="J16"/>
  <c r="J15" s="1"/>
  <c r="J25" s="1"/>
  <c r="Q51"/>
  <c r="J21"/>
  <c r="J19" s="1"/>
  <c r="L44" i="9"/>
  <c r="B3" i="46"/>
  <c r="B4"/>
  <c r="B3" i="73"/>
  <c r="C60" i="15"/>
  <c r="C58" s="1"/>
  <c r="B4" i="73"/>
  <c r="L43" i="9"/>
  <c r="D22"/>
  <c r="G19"/>
  <c r="C32" s="1"/>
  <c r="B4" i="67"/>
  <c r="B3"/>
  <c r="C28" i="43"/>
  <c r="C30" s="1"/>
  <c r="C32" s="1"/>
  <c r="B2" s="1"/>
  <c r="J13" i="15"/>
  <c r="J23" s="1"/>
  <c r="J16" s="1"/>
  <c r="J25" s="1"/>
  <c r="K72" i="39"/>
  <c r="L70"/>
  <c r="K67" i="40"/>
  <c r="L65"/>
  <c r="B3" i="72"/>
  <c r="C20" i="9"/>
  <c r="B5" i="72"/>
  <c r="D21" i="9"/>
  <c r="D20"/>
  <c r="B5" i="12"/>
  <c r="C21" i="9"/>
  <c r="B5" i="43"/>
  <c r="Q49" i="15" l="1"/>
  <c r="C30"/>
  <c r="C39" s="1"/>
  <c r="Q70" s="1"/>
  <c r="C21" i="68"/>
  <c r="E20" s="1"/>
  <c r="I20" s="1"/>
  <c r="J35" i="15"/>
  <c r="Q71"/>
  <c r="C55"/>
  <c r="C64" s="1"/>
  <c r="C57" s="1"/>
  <c r="C66" s="1"/>
  <c r="C67" s="1"/>
  <c r="C70" s="1"/>
  <c r="J24" i="44"/>
  <c r="J18" s="1"/>
  <c r="J27" s="1"/>
  <c r="C39"/>
  <c r="C32" s="1"/>
  <c r="C42" s="1"/>
  <c r="Q71" s="1"/>
  <c r="Q70" s="1"/>
  <c r="C43"/>
  <c r="G12" i="68"/>
  <c r="I12"/>
  <c r="C15"/>
  <c r="E14" s="1"/>
  <c r="F14" s="1"/>
  <c r="F12"/>
  <c r="N43" i="9"/>
  <c r="G21"/>
  <c r="G20"/>
  <c r="G22"/>
  <c r="C42"/>
  <c r="O38"/>
  <c r="C33"/>
  <c r="C35"/>
  <c r="F42" s="1"/>
  <c r="O43"/>
  <c r="C34"/>
  <c r="J39" i="15"/>
  <c r="J40" s="1"/>
  <c r="M65" i="40"/>
  <c r="L67"/>
  <c r="L72" i="39"/>
  <c r="M70"/>
  <c r="B4" i="43"/>
  <c r="B3"/>
  <c r="F20" i="68" l="1"/>
  <c r="E32" s="1"/>
  <c r="D32"/>
  <c r="G20"/>
  <c r="Q69" i="15"/>
  <c r="C40"/>
  <c r="Q48" s="1"/>
  <c r="Q54" s="1"/>
  <c r="C44" i="44"/>
  <c r="C45" s="1"/>
  <c r="B2" s="1"/>
  <c r="B4" s="1"/>
  <c r="E33" i="68"/>
  <c r="I14"/>
  <c r="G14"/>
  <c r="D33"/>
  <c r="S33" s="1"/>
  <c r="E42" i="9"/>
  <c r="P5" i="54" s="1"/>
  <c r="B46" i="63" s="1"/>
  <c r="M38" i="9"/>
  <c r="K27" s="1"/>
  <c r="K26"/>
  <c r="K25"/>
  <c r="N38"/>
  <c r="K28" s="1"/>
  <c r="D42"/>
  <c r="Q5" i="54" s="1"/>
  <c r="B47" i="63" s="1"/>
  <c r="D14" i="66"/>
  <c r="D63" i="9"/>
  <c r="N68"/>
  <c r="R5" i="54"/>
  <c r="B48" i="63" s="1"/>
  <c r="N65" i="40"/>
  <c r="N67" s="1"/>
  <c r="M67"/>
  <c r="N70" i="39"/>
  <c r="N72" s="1"/>
  <c r="M72"/>
  <c r="L51" i="15"/>
  <c r="Q66" l="1"/>
  <c r="C43"/>
  <c r="B2"/>
  <c r="B3" s="1"/>
  <c r="C46"/>
  <c r="J42"/>
  <c r="J43" s="1"/>
  <c r="Q57"/>
  <c r="K31" i="68"/>
  <c r="L31" s="1"/>
  <c r="F32"/>
  <c r="Q68" i="15"/>
  <c r="L57"/>
  <c r="L60" s="1"/>
  <c r="B3" i="44"/>
  <c r="B5"/>
  <c r="F33" i="68"/>
  <c r="K32"/>
  <c r="L32" s="1"/>
  <c r="C111" i="9"/>
  <c r="C104" s="1"/>
  <c r="C82"/>
  <c r="C81" s="1"/>
  <c r="C85" s="1"/>
  <c r="C86" s="1"/>
  <c r="D72" s="1"/>
  <c r="C103"/>
  <c r="C96"/>
  <c r="C91" s="1"/>
  <c r="D71"/>
  <c r="D66" s="1"/>
  <c r="N72" s="1"/>
  <c r="D70"/>
  <c r="D77"/>
  <c r="N75" s="1"/>
  <c r="C90"/>
  <c r="F14" i="66"/>
  <c r="B5"/>
  <c r="E14"/>
  <c r="J9" i="39"/>
  <c r="H9"/>
  <c r="F9"/>
  <c r="H9" i="40"/>
  <c r="J9"/>
  <c r="F9"/>
  <c r="Q58" i="15" l="1"/>
  <c r="Q63" s="1"/>
  <c r="Q67"/>
  <c r="Q76" s="1"/>
  <c r="C97" i="9"/>
  <c r="C113"/>
  <c r="C5" i="66"/>
  <c r="D5"/>
  <c r="C98" i="9"/>
  <c r="E98" s="1"/>
  <c r="E99" s="1"/>
  <c r="W9" i="40"/>
  <c r="AC9"/>
  <c r="V44" s="1"/>
  <c r="I44" s="1"/>
  <c r="S9" i="39"/>
  <c r="AA9"/>
  <c r="R49" s="1"/>
  <c r="AC9"/>
  <c r="V49" s="1"/>
  <c r="I49" s="1"/>
  <c r="W9"/>
  <c r="S9" i="40"/>
  <c r="AA9"/>
  <c r="R44" s="1"/>
  <c r="U9"/>
  <c r="AB9"/>
  <c r="T44" s="1"/>
  <c r="G44" s="1"/>
  <c r="AB9" i="39"/>
  <c r="T49" s="1"/>
  <c r="G49" s="1"/>
  <c r="U9"/>
  <c r="C99" i="9" l="1"/>
  <c r="C114"/>
  <c r="E114" s="1"/>
  <c r="E115" s="1"/>
  <c r="G54" i="39"/>
  <c r="H54" s="1"/>
  <c r="G53"/>
  <c r="H53" s="1"/>
  <c r="I53"/>
  <c r="J53" s="1"/>
  <c r="G48" i="40"/>
  <c r="H48" s="1"/>
  <c r="G49"/>
  <c r="H49" s="1"/>
  <c r="R45"/>
  <c r="E44"/>
  <c r="I49" s="1"/>
  <c r="J49" s="1"/>
  <c r="R50" i="39"/>
  <c r="E49"/>
  <c r="I48" i="40"/>
  <c r="J48" s="1"/>
  <c r="C115" i="9" l="1"/>
  <c r="D76" s="1"/>
  <c r="D74" s="1"/>
  <c r="N74" s="1"/>
  <c r="O77" s="1"/>
  <c r="C50" i="39"/>
  <c r="C49"/>
  <c r="C44" i="40"/>
  <c r="C45"/>
  <c r="E53" i="39"/>
  <c r="F53" s="1"/>
  <c r="E54"/>
  <c r="F54" s="1"/>
  <c r="E48" i="40"/>
  <c r="F48" s="1"/>
  <c r="E49"/>
  <c r="F49" s="1"/>
  <c r="I54" i="39"/>
  <c r="J54" s="1"/>
  <c r="O78" i="9" l="1"/>
  <c r="Q77"/>
  <c r="O79"/>
  <c r="B61" i="39"/>
  <c r="F61" s="1"/>
  <c r="B62"/>
  <c r="F62" s="1"/>
  <c r="B59"/>
  <c r="F59" s="1"/>
  <c r="B64"/>
  <c r="F64" s="1"/>
  <c r="B67"/>
  <c r="F67" s="1"/>
  <c r="F68"/>
  <c r="B2" s="1"/>
  <c r="B65"/>
  <c r="F65" s="1"/>
  <c r="B66"/>
  <c r="F66" s="1"/>
  <c r="B60"/>
  <c r="F60" s="1"/>
  <c r="B58"/>
  <c r="F58" s="1"/>
  <c r="B63"/>
  <c r="F63" s="1"/>
  <c r="B61" i="40"/>
  <c r="F61" s="1"/>
  <c r="B53"/>
  <c r="F53" s="1"/>
  <c r="B58"/>
  <c r="F58" s="1"/>
  <c r="B57"/>
  <c r="F57" s="1"/>
  <c r="B59"/>
  <c r="F59" s="1"/>
  <c r="F63"/>
  <c r="B2" s="1"/>
  <c r="B54"/>
  <c r="F54" s="1"/>
  <c r="B56"/>
  <c r="F56" s="1"/>
  <c r="B55"/>
  <c r="F55" s="1"/>
  <c r="B60"/>
  <c r="F60" s="1"/>
  <c r="B62"/>
  <c r="F62" s="1"/>
  <c r="O80" i="9" l="1"/>
  <c r="O81"/>
  <c r="B5" i="40"/>
  <c r="B4"/>
  <c r="B3"/>
  <c r="B3" i="39"/>
  <c r="B5"/>
  <c r="B4"/>
  <c r="B24" i="68" l="1"/>
  <c r="C17" l="1"/>
  <c r="C19" s="1"/>
  <c r="E18" s="1"/>
  <c r="F18" s="1"/>
  <c r="C16"/>
  <c r="E16" l="1"/>
  <c r="F16" s="1"/>
  <c r="I18"/>
  <c r="D35"/>
  <c r="G18"/>
  <c r="E35"/>
  <c r="F35" l="1"/>
  <c r="I16"/>
  <c r="D31"/>
  <c r="G16"/>
  <c r="E31"/>
  <c r="E36" s="1"/>
  <c r="K30" l="1"/>
  <c r="L30" s="1"/>
  <c r="F31"/>
  <c r="L34" l="1"/>
  <c r="E2" i="75" l="1"/>
  <c r="A8" l="1"/>
  <c r="S31" i="68" s="1"/>
  <c r="J2" i="75"/>
  <c r="F2"/>
  <c r="E3" l="1"/>
  <c r="A9" l="1"/>
  <c r="J3"/>
  <c r="F3"/>
  <c r="A10" l="1"/>
  <c r="S32" i="68"/>
  <c r="S3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<sst xmlns="http://schemas.openxmlformats.org/spreadsheetml/2006/main" count="7605" uniqueCount="3178">
  <si>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</si>
  <si>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</si>
  <si>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</si>
  <si>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</si>
  <si>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</si>
  <si>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</si>
  <si>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</si>
  <si>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</si>
  <si>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</si>
  <si>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</si>
  <si>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</si>
  <si>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</si>
  <si>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</si>
  <si>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</si>
  <si>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</si>
  <si>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</si>
  <si>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</si>
  <si>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</si>
  <si>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</si>
  <si>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</si>
  <si>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</si>
  <si>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</si>
  <si>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</si>
  <si>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</si>
  <si>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</si>
  <si>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</si>
  <si>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</si>
  <si>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</si>
  <si>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</si>
  <si>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</si>
  <si>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</si>
  <si>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</si>
  <si>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</si>
  <si>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</si>
  <si>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</si>
  <si>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</si>
  <si>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</si>
  <si>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</si>
  <si>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</si>
  <si>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</si>
  <si>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</si>
  <si>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</si>
  <si>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</si>
  <si>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</si>
  <si>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</si>
  <si>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</si>
  <si>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</si>
  <si>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</si>
  <si>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</si>
  <si>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</si>
  <si>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</si>
  <si>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</si>
  <si>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</si>
  <si>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</si>
  <si>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</si>
  <si>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</si>
  <si>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</si>
  <si>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</si>
  <si>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</si>
  <si>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</si>
  <si>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</si>
  <si>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</si>
  <si>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</si>
  <si>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</si>
  <si>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</si>
  <si>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</si>
  <si>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</si>
  <si>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</si>
  <si>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</si>
  <si>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</si>
  <si>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</si>
  <si>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</si>
  <si>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</si>
  <si>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</si>
  <si>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</si>
  <si>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</si>
  <si>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</si>
  <si>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</si>
  <si>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</si>
  <si>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</si>
  <si>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</si>
  <si>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</si>
  <si>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</si>
  <si>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</si>
  <si>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</si>
  <si>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</si>
  <si>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</si>
  <si>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</si>
  <si>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</si>
  <si>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</si>
  <si>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</si>
  <si>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</si>
  <si>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</si>
  <si>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</si>
  <si>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</si>
  <si>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</si>
  <si>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</si>
  <si>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</si>
  <si>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</si>
  <si>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</si>
  <si>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</si>
  <si>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</si>
  <si>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</si>
  <si>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</si>
  <si>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</si>
  <si>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</si>
  <si>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</si>
  <si>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</si>
  <si>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</si>
  <si>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</si>
  <si>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</si>
  <si>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</si>
  <si>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</si>
  <si>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</si>
  <si>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</si>
  <si>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</si>
  <si>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</si>
  <si>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</si>
  <si>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</si>
  <si>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</si>
  <si>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</si>
  <si>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</si>
  <si>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</si>
  <si>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</si>
  <si>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</si>
  <si>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</si>
  <si>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</si>
  <si>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</si>
  <si>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</si>
  <si>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</si>
  <si>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</si>
  <si>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</si>
  <si>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</si>
  <si>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</si>
  <si>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</si>
  <si>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</si>
  <si>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</si>
  <si>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</si>
  <si>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</si>
  <si>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</si>
  <si>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</si>
  <si>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</si>
  <si>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</si>
  <si>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</si>
  <si>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</si>
  <si>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</si>
  <si>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</si>
  <si>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</si>
  <si>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</si>
  <si>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</si>
  <si>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</si>
  <si>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</si>
  <si>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</si>
  <si>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</si>
  <si>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</si>
  <si>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</si>
  <si>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</si>
  <si>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</si>
  <si>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</si>
  <si>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</si>
  <si>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</si>
  <si>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</si>
  <si>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</si>
  <si>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</si>
  <si>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</si>
  <si>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</si>
  <si>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</si>
  <si>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</si>
  <si>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</si>
  <si>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</si>
  <si>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</si>
  <si>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</si>
  <si>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</si>
  <si>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</si>
  <si>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</si>
  <si>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</si>
  <si>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</si>
  <si>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</si>
  <si>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</si>
  <si>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</si>
  <si>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</si>
  <si>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</si>
  <si>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</si>
  <si>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</si>
  <si>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</si>
  <si>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</si>
  <si>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</si>
  <si>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</si>
  <si>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</si>
  <si>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</si>
  <si>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</si>
  <si>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</si>
  <si>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</si>
  <si>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</si>
  <si>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</si>
  <si>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</si>
  <si>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</si>
  <si>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</si>
  <si>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</si>
  <si>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</si>
  <si>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</si>
  <si>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</si>
  <si>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</si>
  <si>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</si>
  <si>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</si>
  <si>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</si>
  <si>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</si>
  <si>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</si>
  <si>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</si>
  <si>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</si>
  <si>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</si>
  <si>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</si>
  <si>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</si>
  <si>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</si>
  <si>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</si>
  <si>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</si>
  <si>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</si>
  <si>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</si>
  <si>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</si>
  <si>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</si>
  <si>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</si>
  <si>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</si>
  <si>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</si>
  <si>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</si>
  <si>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</si>
  <si>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</si>
  <si>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</si>
  <si>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</si>
  <si>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</si>
  <si>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</si>
  <si>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</si>
  <si>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</si>
  <si>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</si>
  <si>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</si>
  <si>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</si>
  <si>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</si>
  <si>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</si>
  <si>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</si>
  <si>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</si>
  <si>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</si>
  <si>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</si>
  <si>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</si>
  <si>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</si>
  <si>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</si>
  <si>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</si>
  <si>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</si>
  <si>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</si>
  <si>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</si>
  <si>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</si>
  <si>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</si>
  <si>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</si>
  <si>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</si>
  <si>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</si>
  <si>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</si>
  <si>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</si>
  <si>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</si>
  <si>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</si>
  <si>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</si>
  <si>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</si>
  <si>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</si>
  <si>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</si>
  <si>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</si>
  <si>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</si>
  <si>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</si>
  <si>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</si>
  <si>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</si>
  <si>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</si>
  <si>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</si>
  <si>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</si>
  <si>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</si>
  <si>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</si>
  <si>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</si>
  <si>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</si>
  <si>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</si>
  <si>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</si>
  <si>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</si>
  <si>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</si>
  <si>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</si>
  <si>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</si>
  <si>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</si>
  <si>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</si>
  <si>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</si>
  <si>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</si>
  <si>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</si>
  <si>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</si>
  <si>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</si>
  <si>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</si>
  <si>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</si>
  <si>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</si>
  <si>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</si>
  <si>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</si>
  <si>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</si>
  <si>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</si>
  <si>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</si>
  <si>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</si>
  <si>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</si>
  <si>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</si>
  <si>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</si>
  <si>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</si>
  <si>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</si>
  <si>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</si>
  <si>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</si>
  <si>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</si>
  <si>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</si>
  <si>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</si>
  <si>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</si>
  <si>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</si>
  <si>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</si>
  <si>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</si>
  <si>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</si>
  <si>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</si>
  <si>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</si>
  <si>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</si>
  <si>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</si>
  <si>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</si>
  <si>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</si>
  <si>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</si>
  <si>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</si>
  <si>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</si>
  <si>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</si>
  <si>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</si>
  <si>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</si>
  <si>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</si>
  <si>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</si>
  <si>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</si>
  <si>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</si>
  <si>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</si>
  <si>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</si>
  <si>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</si>
  <si>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</si>
  <si>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</si>
  <si>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</si>
  <si>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</si>
  <si>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</si>
  <si>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</si>
  <si>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</si>
  <si>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</si>
  <si>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</si>
  <si>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</si>
  <si>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</si>
  <si>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</si>
  <si>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</si>
  <si>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</si>
  <si>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</si>
  <si>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</si>
  <si>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</si>
  <si>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</si>
  <si>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</si>
  <si>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</si>
  <si>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</si>
  <si>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</si>
  <si>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</si>
  <si>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</si>
  <si>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</si>
  <si>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</si>
  <si>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</si>
  <si>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</si>
  <si>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</si>
  <si>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</si>
  <si>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</si>
  <si>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</si>
  <si>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</si>
  <si>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</si>
  <si>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</si>
  <si>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</si>
  <si>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</si>
  <si>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</si>
  <si>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</si>
  <si>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</si>
  <si>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</si>
  <si>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</si>
  <si>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</si>
  <si>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</si>
  <si>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</si>
  <si>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</si>
  <si>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</si>
  <si>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</si>
  <si>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</si>
  <si>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</si>
  <si>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</si>
  <si>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</si>
  <si>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</si>
  <si>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</si>
  <si>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</si>
  <si>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</si>
  <si>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</si>
  <si>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</si>
  <si>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</si>
  <si>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</si>
  <si>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</si>
  <si>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</si>
  <si>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</si>
  <si>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</si>
  <si>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</si>
  <si>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</si>
  <si>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</si>
  <si>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</si>
  <si>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</si>
  <si>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</si>
  <si>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</si>
  <si>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</si>
  <si>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</si>
  <si>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</si>
  <si>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</si>
  <si>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</si>
  <si>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</si>
  <si>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</si>
  <si>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</si>
  <si>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</si>
  <si>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</si>
  <si>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</si>
  <si>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</si>
  <si>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</si>
  <si>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</si>
  <si>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</si>
  <si>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</si>
  <si>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</si>
  <si>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</si>
  <si>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</si>
  <si>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</si>
  <si>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</si>
  <si>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</si>
  <si>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</si>
  <si>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</si>
  <si>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</si>
  <si>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</si>
  <si>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</si>
  <si>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</si>
  <si>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</si>
  <si>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</si>
  <si>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</si>
  <si>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</si>
  <si>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</si>
  <si>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</si>
  <si>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</si>
  <si>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</si>
  <si>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</si>
  <si>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</si>
  <si>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</si>
  <si>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</si>
  <si>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</si>
  <si>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</si>
  <si>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</si>
  <si>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</si>
  <si>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</si>
  <si>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</si>
  <si>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</si>
  <si>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</si>
  <si>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</si>
  <si>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</si>
  <si>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</si>
  <si>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</si>
  <si>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</si>
  <si>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</si>
  <si>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</si>
  <si>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</si>
  <si>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</si>
  <si>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</si>
  <si>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</si>
  <si>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</si>
  <si>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</si>
  <si>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</si>
  <si>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</si>
  <si>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</si>
  <si>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</si>
  <si>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</si>
  <si>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</si>
  <si>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</si>
  <si>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</si>
  <si>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</si>
  <si>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</si>
  <si>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</si>
  <si>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</si>
  <si>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</si>
  <si>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</si>
  <si>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</si>
  <si>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</si>
  <si>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</si>
  <si>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</si>
  <si>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</si>
  <si>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</si>
  <si>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</si>
  <si>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</si>
  <si>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</si>
  <si>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</si>
  <si>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</si>
  <si>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</si>
  <si>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</si>
  <si>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</si>
  <si>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</si>
  <si>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</si>
  <si>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</si>
  <si>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</si>
  <si>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</si>
  <si>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</si>
  <si>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</si>
  <si>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</si>
  <si>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</si>
  <si>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</si>
  <si>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</si>
  <si>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</si>
  <si>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</si>
  <si>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</si>
  <si>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</si>
  <si>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</si>
  <si>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</si>
  <si>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</si>
  <si>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</si>
  <si>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</si>
  <si>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</si>
  <si>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</si>
  <si>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</si>
  <si>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</si>
  <si>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</si>
  <si>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</si>
  <si>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</si>
  <si>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</si>
  <si>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</si>
  <si>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</si>
  <si>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</si>
  <si>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</si>
  <si>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</si>
  <si>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</si>
  <si>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</si>
  <si>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</si>
  <si>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</si>
  <si>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</si>
  <si>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</si>
  <si>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</si>
  <si>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</si>
  <si>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</si>
  <si>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</si>
  <si>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</si>
  <si>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</si>
  <si>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</si>
  <si>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</si>
  <si>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</si>
  <si>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</si>
  <si>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</si>
  <si>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</si>
  <si>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</si>
  <si>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</si>
  <si>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</si>
  <si>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</si>
  <si>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</si>
  <si>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</si>
  <si>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</si>
  <si>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</si>
  <si>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</si>
  <si>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</si>
  <si>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</si>
  <si>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</si>
  <si>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</si>
  <si>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</si>
  <si>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</si>
  <si>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</si>
  <si>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</si>
  <si>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</si>
  <si>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</si>
  <si>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</si>
  <si>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</si>
  <si>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</si>
  <si>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</si>
  <si>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</si>
  <si>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</si>
  <si>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</si>
  <si>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</si>
  <si>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</si>
  <si>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</si>
  <si>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</si>
  <si>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</si>
  <si>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</si>
  <si>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</si>
  <si>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</si>
  <si>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</si>
  <si>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</si>
  <si>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</si>
  <si>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</si>
  <si>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</si>
  <si>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</si>
  <si>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</si>
  <si>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</si>
  <si>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</si>
  <si>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</si>
  <si>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</si>
  <si>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</si>
  <si>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</si>
  <si>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</si>
  <si>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</si>
  <si>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</si>
  <si>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</si>
  <si>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</si>
  <si>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</si>
  <si>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</si>
  <si>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</si>
  <si>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</si>
  <si>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</si>
  <si>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</si>
  <si>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</si>
  <si>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</si>
  <si>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</si>
  <si>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</si>
  <si>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</si>
  <si>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</si>
  <si>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</si>
  <si>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</si>
  <si>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</si>
  <si>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</si>
  <si>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</si>
  <si>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</si>
  <si>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</si>
  <si>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</si>
  <si>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</si>
  <si>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</si>
  <si>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</si>
  <si>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</si>
  <si>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</si>
  <si>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</si>
  <si>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</si>
  <si>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</si>
  <si>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</si>
  <si>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</si>
  <si>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</si>
  <si>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</si>
  <si>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</si>
  <si>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</si>
  <si>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</si>
  <si>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</si>
  <si>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</si>
  <si>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</si>
  <si>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</si>
  <si>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</si>
  <si>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</si>
  <si>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</si>
  <si>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</si>
  <si>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</si>
  <si>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</si>
  <si>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</si>
  <si>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</si>
  <si>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</si>
  <si>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</si>
  <si>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</si>
  <si>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</si>
  <si>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</si>
  <si>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</si>
  <si>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</si>
  <si>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</si>
  <si>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</si>
  <si>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</si>
  <si>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</si>
  <si>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</si>
  <si>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</si>
  <si>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</si>
  <si>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</si>
  <si>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</si>
  <si>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</si>
  <si>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</si>
  <si>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</si>
  <si>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</si>
  <si>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</si>
  <si>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</si>
  <si>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</si>
  <si>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</si>
  <si>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</si>
  <si>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</si>
  <si>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</si>
  <si>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</si>
  <si>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</si>
  <si>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</si>
  <si>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</si>
  <si>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</si>
  <si>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</si>
  <si>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</si>
  <si>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</si>
  <si>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</si>
  <si>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</si>
  <si>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</si>
  <si>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</si>
  <si>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</si>
  <si>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</si>
  <si>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</si>
  <si>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</si>
  <si>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</si>
  <si>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</si>
  <si>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</si>
  <si>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</si>
  <si>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</si>
  <si>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</si>
  <si>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</si>
  <si>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</si>
  <si>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</si>
  <si>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</si>
  <si>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</si>
  <si>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</si>
  <si>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</si>
  <si>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</si>
  <si>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</si>
  <si>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</si>
  <si>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</si>
  <si>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</si>
  <si>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</si>
  <si>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</si>
  <si>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</si>
  <si>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</si>
  <si>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</si>
  <si>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</si>
  <si>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</si>
  <si>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</si>
  <si>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</si>
  <si>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</si>
  <si>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</si>
  <si>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</si>
  <si>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</si>
  <si>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</si>
  <si>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</si>
  <si>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</si>
  <si>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</si>
  <si>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</si>
  <si>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</si>
  <si>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</si>
  <si>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</si>
  <si>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</si>
  <si>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</si>
  <si>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</si>
  <si>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</si>
  <si>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</si>
  <si>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</si>
  <si>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</si>
  <si>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</si>
  <si>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</si>
  <si>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</si>
  <si>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</si>
  <si>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</si>
  <si>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</si>
  <si>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</si>
  <si>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</si>
  <si>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</si>
  <si>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</si>
  <si>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</si>
  <si>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</si>
  <si>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</si>
  <si>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</si>
  <si>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</si>
  <si>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</si>
  <si>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</si>
  <si>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</si>
  <si>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</si>
  <si>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</si>
  <si>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</si>
  <si>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</si>
  <si>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</si>
  <si>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</si>
  <si>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</si>
  <si>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</si>
  <si>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</si>
  <si>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</si>
  <si>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</si>
  <si>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</si>
  <si>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</si>
  <si>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</si>
  <si>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</si>
  <si>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</si>
  <si>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</si>
  <si>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</si>
  <si>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</si>
  <si>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</si>
  <si>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</si>
  <si>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</si>
  <si>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</si>
  <si>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</si>
  <si>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</si>
  <si>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</si>
  <si>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</si>
  <si>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</si>
  <si>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</si>
  <si>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</si>
  <si>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</si>
  <si>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</si>
  <si>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</si>
  <si>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</si>
  <si>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</si>
  <si>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</si>
  <si>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</si>
  <si>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</si>
  <si>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</si>
  <si>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</si>
  <si>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</si>
  <si>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</si>
  <si>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</si>
  <si>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</si>
  <si>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</si>
  <si>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</si>
  <si>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</si>
  <si>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</si>
  <si>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</si>
  <si>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</si>
  <si>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</si>
  <si>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</si>
  <si>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</si>
  <si>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</si>
  <si>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</si>
  <si>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</si>
  <si>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</si>
  <si>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</si>
  <si>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</si>
  <si>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</si>
  <si>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</si>
  <si>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</si>
  <si>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</si>
  <si>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</si>
  <si>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</si>
  <si>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</si>
  <si>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</si>
  <si>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</si>
  <si>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</si>
  <si>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</si>
  <si>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</si>
  <si>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</si>
  <si>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</si>
  <si>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</si>
  <si>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</si>
  <si>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</si>
  <si>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</si>
  <si>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</si>
  <si>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</si>
  <si>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</si>
  <si>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</si>
  <si>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</si>
  <si>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</si>
  <si>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</si>
  <si>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</si>
  <si>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</si>
  <si>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</si>
  <si>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</si>
  <si>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</si>
  <si>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</si>
  <si>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</si>
  <si>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</si>
  <si>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</si>
  <si>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</si>
  <si>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</si>
  <si>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</si>
  <si>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</si>
  <si>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</si>
  <si>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</si>
  <si>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</si>
  <si>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</si>
  <si>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</si>
  <si>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</si>
  <si>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</si>
  <si>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</si>
  <si>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</si>
  <si>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</si>
  <si>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</si>
  <si>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</si>
  <si>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</si>
  <si>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</si>
  <si>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</si>
  <si>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</si>
  <si>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</si>
  <si>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</si>
  <si>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</si>
  <si>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</si>
  <si>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</si>
  <si>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</si>
  <si>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</si>
  <si>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</si>
  <si>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</si>
  <si>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</si>
  <si>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</si>
  <si>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</si>
  <si>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</si>
  <si>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</si>
  <si>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</si>
  <si>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</si>
  <si>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</si>
  <si>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</si>
  <si>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</si>
  <si>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</si>
  <si>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</si>
  <si>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</si>
  <si>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</si>
  <si>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</si>
  <si>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</si>
  <si>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</si>
  <si>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</si>
  <si>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</si>
  <si>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</si>
  <si>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</si>
  <si>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</si>
  <si>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</si>
  <si>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</si>
  <si>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</si>
  <si>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</si>
  <si>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</si>
  <si>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</si>
  <si>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</si>
  <si>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</si>
  <si>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</si>
  <si>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</si>
  <si>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</si>
  <si>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</si>
  <si>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</si>
  <si>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</si>
  <si>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</si>
  <si>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</si>
  <si>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</si>
  <si>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</si>
  <si>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</si>
  <si>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</si>
  <si>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</si>
  <si>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</si>
  <si>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</si>
  <si>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</si>
  <si>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</si>
  <si>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</si>
  <si>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</si>
  <si>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</si>
  <si>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</si>
  <si>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</si>
  <si>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</si>
  <si>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</si>
  <si>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</si>
  <si>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</si>
  <si>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</si>
  <si>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</si>
  <si>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</si>
  <si>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</si>
  <si>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</si>
  <si>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</si>
  <si>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</si>
  <si>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</si>
  <si>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</si>
  <si>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</si>
  <si>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</si>
  <si>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</si>
  <si>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</si>
  <si>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</si>
  <si>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</si>
  <si>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</si>
  <si>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</si>
  <si>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</si>
  <si>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</si>
  <si>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</si>
  <si>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</si>
  <si>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</si>
  <si>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</si>
  <si>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</si>
  <si>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</si>
  <si>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</si>
  <si>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</si>
  <si>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</si>
  <si>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</si>
  <si>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</si>
  <si>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</si>
  <si>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</si>
  <si>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</si>
  <si>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</si>
  <si>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</si>
  <si>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</si>
  <si>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</si>
  <si>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</si>
  <si>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</si>
  <si>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</si>
  <si>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</si>
  <si>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</si>
  <si>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</si>
  <si>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</si>
  <si>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</si>
  <si>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</si>
  <si>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</si>
  <si>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</si>
  <si>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</si>
  <si>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</si>
  <si>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</si>
  <si>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</si>
  <si>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</si>
  <si>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</si>
  <si>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</si>
  <si>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</si>
  <si>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</si>
  <si>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</si>
  <si>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</si>
  <si>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</si>
  <si>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</si>
  <si>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</si>
  <si>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</si>
  <si>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</si>
  <si>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</si>
  <si>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</si>
  <si>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</si>
  <si>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</si>
  <si>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</si>
  <si>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</si>
  <si>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</si>
  <si>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</si>
  <si>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</si>
  <si>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</si>
  <si>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</si>
  <si>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</si>
  <si>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</si>
  <si>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</si>
  <si>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</si>
  <si>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</si>
  <si>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</si>
  <si>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</si>
  <si>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</si>
  <si>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</si>
  <si>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</si>
  <si>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</si>
  <si>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</si>
  <si>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</si>
  <si>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</si>
  <si>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</si>
  <si>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</si>
  <si>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</si>
  <si>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</si>
  <si>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</si>
  <si>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</si>
  <si>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</si>
  <si>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</si>
  <si>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</si>
  <si>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</si>
  <si>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</si>
  <si>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</si>
  <si>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</si>
  <si>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</si>
  <si>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</si>
  <si>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</si>
  <si>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</si>
  <si>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</si>
  <si>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</si>
  <si>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</si>
  <si>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</si>
  <si>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</si>
  <si>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</si>
  <si>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</si>
  <si>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</si>
  <si>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</si>
  <si>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</si>
  <si>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</si>
  <si>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</si>
  <si>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</si>
  <si>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</si>
  <si>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</si>
  <si>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</si>
  <si>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</si>
  <si>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</si>
  <si>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</si>
  <si>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</si>
  <si>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</si>
  <si>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</si>
  <si>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</si>
  <si>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</si>
  <si>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</si>
  <si>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</si>
  <si>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</si>
  <si>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</si>
  <si>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</si>
  <si>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</si>
  <si>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</si>
  <si>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</si>
  <si>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</si>
  <si>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</si>
  <si>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</si>
  <si>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</si>
  <si>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</si>
  <si>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</si>
  <si>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</si>
  <si>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</si>
  <si>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</si>
  <si>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</si>
  <si>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</si>
  <si>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</si>
  <si>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</si>
  <si>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</si>
  <si>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</si>
  <si>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</si>
  <si>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</si>
  <si>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</si>
  <si>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</si>
  <si>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</si>
  <si>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</si>
  <si>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</si>
  <si>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</si>
  <si>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</si>
  <si>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</si>
  <si>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</si>
  <si>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</si>
  <si>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</si>
  <si>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</si>
  <si>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</si>
  <si>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</si>
  <si>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</si>
  <si>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</si>
  <si>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</si>
  <si>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</si>
  <si>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</si>
  <si>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</si>
  <si>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</si>
  <si>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</si>
  <si>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</si>
  <si>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</si>
  <si>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</si>
  <si>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</si>
  <si>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</si>
  <si>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</si>
  <si>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</si>
  <si>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</si>
  <si>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</si>
  <si>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</si>
  <si>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</si>
  <si>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</si>
  <si>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</si>
  <si>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</si>
  <si>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</si>
  <si>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</si>
  <si>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</si>
  <si>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</si>
  <si>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</si>
  <si>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</si>
  <si>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</si>
  <si>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</si>
  <si>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</si>
  <si>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</si>
  <si>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</si>
  <si>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</si>
  <si>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</si>
  <si>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</si>
  <si>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</si>
  <si>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</si>
  <si>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</si>
  <si>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</si>
  <si>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</si>
  <si>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</si>
  <si>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</si>
  <si>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</si>
  <si>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</si>
  <si>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</si>
  <si>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</si>
  <si>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</si>
  <si>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</si>
  <si>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</si>
  <si>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</si>
  <si>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</si>
  <si>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</si>
  <si>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</si>
  <si>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</si>
  <si>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</si>
  <si>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</si>
  <si>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</si>
  <si>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</si>
  <si>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</si>
  <si>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</si>
  <si>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</si>
  <si>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</si>
  <si>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</si>
  <si>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</si>
  <si>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</si>
  <si>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</si>
  <si>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</si>
  <si>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</si>
  <si>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</si>
  <si>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</si>
  <si>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</si>
  <si>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</si>
  <si>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</si>
  <si>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</si>
  <si>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</si>
  <si>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</si>
  <si>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</si>
  <si>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</si>
  <si>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</si>
  <si>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</si>
  <si>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</si>
  <si>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</si>
  <si>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</si>
  <si>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</si>
  <si>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</si>
  <si>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</si>
  <si>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</si>
  <si>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</si>
  <si>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</si>
  <si>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</si>
  <si>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</si>
  <si>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</si>
  <si>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</si>
  <si>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</si>
  <si>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</si>
  <si>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</si>
  <si>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</si>
  <si>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</si>
  <si>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</si>
  <si>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</si>
  <si>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</si>
  <si>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</si>
  <si>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</si>
  <si>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</si>
  <si>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</si>
  <si>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</si>
  <si>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</si>
  <si>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</si>
  <si>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</si>
  <si>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</si>
  <si>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</si>
  <si>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</si>
  <si>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</si>
  <si>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</si>
  <si>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</si>
  <si>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</si>
  <si>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</si>
  <si>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</si>
  <si>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</si>
  <si>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</si>
  <si>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</si>
  <si>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</si>
  <si>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</si>
  <si>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</si>
  <si>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</si>
  <si>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</si>
  <si>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</si>
  <si>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</si>
  <si>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</si>
  <si>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</si>
  <si>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</si>
  <si>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</si>
  <si>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</si>
  <si>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</si>
  <si>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</si>
  <si>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</si>
  <si>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</si>
  <si>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</si>
  <si>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</si>
  <si>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</si>
  <si>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</si>
  <si>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</si>
  <si>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</si>
  <si>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</si>
  <si>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</si>
  <si>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</si>
  <si>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</si>
  <si>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</si>
  <si>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</si>
  <si>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</si>
  <si>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</si>
  <si>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</si>
  <si>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</si>
  <si>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</si>
  <si>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</si>
  <si>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</si>
  <si>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</si>
  <si>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</si>
  <si>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</si>
  <si>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</si>
  <si>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</si>
  <si>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</si>
  <si>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</si>
  <si>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</si>
  <si>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</si>
  <si>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</si>
  <si>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</si>
  <si>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</si>
  <si>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</si>
  <si>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</si>
  <si>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</si>
  <si>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</si>
  <si>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</si>
  <si>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</si>
  <si>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</si>
  <si>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</si>
  <si>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</si>
  <si>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</si>
  <si>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</si>
  <si>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</si>
  <si>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</si>
  <si>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</si>
  <si>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</si>
  <si>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</si>
  <si>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</si>
  <si>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</si>
  <si>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</si>
  <si>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</si>
  <si>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</si>
  <si>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</si>
  <si>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</si>
  <si>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</si>
  <si>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</si>
  <si>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</si>
  <si>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</si>
  <si>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</si>
  <si>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</si>
  <si>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</si>
  <si>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</si>
  <si>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</si>
  <si>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</si>
  <si>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</si>
  <si>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</si>
  <si>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</si>
  <si>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</si>
  <si>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</si>
  <si>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</si>
  <si>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</si>
  <si>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</si>
  <si>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</si>
  <si>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</si>
  <si>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</si>
  <si>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</si>
  <si>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</si>
  <si>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</si>
  <si>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</si>
  <si>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</si>
  <si>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</si>
  <si>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</si>
  <si>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</si>
  <si>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</si>
  <si>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</si>
  <si>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</si>
  <si>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</si>
  <si>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</si>
  <si>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</si>
  <si>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</si>
  <si>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</si>
  <si>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</si>
  <si>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</si>
  <si>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</si>
  <si>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</si>
  <si>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</si>
  <si>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</si>
  <si>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</si>
  <si>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</si>
  <si>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</si>
  <si>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</si>
  <si>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</si>
  <si>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</si>
  <si>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</si>
  <si>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</si>
  <si>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</si>
  <si>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</si>
  <si>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</si>
  <si>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</si>
  <si>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</si>
  <si>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</si>
  <si>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</si>
  <si>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</si>
  <si>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</si>
  <si>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</si>
  <si>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</si>
  <si>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</si>
  <si>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</si>
  <si>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</si>
  <si>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</si>
  <si>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</si>
  <si>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</si>
  <si>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</si>
  <si>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</si>
  <si>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</si>
  <si>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</si>
  <si>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</si>
  <si>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</si>
  <si>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</si>
  <si>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</si>
  <si>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</si>
  <si>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</si>
  <si>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</si>
  <si>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</si>
  <si>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</si>
  <si>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</si>
  <si>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</si>
  <si>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</si>
  <si>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</si>
  <si>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</si>
  <si>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</si>
  <si>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</si>
  <si>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</si>
  <si>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</si>
  <si>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</si>
  <si>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</si>
  <si>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</si>
  <si>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</si>
  <si>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</si>
  <si>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</si>
  <si>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</si>
  <si>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</si>
  <si>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</si>
  <si>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</si>
  <si>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</si>
  <si>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</si>
  <si>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</si>
  <si>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</si>
  <si>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</si>
  <si>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</si>
  <si>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</si>
  <si>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</si>
  <si>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</si>
  <si>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</si>
  <si>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</si>
  <si>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</si>
  <si>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</si>
  <si>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</si>
  <si>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</si>
  <si>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</si>
  <si>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</si>
  <si>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</si>
  <si>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</si>
  <si>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</si>
  <si>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</si>
  <si>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</si>
  <si>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</si>
  <si>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</si>
  <si>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</si>
  <si>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</si>
  <si>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</si>
  <si>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</si>
  <si>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</si>
  <si>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</si>
  <si>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</si>
  <si>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</si>
  <si>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</si>
  <si>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</si>
  <si>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</si>
  <si>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</si>
  <si>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</si>
  <si>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</si>
  <si>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</si>
  <si>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</si>
  <si>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</si>
  <si>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</si>
  <si>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</si>
  <si>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</si>
  <si>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</si>
  <si>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</si>
  <si>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</si>
  <si>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</si>
  <si>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</si>
  <si>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</si>
  <si>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</si>
  <si>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</si>
  <si>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</si>
  <si>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</si>
  <si>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</si>
  <si>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</si>
  <si>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</si>
  <si>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</si>
  <si>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</si>
  <si>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</si>
  <si>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</si>
  <si>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</si>
  <si>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</si>
  <si>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</si>
  <si>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</si>
  <si>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</si>
  <si>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</si>
  <si>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</si>
  <si>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</si>
  <si>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</si>
  <si>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</si>
  <si>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</si>
  <si>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</si>
  <si>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</si>
  <si>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</si>
  <si>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</si>
  <si>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</si>
  <si>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</si>
  <si>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</si>
  <si>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</si>
  <si>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</si>
  <si>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</si>
  <si>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</si>
  <si>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</si>
  <si>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</si>
  <si>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</si>
  <si>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</si>
  <si>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</si>
  <si>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</si>
  <si>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</si>
  <si>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</si>
  <si>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</si>
  <si>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</si>
  <si>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</si>
  <si>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</si>
  <si>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</si>
  <si>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</si>
  <si>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</si>
  <si>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</si>
  <si>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</si>
  <si>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</si>
  <si>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</si>
  <si>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</si>
  <si>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</si>
  <si>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</si>
  <si>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</si>
  <si>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</si>
  <si>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</si>
  <si>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</si>
  <si>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</si>
  <si>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</si>
  <si>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</si>
  <si>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</si>
  <si>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</si>
  <si>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</si>
  <si>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</si>
  <si>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</si>
  <si>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</si>
  <si>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</si>
  <si>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</si>
  <si>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</si>
  <si>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</si>
  <si>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</si>
  <si>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</si>
  <si>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</si>
  <si>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</si>
  <si>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</si>
  <si>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</si>
  <si>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</si>
  <si>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</si>
  <si>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</si>
  <si>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</si>
  <si>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</si>
  <si>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</si>
  <si>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</si>
  <si>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</si>
  <si>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</si>
  <si>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</si>
  <si>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</si>
  <si>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</si>
  <si>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</si>
  <si>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</si>
  <si>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</si>
  <si>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</si>
  <si>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</si>
  <si>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</si>
  <si>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</si>
  <si>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</si>
  <si>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</si>
  <si>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</si>
  <si>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</si>
  <si>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</si>
  <si>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</si>
  <si>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</si>
  <si>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</si>
  <si>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</si>
  <si>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</si>
  <si>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</si>
  <si>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</si>
  <si>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</si>
  <si>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</si>
  <si>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</si>
  <si>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</si>
  <si>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</si>
  <si>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</si>
  <si>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</si>
  <si>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</si>
  <si>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</si>
  <si>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</si>
  <si>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</si>
  <si>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</si>
  <si>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</si>
  <si>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</si>
  <si>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</si>
  <si>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</si>
  <si>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</si>
  <si>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</si>
  <si>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</si>
  <si>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</si>
  <si>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</si>
  <si>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</si>
  <si>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</si>
  <si>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</si>
  <si>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</si>
  <si>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</si>
  <si>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</si>
  <si>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</si>
  <si>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</si>
  <si>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</si>
  <si>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</si>
  <si>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</si>
  <si>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</si>
  <si>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</si>
  <si>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</si>
  <si>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</si>
  <si>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</si>
  <si>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</si>
  <si>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</si>
  <si>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</si>
  <si>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</si>
  <si>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</si>
  <si>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</si>
  <si>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</si>
  <si>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</si>
  <si>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</si>
  <si>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</si>
  <si>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</si>
  <si>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</si>
  <si>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</si>
  <si>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</si>
  <si>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</si>
  <si>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</si>
  <si>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</si>
  <si>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</si>
  <si>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</si>
  <si>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</si>
  <si>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</si>
  <si>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</si>
  <si>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</si>
  <si>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</si>
  <si>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</si>
  <si>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</si>
  <si>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</si>
  <si>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</si>
  <si>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</si>
  <si>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</si>
  <si>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</si>
  <si>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</si>
  <si>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</si>
  <si>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</si>
  <si>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</si>
  <si>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</si>
  <si>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</si>
  <si>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</si>
  <si>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</si>
  <si>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</si>
  <si>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</si>
  <si>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</si>
  <si>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</si>
  <si>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</si>
  <si>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</si>
  <si>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</si>
  <si>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</si>
  <si>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</si>
  <si>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</si>
  <si>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</si>
  <si>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</si>
  <si>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</si>
  <si>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</si>
  <si>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</si>
  <si>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</si>
  <si>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</si>
  <si>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</si>
  <si>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</si>
  <si>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</si>
  <si>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</si>
  <si>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</si>
  <si>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</si>
  <si>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</si>
  <si>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</si>
  <si>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</si>
  <si>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</si>
  <si>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</si>
  <si>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</si>
  <si>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</si>
  <si>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</si>
  <si>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</si>
  <si>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</si>
  <si>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</si>
  <si>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</si>
  <si>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</si>
  <si>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</si>
  <si>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</si>
  <si>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</si>
  <si>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</si>
  <si>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</si>
  <si>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</si>
  <si>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</si>
  <si>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</si>
  <si>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</si>
  <si>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</si>
  <si>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</si>
  <si>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</si>
  <si>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</si>
  <si>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</si>
  <si>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</si>
  <si>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</si>
  <si>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</si>
  <si>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</si>
  <si>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</si>
  <si>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</si>
  <si>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</si>
  <si>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</si>
  <si>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</si>
  <si>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</si>
  <si>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</si>
  <si>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</si>
  <si>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</si>
  <si>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</si>
  <si>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</si>
  <si>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</si>
  <si>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</si>
  <si>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</si>
  <si>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</si>
  <si>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</si>
  <si>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</si>
  <si>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</si>
  <si>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</si>
  <si>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</si>
  <si>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</si>
  <si>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</si>
  <si>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</si>
  <si>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</si>
  <si>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</si>
  <si>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</si>
  <si>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</si>
  <si>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</si>
  <si>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</si>
  <si>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</si>
  <si>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</si>
  <si>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</si>
  <si>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</si>
  <si>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</si>
  <si>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</si>
  <si>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</si>
  <si>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</si>
  <si>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</si>
  <si>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</si>
  <si>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</si>
  <si>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</si>
  <si>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</si>
  <si>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</si>
  <si>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</si>
  <si>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</si>
  <si>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</si>
  <si>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</si>
  <si>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</si>
  <si>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</si>
  <si>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</si>
  <si>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</si>
  <si>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</si>
  <si>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</si>
  <si>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</si>
  <si>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</si>
  <si>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</si>
  <si>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</si>
  <si>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</si>
  <si>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</si>
  <si>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</si>
  <si>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</si>
  <si>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</si>
  <si>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</si>
  <si>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</si>
  <si>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</si>
  <si>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</si>
  <si>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</si>
  <si>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</si>
  <si>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</si>
  <si>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</si>
  <si>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</si>
  <si>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</si>
  <si>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</si>
  <si>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</si>
  <si>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</si>
  <si>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</si>
  <si>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</si>
  <si>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</si>
  <si>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</si>
  <si>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</si>
  <si>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</si>
  <si>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</si>
  <si>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</si>
  <si>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</si>
  <si>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</si>
  <si>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</si>
  <si>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</si>
  <si>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</si>
  <si>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</si>
  <si>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</si>
  <si>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</si>
  <si>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</si>
  <si>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</si>
  <si>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</si>
  <si>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</si>
  <si>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</si>
  <si>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</si>
  <si>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</si>
  <si>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</si>
  <si>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</si>
  <si>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</si>
  <si>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</si>
  <si>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</si>
  <si>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</si>
  <si>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</si>
  <si>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</si>
  <si>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</si>
  <si>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</si>
  <si>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</si>
  <si>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</si>
  <si>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</si>
  <si>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</si>
  <si>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</si>
  <si>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</si>
  <si>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</si>
  <si>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</si>
  <si>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</si>
  <si>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</si>
  <si>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</si>
  <si>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</si>
  <si>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</si>
  <si>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</si>
  <si>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</si>
  <si>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</si>
  <si>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</si>
  <si>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</si>
  <si>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</si>
  <si>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</si>
  <si>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</si>
  <si>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</si>
  <si>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</si>
  <si>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</si>
  <si>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</si>
  <si>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</si>
  <si>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</si>
  <si>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</si>
  <si>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</si>
  <si>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</si>
  <si>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</si>
  <si>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</si>
  <si>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</si>
  <si>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</si>
  <si>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</si>
  <si>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</si>
  <si>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</si>
  <si>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</si>
  <si>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</si>
  <si>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</si>
  <si>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</si>
  <si>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</si>
  <si>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</si>
  <si>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</si>
  <si>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</si>
  <si>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</si>
  <si>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</si>
  <si>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</si>
  <si>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</si>
  <si>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</si>
  <si>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</si>
  <si>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</si>
  <si>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</si>
  <si>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</si>
  <si>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</si>
  <si>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</si>
  <si>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</si>
  <si>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</si>
  <si>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</si>
  <si>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</si>
  <si>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</si>
  <si>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</si>
  <si>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</si>
  <si>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</si>
  <si>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</si>
  <si>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</si>
  <si>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</si>
  <si>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</si>
  <si>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</si>
  <si>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</si>
  <si>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</si>
  <si>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</si>
  <si>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</si>
  <si>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</si>
  <si>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</si>
  <si>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</si>
  <si>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</si>
  <si>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</si>
  <si>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</si>
  <si>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</si>
  <si>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</si>
  <si>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</si>
  <si>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</si>
  <si>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</si>
  <si>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</si>
  <si>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</si>
  <si>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</si>
  <si>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</si>
  <si>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</si>
  <si>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</si>
  <si>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</si>
  <si>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</si>
  <si>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</si>
  <si>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</si>
  <si>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</si>
  <si>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</si>
  <si>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</si>
  <si>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</si>
  <si>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</si>
  <si>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</si>
  <si>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</si>
  <si>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</si>
  <si>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</si>
  <si>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</si>
  <si>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</si>
  <si>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</si>
  <si>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</si>
  <si>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</si>
  <si>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</si>
  <si>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</si>
  <si>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</si>
  <si>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</si>
  <si>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</si>
  <si>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</si>
  <si>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</si>
  <si>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</si>
  <si>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</si>
  <si>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</si>
  <si>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</si>
  <si>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</si>
  <si>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</si>
  <si>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</si>
  <si>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</si>
  <si>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</si>
  <si>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</si>
  <si>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</si>
  <si>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</si>
  <si>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</si>
  <si>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</si>
  <si>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</si>
  <si>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</si>
  <si>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</si>
  <si>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</si>
  <si>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</si>
  <si>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</si>
  <si>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</si>
  <si>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</si>
  <si>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</si>
  <si>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</si>
  <si>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</si>
  <si>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</si>
  <si>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</si>
  <si>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</si>
  <si>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</si>
  <si>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</si>
  <si>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</si>
  <si>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</si>
  <si>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</si>
  <si>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</si>
  <si>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</si>
  <si>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</si>
  <si>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</si>
  <si>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</si>
  <si>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</si>
  <si>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</si>
  <si>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</si>
  <si>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</si>
  <si>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</si>
  <si>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</si>
  <si>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</si>
  <si>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</si>
  <si>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</si>
  <si>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</si>
  <si>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</si>
  <si>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</si>
  <si>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</si>
  <si>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</si>
  <si>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</si>
  <si>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</si>
  <si>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</si>
  <si>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</si>
  <si>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</si>
  <si>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</si>
  <si>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</si>
  <si>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</si>
  <si>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</si>
  <si>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</si>
  <si>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</si>
  <si>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</si>
  <si>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</si>
  <si>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</si>
  <si>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</si>
  <si>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</si>
  <si>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</si>
  <si>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</si>
  <si>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</si>
  <si>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</si>
  <si>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</si>
  <si>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</si>
  <si>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</si>
  <si>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</si>
  <si>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</si>
  <si>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</si>
  <si>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</si>
  <si>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</si>
  <si>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</si>
  <si>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</si>
  <si>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</si>
  <si>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</si>
  <si>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</si>
  <si>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</si>
  <si>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</si>
  <si>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</si>
  <si>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</si>
  <si>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</si>
  <si>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</si>
  <si>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</si>
  <si>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</si>
  <si>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</si>
  <si>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</si>
  <si>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</si>
  <si>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</si>
  <si>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</si>
  <si>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</si>
  <si>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</si>
  <si>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</si>
  <si>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</si>
  <si>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</si>
  <si>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</si>
  <si>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</si>
  <si>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</si>
  <si>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</si>
  <si>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</si>
  <si>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</si>
  <si>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</si>
  <si>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</si>
  <si>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</si>
  <si>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</si>
  <si>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</si>
  <si>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</si>
  <si>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</si>
  <si>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</si>
  <si>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</si>
  <si>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</si>
  <si>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</si>
  <si>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</si>
  <si>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</si>
  <si>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</si>
  <si>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</si>
  <si>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</si>
  <si>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</si>
  <si>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</si>
  <si>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</si>
  <si>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</si>
  <si>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</si>
  <si>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</si>
  <si>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</si>
  <si>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</si>
  <si>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</si>
  <si>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</si>
  <si>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</si>
  <si>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</si>
  <si>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</si>
  <si>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</si>
  <si>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</si>
  <si>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</si>
  <si>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</si>
  <si>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</si>
  <si>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</si>
  <si>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</si>
  <si>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</si>
  <si>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</si>
  <si>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</si>
  <si>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</si>
  <si>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</si>
  <si>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</si>
  <si>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</si>
  <si>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</si>
  <si>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</si>
  <si>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</si>
  <si>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</si>
  <si>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</si>
  <si>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</si>
  <si>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</si>
  <si>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</si>
  <si>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</si>
  <si>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</si>
  <si>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</si>
  <si>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</si>
  <si>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</si>
  <si>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</si>
  <si>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</si>
  <si>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</si>
  <si>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</si>
  <si>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</si>
  <si>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</si>
  <si>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</si>
  <si>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</si>
  <si>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</si>
  <si>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</si>
  <si>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</si>
  <si>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</si>
  <si>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</si>
  <si>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</si>
  <si>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</si>
  <si>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</si>
  <si>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</si>
  <si>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</si>
  <si>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</si>
  <si>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</si>
  <si>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</si>
  <si>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</si>
  <si>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</si>
  <si>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</si>
  <si>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</si>
  <si>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</si>
  <si>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</si>
  <si>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</si>
  <si>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</si>
  <si>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</si>
  <si>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</si>
  <si>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</si>
  <si>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</si>
  <si>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</si>
  <si>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</si>
  <si>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</si>
  <si>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</si>
  <si>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</si>
  <si>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</si>
  <si>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</si>
  <si>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</si>
  <si>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</si>
  <si>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</si>
  <si>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</si>
  <si>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</si>
  <si>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</si>
  <si>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</si>
  <si>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</si>
  <si>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</si>
  <si>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</si>
  <si>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</si>
  <si>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</si>
  <si>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</si>
  <si>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</si>
  <si>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</si>
  <si>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</si>
  <si>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</si>
  <si>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</si>
  <si>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</si>
  <si>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</si>
  <si>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</si>
  <si>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</si>
  <si>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</si>
  <si>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</si>
  <si>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</si>
  <si>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</si>
  <si>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</si>
  <si>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</si>
  <si>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</si>
  <si>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</si>
  <si>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</si>
  <si>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</si>
  <si>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</si>
  <si>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</si>
  <si>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</si>
  <si>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</si>
  <si>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</si>
  <si>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</si>
  <si>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</si>
  <si>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</si>
  <si>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</si>
  <si>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</si>
  <si>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</si>
  <si>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</si>
  <si>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</si>
  <si>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</si>
  <si>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</si>
  <si>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</si>
  <si>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</si>
  <si>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</si>
  <si>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</si>
  <si>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</si>
  <si>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</si>
  <si>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</si>
  <si>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</si>
  <si>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</si>
  <si>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</si>
  <si>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</si>
  <si>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</si>
  <si>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</si>
  <si>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</si>
  <si>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</si>
  <si>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</si>
  <si>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</si>
  <si>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</si>
  <si>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</si>
  <si>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</si>
  <si>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</si>
  <si>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</si>
  <si>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</si>
  <si>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</si>
  <si>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</si>
  <si>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</si>
  <si>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</si>
  <si>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</si>
  <si>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</si>
  <si>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</si>
  <si>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</si>
  <si>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</si>
  <si>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</si>
  <si>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</si>
  <si>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</si>
  <si>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</si>
  <si>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</si>
  <si>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</si>
  <si>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</si>
  <si>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</si>
  <si>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</si>
  <si>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</si>
  <si>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</si>
  <si>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</si>
  <si>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</si>
  <si>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</si>
  <si>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</si>
  <si>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</si>
  <si>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</si>
  <si>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</si>
  <si>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</si>
  <si>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</si>
  <si>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</si>
  <si>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</si>
  <si>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</si>
  <si>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</si>
  <si>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</si>
  <si>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</si>
  <si>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</si>
  <si>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</si>
  <si>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</si>
  <si>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</si>
  <si>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</si>
  <si>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</si>
  <si>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</si>
  <si>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</si>
  <si>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</si>
  <si>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</si>
  <si>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</si>
  <si>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</si>
  <si>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</si>
  <si>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</si>
  <si>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</si>
  <si>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</si>
  <si>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</si>
  <si>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</si>
  <si>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</si>
  <si>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</si>
  <si>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</si>
  <si>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</si>
  <si>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</si>
  <si>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</si>
  <si>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</si>
  <si>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</si>
  <si>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</si>
  <si>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</si>
  <si>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</si>
  <si>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</si>
  <si>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</si>
  <si>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</si>
  <si>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</si>
  <si>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</si>
  <si>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</si>
  <si>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</si>
  <si>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</si>
  <si>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</si>
  <si>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</si>
  <si>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</si>
  <si>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</si>
  <si>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</si>
  <si>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</si>
  <si>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</si>
  <si>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</si>
  <si>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</si>
  <si>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</si>
  <si>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</si>
  <si>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</si>
  <si>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</si>
  <si>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</si>
  <si>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</si>
  <si>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</si>
  <si>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</si>
  <si>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</si>
  <si>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</si>
  <si>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</si>
  <si>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</si>
  <si>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</si>
  <si>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</si>
  <si>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</si>
  <si>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</si>
  <si>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</si>
  <si>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</si>
  <si>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</si>
  <si>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</si>
  <si>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</si>
  <si>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</si>
  <si>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</si>
  <si>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</si>
  <si>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</si>
  <si>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</si>
  <si>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</si>
  <si>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</si>
  <si>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</si>
  <si>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</si>
  <si>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</si>
  <si>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</si>
  <si>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</si>
  <si>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</si>
  <si>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</si>
  <si>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</si>
  <si>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</si>
  <si>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</si>
  <si>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</si>
  <si>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</si>
  <si>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</si>
  <si>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</si>
  <si>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</si>
  <si>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</si>
  <si>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</si>
  <si>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</si>
  <si>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</si>
  <si>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</si>
  <si>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</si>
  <si>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</si>
  <si>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</si>
  <si>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</si>
  <si>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</si>
  <si>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</si>
  <si>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</si>
  <si>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</si>
  <si>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</si>
  <si>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</si>
  <si>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</si>
  <si>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</si>
  <si>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</si>
  <si>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</si>
  <si>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</si>
  <si>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</si>
  <si>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</si>
  <si>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</si>
  <si>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</si>
  <si>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</si>
  <si>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</si>
  <si>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</si>
  <si>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</si>
  <si>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</si>
  <si>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</si>
  <si>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</si>
  <si>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</si>
  <si>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</si>
  <si>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</si>
  <si>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</si>
  <si>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</si>
  <si>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</si>
  <si>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</si>
  <si>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</si>
  <si>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</si>
  <si>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</si>
  <si>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</si>
  <si>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</si>
  <si>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</si>
  <si>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</si>
  <si>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</si>
  <si>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</si>
  <si>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</si>
  <si>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</si>
  <si>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</si>
  <si>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</si>
  <si>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</si>
  <si>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</si>
  <si>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</si>
  <si>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</si>
  <si>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</si>
  <si>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</si>
  <si>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</si>
  <si>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</si>
  <si>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</si>
  <si>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</si>
  <si>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</si>
  <si>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</si>
  <si>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</si>
  <si>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</si>
  <si>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</si>
  <si>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</si>
  <si>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</si>
  <si>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</si>
  <si>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</si>
  <si>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</si>
  <si>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</si>
  <si>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</si>
  <si>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</si>
  <si>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</si>
  <si>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</si>
  <si>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</si>
  <si>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</si>
  <si>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</si>
  <si>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</si>
  <si>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</si>
  <si>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</si>
  <si>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</si>
  <si>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</si>
  <si>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</si>
  <si>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</si>
  <si>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</si>
  <si>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</si>
  <si>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</si>
  <si>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</si>
  <si>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</si>
  <si>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</si>
  <si>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</si>
  <si>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</si>
  <si>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</si>
  <si>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</si>
  <si>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</si>
  <si>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</si>
  <si>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</si>
  <si>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</si>
  <si>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</si>
  <si>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</si>
  <si>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</si>
  <si>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</si>
  <si>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</si>
  <si>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</si>
  <si>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</si>
  <si>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</si>
  <si>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</si>
  <si>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</si>
  <si>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</si>
  <si>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</si>
  <si>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</si>
  <si>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</si>
  <si>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</si>
  <si>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</si>
  <si>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</si>
  <si>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</si>
  <si>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</si>
  <si>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</si>
  <si>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</si>
  <si>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</si>
  <si>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</si>
  <si>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</si>
  <si>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</si>
  <si>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</si>
  <si>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</si>
  <si>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</si>
  <si>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</si>
  <si>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</si>
  <si>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</si>
  <si>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</si>
  <si>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</si>
  <si>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</si>
  <si>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</si>
  <si>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</si>
  <si>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</si>
  <si>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</si>
  <si>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</si>
  <si>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</si>
  <si>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</si>
  <si>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</si>
  <si>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</si>
  <si>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</si>
  <si>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</si>
  <si>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</si>
  <si>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</si>
  <si>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</si>
  <si>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</si>
  <si>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</si>
  <si>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</si>
  <si>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</si>
  <si>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</si>
  <si>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</si>
  <si>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</si>
  <si>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</si>
  <si>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</si>
  <si>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</si>
  <si>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</si>
  <si>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</si>
  <si>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</si>
  <si>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</si>
  <si>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</si>
  <si>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</si>
  <si>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</si>
  <si>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</si>
  <si>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</si>
  <si>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</si>
  <si>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</si>
  <si>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</si>
  <si>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</si>
  <si>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</si>
  <si>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</si>
  <si>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</si>
  <si>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</si>
  <si>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</si>
  <si>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</si>
  <si>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</si>
  <si>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</si>
  <si>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</si>
  <si>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</si>
  <si>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</si>
  <si>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</si>
  <si>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</si>
  <si>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</si>
  <si>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</si>
  <si>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</si>
  <si>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</si>
  <si>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</si>
  <si>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</si>
  <si>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</si>
  <si>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</si>
  <si>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</si>
  <si>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</si>
  <si>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</si>
  <si>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</si>
  <si>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</si>
  <si>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</si>
  <si>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</si>
  <si>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</si>
  <si>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</si>
  <si>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</si>
  <si>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</si>
  <si>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</si>
  <si>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</si>
  <si>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</si>
  <si>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</si>
  <si>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</si>
  <si>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</si>
  <si>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</si>
  <si>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</si>
  <si>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</si>
  <si>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</si>
  <si>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</si>
  <si>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</si>
  <si>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</si>
  <si>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</si>
  <si>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</si>
  <si>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</si>
  <si>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</si>
  <si>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</si>
  <si>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</si>
  <si>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</si>
  <si>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</si>
  <si>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</si>
  <si>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</si>
  <si>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</si>
  <si>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</si>
  <si>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</si>
  <si>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</si>
  <si>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</si>
  <si>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</si>
  <si>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</si>
  <si>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</si>
  <si>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</si>
  <si>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</si>
  <si>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</si>
  <si>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</si>
  <si>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</si>
  <si>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</si>
  <si>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</si>
  <si>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</si>
  <si>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</si>
  <si>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</si>
  <si>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</si>
  <si>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</si>
  <si>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</si>
  <si>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</si>
  <si>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</si>
  <si>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</si>
  <si>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</si>
  <si>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</si>
  <si>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</si>
  <si>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</si>
  <si>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</si>
  <si>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</si>
  <si>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</si>
  <si>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</si>
  <si>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</si>
  <si>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</si>
  <si>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</si>
  <si>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</si>
  <si>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</si>
  <si>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</si>
  <si>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</si>
  <si>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</si>
  <si>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</si>
  <si>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</si>
  <si>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</si>
  <si>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</si>
  <si>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</si>
  <si>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</si>
  <si>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</si>
  <si>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</si>
  <si>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</si>
  <si>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</si>
  <si>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</si>
  <si>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</si>
  <si>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</si>
  <si>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</si>
  <si>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</si>
  <si>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</si>
  <si>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</si>
  <si>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</si>
  <si>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</si>
  <si>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</si>
  <si>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</si>
  <si>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</si>
  <si>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</si>
  <si>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</si>
  <si>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</si>
  <si>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</si>
  <si>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</si>
  <si>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</si>
  <si>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</si>
  <si>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</si>
  <si>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</si>
  <si>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</si>
  <si>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</si>
  <si>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</si>
  <si>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</si>
  <si>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</si>
  <si>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</si>
  <si>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</si>
  <si>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</si>
  <si>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</si>
  <si>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</si>
  <si>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</si>
  <si>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</si>
  <si>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</si>
  <si>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</si>
  <si>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</si>
  <si>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</si>
  <si>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</si>
  <si>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</si>
  <si>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</si>
  <si>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</si>
  <si>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</si>
  <si>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</si>
  <si>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</si>
  <si>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</si>
  <si>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</si>
  <si>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</si>
  <si>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</si>
  <si>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</si>
  <si>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</si>
  <si>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</si>
  <si>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</si>
  <si>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</si>
  <si>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</si>
  <si>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</si>
  <si>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</si>
  <si>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</si>
  <si>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</si>
  <si>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</si>
  <si>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</si>
  <si>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</si>
  <si>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</si>
  <si>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</si>
  <si>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</si>
  <si>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</si>
  <si>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</si>
  <si>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</si>
  <si>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</si>
  <si>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</si>
  <si>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</si>
  <si>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</si>
  <si>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</si>
  <si>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</si>
  <si>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</si>
  <si>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</si>
  <si>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</si>
  <si>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</si>
  <si>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</si>
  <si>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</si>
  <si>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</si>
  <si>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</si>
  <si>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</si>
  <si>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</si>
  <si>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</si>
  <si>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</si>
  <si>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</si>
  <si>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</si>
  <si>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</si>
  <si>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</si>
  <si>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</si>
  <si>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</si>
  <si>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</si>
  <si>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</si>
  <si>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</si>
  <si>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</si>
  <si>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</si>
  <si>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</si>
  <si>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</si>
  <si>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</si>
  <si>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</si>
  <si>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</si>
  <si>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</si>
  <si>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</si>
  <si>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</si>
  <si>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</si>
  <si>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</si>
  <si>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</si>
  <si>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</si>
  <si>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</si>
  <si>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</si>
  <si>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</si>
  <si>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</si>
  <si>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</si>
  <si>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</si>
  <si>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</si>
  <si>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</si>
  <si>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</si>
  <si>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</si>
  <si>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</si>
  <si>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</si>
  <si>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</si>
  <si>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</si>
  <si>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</si>
  <si>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</si>
  <si>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</si>
  <si>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</si>
  <si>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</si>
  <si>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</si>
  <si>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</si>
  <si>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</si>
  <si>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</si>
  <si>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</si>
  <si>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</si>
  <si>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</si>
  <si>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</si>
  <si>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</si>
  <si>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</si>
  <si>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</si>
  <si>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</si>
  <si>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</si>
  <si>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</si>
  <si>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</si>
  <si>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</si>
  <si>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</si>
  <si>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</si>
  <si>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</si>
  <si>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</si>
  <si>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</si>
  <si>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</si>
  <si>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</si>
  <si>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</si>
  <si>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</si>
  <si>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</si>
  <si>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</si>
  <si>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</si>
  <si>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</si>
  <si>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</si>
  <si>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</si>
  <si>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</si>
  <si>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</si>
  <si>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</si>
  <si>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</si>
  <si>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</si>
  <si>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</si>
  <si>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</si>
  <si>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</si>
  <si>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</si>
  <si>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</si>
  <si>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</si>
  <si>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</si>
  <si>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</si>
  <si>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</si>
  <si>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</si>
  <si>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</si>
  <si>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</si>
  <si>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</si>
  <si>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</si>
  <si>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</si>
  <si>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</si>
  <si>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</si>
  <si>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</si>
  <si>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</si>
  <si>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</si>
  <si>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</si>
  <si>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</si>
  <si>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</si>
  <si>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</si>
  <si>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</si>
  <si>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</si>
  <si>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</si>
  <si>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</si>
  <si>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</si>
  <si>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</si>
  <si>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</si>
  <si>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</si>
  <si>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</si>
  <si>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</si>
  <si>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</si>
  <si>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</si>
  <si>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</si>
  <si>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</si>
  <si>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</si>
  <si>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</si>
  <si>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</si>
  <si>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</si>
  <si>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</si>
  <si>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</si>
  <si>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</si>
  <si>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</si>
  <si>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</si>
  <si>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</si>
  <si>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</si>
  <si>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</si>
  <si>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</si>
  <si>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</si>
  <si>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</si>
  <si>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</si>
  <si>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</si>
  <si>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</si>
  <si>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</si>
  <si>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</si>
  <si>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</si>
  <si>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</si>
  <si>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</si>
  <si>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</si>
  <si>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</si>
  <si>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</si>
  <si>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</si>
  <si>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</si>
  <si>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</si>
  <si>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</si>
  <si>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</si>
  <si>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</si>
  <si>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</si>
  <si>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</si>
  <si>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</si>
  <si>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</si>
  <si>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</si>
  <si>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</si>
  <si>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</si>
  <si>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</si>
  <si>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</si>
  <si>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</si>
  <si>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</si>
  <si>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</si>
  <si>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</si>
  <si>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</si>
  <si>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</si>
  <si>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</si>
  <si>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</si>
  <si>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</si>
  <si>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</si>
  <si>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</si>
  <si>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</si>
  <si>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</si>
  <si>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</si>
  <si>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</si>
  <si>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</si>
  <si>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</si>
  <si>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</si>
  <si>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</si>
  <si>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</si>
  <si>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</si>
  <si>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</si>
  <si>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</si>
  <si>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</si>
  <si>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</si>
  <si>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</si>
  <si>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</si>
  <si>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</si>
  <si>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</si>
  <si>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</si>
  <si>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</si>
  <si>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</si>
  <si>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</si>
  <si>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</si>
  <si>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</si>
  <si>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</si>
  <si>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</si>
  <si>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</si>
  <si>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</si>
  <si>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</si>
  <si>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</si>
  <si>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</si>
  <si>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</si>
  <si>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</si>
  <si>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</si>
  <si>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</si>
  <si>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</si>
  <si>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</si>
  <si>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</si>
  <si>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</si>
  <si>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</si>
  <si>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</si>
  <si>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</si>
  <si>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</si>
  <si>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</si>
  <si>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</si>
  <si>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</si>
  <si>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</si>
  <si>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</si>
  <si>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</si>
  <si>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</si>
  <si>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</si>
  <si>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</si>
  <si>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</si>
  <si>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</si>
  <si>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</si>
  <si>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</si>
  <si>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</si>
  <si>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</si>
  <si>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</si>
  <si>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</si>
  <si>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</si>
  <si>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</si>
  <si>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</si>
  <si>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</si>
  <si>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</si>
  <si>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</si>
  <si>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</si>
  <si>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</si>
  <si>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</si>
  <si>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</si>
  <si>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</si>
  <si>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</si>
  <si>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</si>
  <si>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</si>
  <si>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</si>
  <si>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</si>
  <si>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</si>
  <si>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</si>
  <si>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</si>
  <si>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</si>
  <si>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</si>
  <si>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</si>
  <si>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</si>
  <si>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</si>
  <si>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</si>
  <si>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</si>
  <si>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</si>
  <si>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</si>
  <si>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</si>
  <si>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</si>
  <si>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</si>
  <si>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</si>
  <si>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</si>
  <si>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</si>
  <si>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</si>
  <si>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</si>
  <si>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</si>
  <si>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</si>
  <si>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</si>
  <si>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</si>
  <si>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</si>
  <si>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</si>
  <si>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</si>
  <si>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</si>
  <si>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</si>
  <si>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</si>
  <si>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</si>
  <si>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</si>
  <si>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</si>
  <si>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</si>
  <si>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</si>
  <si>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</si>
  <si>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</si>
  <si>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</si>
  <si>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</si>
  <si>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</si>
  <si>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</si>
  <si>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</si>
  <si>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</si>
  <si>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</si>
  <si>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</si>
  <si>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</si>
  <si>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</si>
  <si>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</si>
  <si>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</si>
  <si>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</si>
  <si>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</si>
  <si>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</si>
  <si>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</si>
  <si>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</si>
  <si>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</si>
  <si>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</si>
  <si>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</si>
  <si>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</si>
  <si>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</si>
  <si>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</si>
  <si>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</si>
  <si>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</si>
  <si>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</si>
  <si>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</si>
  <si>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</si>
  <si>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</si>
  <si>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</si>
  <si>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</si>
  <si>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</si>
  <si>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</si>
  <si>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</si>
  <si>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</si>
  <si>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</si>
  <si>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</si>
  <si>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</si>
  <si>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</si>
  <si>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</si>
  <si>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</si>
  <si>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</si>
  <si>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</si>
  <si>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</si>
  <si>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</si>
  <si>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</si>
  <si>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</si>
  <si>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</si>
  <si>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</si>
  <si>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</si>
  <si>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</si>
  <si>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</si>
  <si>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</si>
  <si>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</si>
  <si>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</si>
  <si>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</si>
  <si>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</si>
  <si>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</si>
  <si>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</si>
  <si>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</si>
  <si>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</si>
  <si>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</si>
  <si>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</si>
  <si>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</si>
  <si>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</si>
  <si>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</si>
  <si>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</si>
  <si>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</si>
  <si>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</si>
  <si>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</si>
  <si>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</si>
  <si>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</si>
  <si>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</si>
  <si>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</si>
  <si>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</si>
  <si>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</si>
  <si>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</si>
  <si>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</si>
  <si>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</si>
  <si>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</si>
  <si>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</si>
  <si>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</si>
  <si>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</si>
  <si>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</si>
  <si>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</si>
  <si>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</si>
  <si>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</si>
  <si>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</si>
  <si>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</si>
  <si>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</si>
  <si>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</si>
  <si>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</si>
  <si>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</si>
  <si>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</si>
  <si>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</si>
  <si>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</si>
  <si>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</si>
  <si>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</si>
  <si>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</si>
  <si>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</si>
  <si>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</si>
  <si>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</si>
  <si>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</si>
  <si>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</si>
  <si>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</si>
  <si>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</si>
  <si>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</si>
  <si>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</si>
  <si>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</si>
  <si>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</si>
  <si>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</si>
  <si>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</si>
  <si>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</si>
  <si>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</si>
  <si>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</si>
  <si>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</si>
  <si>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</si>
  <si>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</si>
  <si>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</si>
  <si>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</si>
  <si>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</si>
  <si>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</si>
  <si>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</si>
  <si>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</si>
  <si>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</si>
  <si>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</si>
  <si>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</si>
  <si>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</si>
  <si>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</si>
  <si>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</si>
  <si>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</si>
  <si>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</si>
  <si>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</si>
  <si>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</si>
  <si>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</si>
  <si>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</si>
  <si>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</si>
  <si>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</si>
  <si>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</si>
  <si>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</si>
  <si>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</si>
  <si>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</si>
  <si>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</si>
  <si>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</si>
  <si>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</si>
  <si>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</si>
  <si>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</si>
  <si>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</si>
  <si>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</si>
  <si>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</si>
  <si>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</si>
  <si>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</si>
  <si>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</si>
  <si>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</si>
  <si>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</si>
  <si>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</si>
  <si>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</si>
  <si>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</si>
  <si>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</si>
  <si>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</si>
  <si>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</si>
  <si>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</si>
  <si>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</si>
  <si>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</si>
  <si>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</si>
  <si>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</si>
  <si>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</si>
  <si>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</si>
  <si>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</si>
  <si>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</si>
  <si>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</si>
  <si>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</si>
  <si>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</si>
  <si>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</si>
  <si>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</si>
  <si>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</si>
  <si>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</si>
  <si>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</si>
  <si>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</si>
  <si>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</si>
  <si>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</si>
  <si>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</si>
  <si>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</si>
  <si>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</si>
  <si>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</si>
  <si>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</si>
  <si>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</si>
  <si>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</si>
  <si>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</si>
  <si>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</si>
  <si>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</si>
  <si>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</si>
  <si>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</si>
  <si>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</si>
  <si>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</si>
  <si>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</si>
  <si>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</si>
  <si>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</si>
  <si>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</si>
  <si>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</si>
  <si>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</si>
  <si>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</si>
  <si>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</si>
  <si>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</si>
  <si>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</si>
  <si>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</si>
  <si>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</si>
  <si>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</si>
  <si>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</si>
  <si>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</si>
  <si>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</si>
  <si>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</si>
  <si>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</si>
  <si>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</si>
  <si>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</si>
  <si>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</si>
  <si>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</si>
  <si>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</si>
  <si>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</si>
  <si>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</si>
  <si>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</si>
  <si>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</si>
  <si>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</si>
  <si>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</si>
  <si>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</si>
  <si>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</si>
  <si>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</si>
  <si>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</si>
  <si>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</si>
  <si>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</si>
  <si>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</si>
  <si>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</si>
  <si>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</si>
  <si>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</si>
  <si>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</si>
  <si>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</si>
  <si>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t>——</t>
    <phoneticPr fontId="229" type="noConversion"/>
  </si>
  <si>
    <r>
      <t>住宅（5</t>
    </r>
    <r>
      <rPr>
        <sz val="11"/>
        <color theme="1"/>
        <rFont val="宋体"/>
        <family val="3"/>
        <charset val="134"/>
        <scheme val="minor"/>
      </rPr>
      <t>5</t>
    </r>
    <r>
      <rPr>
        <sz val="11"/>
        <color theme="1"/>
        <rFont val="宋体"/>
        <charset val="134"/>
        <scheme val="minor"/>
      </rPr>
      <t>年</t>
    </r>
    <phoneticPr fontId="277" type="noConversion"/>
  </si>
  <si>
    <t>新总价</t>
    <phoneticPr fontId="229" type="noConversion"/>
  </si>
  <si>
    <t>旧总价</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</si>
</sst>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4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46" fillId="17" borderId="0" xfId="0" applyFont="1" applyFill="1" applyAlignment="1">
      <alignment vertical="center" wrapText="1"/>
    </xf>
    <xf numFmtId="0" fontId="292" fillId="0" borderId="66" xfId="0" applyFont="1" applyBorder="1" applyAlignment="1">
      <alignment horizontal="center"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0" fillId="18" borderId="3" xfId="0" applyFill="1" applyBorder="1" applyAlignment="1">
      <alignment horizontal="center" vertical="center"/>
    </xf>
    <xf numFmtId="0" fontId="0" fillId="18"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146" fillId="6" borderId="9" xfId="0" applyFont="1" applyFill="1" applyBorder="1" applyAlignment="1">
      <alignment horizontal="center"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0" fillId="6" borderId="9" xfId="0" applyFill="1" applyBorder="1" applyAlignment="1">
      <alignment horizontal="center" vertical="center"/>
    </xf>
    <xf numFmtId="0" fontId="0" fillId="18" borderId="10"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9">
          <cell r="C29">
            <v>21622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31781</v>
      </c>
    </row>
    <row r="47" spans="1:2">
      <c r="A47" s="2854" t="s">
        <v>2724</v>
      </c>
      <c r="B47" s="2855">
        <f ca="1">'预评函-2'!Q5</f>
        <v>19875</v>
      </c>
    </row>
    <row r="48" spans="1:2">
      <c r="A48" s="2854" t="s">
        <v>2725</v>
      </c>
      <c r="B48" s="2855">
        <f ca="1">'预评函-2'!R5</f>
        <v>218470</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02" t="str">
        <f>IF(B10="北京市","北京市",C10)&amp;F10&amp;B16&amp;"国有建设用地使用权"&amp;B9&amp;"预评估"</f>
        <v>北京市出让国有建设用地使用权预评估</v>
      </c>
      <c r="C1" s="3303"/>
      <c r="D1" s="3303"/>
      <c r="E1" s="3303"/>
      <c r="F1" s="3303"/>
      <c r="G1" s="3303"/>
      <c r="H1" s="3303"/>
      <c r="I1" s="3304"/>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08"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309"/>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05"/>
      <c r="C12" s="3306"/>
      <c r="D12" s="3307"/>
      <c r="E12" s="1696" t="s">
        <v>2061</v>
      </c>
      <c r="F12" s="3323" t="s">
        <v>2888</v>
      </c>
      <c r="G12" s="3324"/>
      <c r="H12" s="3324"/>
      <c r="I12" s="3325"/>
      <c r="J12" s="1691"/>
      <c r="K12" s="1771"/>
      <c r="L12" s="1720"/>
      <c r="M12" s="1720"/>
      <c r="N12" s="1691"/>
      <c r="O12" s="1692"/>
      <c r="P12" s="1691"/>
      <c r="Q12" s="1691"/>
      <c r="R12" s="1691"/>
      <c r="S12" s="1691"/>
      <c r="T12" s="1691"/>
      <c r="U12" s="1691"/>
    </row>
    <row r="13" spans="1:21">
      <c r="A13" s="1684" t="s">
        <v>2059</v>
      </c>
      <c r="B13" s="3305"/>
      <c r="C13" s="3306"/>
      <c r="D13" s="3307"/>
      <c r="E13" s="1696" t="s">
        <v>2061</v>
      </c>
      <c r="F13" s="3323" t="s">
        <v>2889</v>
      </c>
      <c r="G13" s="3324"/>
      <c r="H13" s="3324"/>
      <c r="I13" s="3325"/>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20"/>
      <c r="E20" s="3321"/>
      <c r="F20" s="3321"/>
      <c r="G20" s="3321"/>
      <c r="H20" s="3321"/>
      <c r="I20" s="3322"/>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10" t="s">
        <v>1998</v>
      </c>
      <c r="F21" s="3311"/>
      <c r="G21" s="3311"/>
      <c r="H21" s="3311"/>
      <c r="I21" s="3312"/>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10" t="s">
        <v>2890</v>
      </c>
      <c r="F22" s="3311"/>
      <c r="G22" s="3311"/>
      <c r="H22" s="3311"/>
      <c r="I22" s="3312"/>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13" t="s">
        <v>1966</v>
      </c>
      <c r="C24" s="3314"/>
      <c r="D24" s="3315" t="s">
        <v>1967</v>
      </c>
      <c r="E24" s="3316"/>
      <c r="F24" s="1705" t="s">
        <v>1968</v>
      </c>
      <c r="G24" s="1691"/>
      <c r="H24" s="1691"/>
      <c r="I24" s="1704"/>
      <c r="J24" s="1691"/>
      <c r="K24" s="3301"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0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0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28" t="s">
        <v>2001</v>
      </c>
      <c r="B31" s="1761" t="s">
        <v>2002</v>
      </c>
      <c r="C31" s="3326"/>
      <c r="D31" s="3327"/>
      <c r="E31" s="1691"/>
      <c r="F31" s="1691"/>
      <c r="G31" s="1691"/>
      <c r="H31" s="1691"/>
      <c r="I31" s="1704"/>
      <c r="J31" s="1691"/>
      <c r="K31" s="2435"/>
      <c r="L31" s="1691"/>
      <c r="M31" s="1691"/>
      <c r="N31" s="1691"/>
      <c r="O31" s="1691"/>
      <c r="P31" s="1691"/>
      <c r="Q31" s="1691"/>
      <c r="R31" s="1691"/>
      <c r="S31" s="1691"/>
      <c r="T31" s="1691"/>
      <c r="U31" s="1691"/>
    </row>
    <row r="32" spans="1:21">
      <c r="A32" s="3328"/>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28"/>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29"/>
      <c r="B34" s="1658" t="s">
        <v>2005</v>
      </c>
      <c r="C34" s="3330"/>
      <c r="D34" s="3331"/>
      <c r="E34" s="1691"/>
      <c r="F34" s="1691"/>
      <c r="G34" s="1691"/>
      <c r="H34" s="1691"/>
      <c r="I34" s="1704"/>
      <c r="J34" s="1691"/>
      <c r="K34" s="2435"/>
      <c r="L34" s="1691"/>
      <c r="M34" s="1691"/>
      <c r="N34" s="1691"/>
      <c r="O34" s="1691"/>
      <c r="P34" s="1691"/>
      <c r="Q34" s="1691"/>
      <c r="R34" s="1691"/>
      <c r="S34" s="1691"/>
      <c r="T34" s="1691"/>
      <c r="U34" s="1691"/>
    </row>
    <row r="35" spans="1:21">
      <c r="A35" s="3332" t="s">
        <v>846</v>
      </c>
      <c r="B35" s="1719"/>
      <c r="C35" s="1773" t="str">
        <f>IF(B35="场地平整","——","具体情况：")</f>
        <v>具体情况：</v>
      </c>
      <c r="D35" s="3334"/>
      <c r="E35" s="3335"/>
      <c r="F35" s="3335"/>
      <c r="G35" s="3335"/>
      <c r="H35" s="3335"/>
      <c r="I35" s="3336"/>
      <c r="J35" s="1691"/>
      <c r="K35" s="1772"/>
      <c r="L35" s="1720"/>
      <c r="M35" s="1720"/>
      <c r="N35" s="1691"/>
      <c r="O35" s="1692"/>
      <c r="P35" s="1691"/>
      <c r="Q35" s="1691"/>
      <c r="R35" s="1691"/>
      <c r="S35" s="1691"/>
      <c r="T35" s="1691"/>
      <c r="U35" s="1691"/>
    </row>
    <row r="36" spans="1:21">
      <c r="A36" s="3328"/>
      <c r="B36" s="3337" t="s">
        <v>2054</v>
      </c>
      <c r="C36" s="3338"/>
      <c r="D36" s="1789"/>
      <c r="E36" s="3339"/>
      <c r="F36" s="3339"/>
      <c r="G36" s="1684" t="str">
        <f>IF(B35="场地未平整","估价结果处理","")</f>
        <v/>
      </c>
      <c r="H36" s="3340"/>
      <c r="I36" s="3340"/>
      <c r="J36" s="1691"/>
      <c r="K36" s="1772"/>
      <c r="L36" s="1720"/>
      <c r="M36" s="1720"/>
      <c r="N36" s="1691"/>
      <c r="O36" s="1692"/>
      <c r="P36" s="1691"/>
      <c r="Q36" s="1691"/>
      <c r="R36" s="1691"/>
      <c r="S36" s="1691"/>
      <c r="T36" s="1691"/>
      <c r="U36" s="1691"/>
    </row>
    <row r="37" spans="1:21" ht="28.5">
      <c r="A37" s="3328"/>
      <c r="B37" s="3317"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28"/>
      <c r="B38" s="3318"/>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29"/>
      <c r="B39" s="331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00" t="s">
        <v>1985</v>
      </c>
      <c r="T40" s="1728" t="str">
        <f>NUMBERSTRING(7-K40,1)&amp;"通"</f>
        <v>七通</v>
      </c>
      <c r="U40" s="1691"/>
    </row>
    <row r="41" spans="1:21">
      <c r="A41" s="1660"/>
      <c r="B41" s="3333" t="s">
        <v>1721</v>
      </c>
      <c r="C41" s="3333"/>
      <c r="D41" s="3333"/>
      <c r="E41" s="333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00"/>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1" t="s">
        <v>0</v>
      </c>
      <c r="B1" s="3341" t="s">
        <v>4</v>
      </c>
      <c r="C1" s="3341" t="s">
        <v>5</v>
      </c>
      <c r="D1" s="3342" t="s">
        <v>40</v>
      </c>
      <c r="E1" s="3342" t="s">
        <v>41</v>
      </c>
      <c r="F1" s="3342"/>
      <c r="G1" s="3342"/>
      <c r="H1" s="3342"/>
      <c r="I1" s="3342"/>
      <c r="J1" s="3342"/>
      <c r="K1" s="3342"/>
      <c r="L1" s="3342"/>
      <c r="M1" s="3342"/>
    </row>
    <row r="2" spans="1:13" ht="27" customHeight="1">
      <c r="A2" s="3341"/>
      <c r="B2" s="3341"/>
      <c r="C2" s="3341"/>
      <c r="D2" s="3342"/>
      <c r="E2" s="3342" t="s">
        <v>24</v>
      </c>
      <c r="F2" s="3342" t="s">
        <v>25</v>
      </c>
      <c r="G2" s="3342"/>
      <c r="H2" s="3342"/>
      <c r="I2" s="3342"/>
      <c r="J2" s="3342" t="s">
        <v>26</v>
      </c>
      <c r="K2" s="3342"/>
      <c r="L2" s="3342"/>
      <c r="M2" s="3342"/>
    </row>
    <row r="3" spans="1:13" ht="28.5">
      <c r="A3" s="3341"/>
      <c r="B3" s="3341"/>
      <c r="C3" s="3341"/>
      <c r="D3" s="3342"/>
      <c r="E3" s="33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2" t="s">
        <v>42</v>
      </c>
      <c r="B9" s="3342"/>
      <c r="C9" s="33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52" t="s">
        <v>202</v>
      </c>
      <c r="B2" s="3352"/>
      <c r="C2" s="3352"/>
      <c r="D2" s="1973" t="s">
        <v>203</v>
      </c>
      <c r="E2" s="106" t="s">
        <v>204</v>
      </c>
      <c r="F2" s="1982"/>
      <c r="G2" s="1197"/>
      <c r="H2" s="1198"/>
      <c r="I2" s="1199" t="s">
        <v>856</v>
      </c>
      <c r="J2" s="1982"/>
      <c r="K2" s="1982"/>
      <c r="L2" s="1982"/>
    </row>
    <row r="3" spans="1:16" ht="15.75" thickBot="1">
      <c r="A3" s="3353" t="s">
        <v>205</v>
      </c>
      <c r="B3" s="3353"/>
      <c r="C3" s="3353"/>
      <c r="D3" s="107">
        <f>'数据-基础表'!AY6</f>
        <v>68743.19</v>
      </c>
      <c r="E3" s="107">
        <f>'数据-基础表'!AZ5</f>
        <v>109920</v>
      </c>
      <c r="F3" s="1982"/>
      <c r="G3" s="280" t="s">
        <v>857</v>
      </c>
      <c r="H3" s="275" t="s">
        <v>858</v>
      </c>
      <c r="I3" s="1974">
        <f>ROUND('数据-基础表'!B3/'数据-基础表'!A3,2)</f>
        <v>1.6</v>
      </c>
      <c r="J3" s="1982"/>
      <c r="K3" s="1982"/>
      <c r="L3" s="1982"/>
    </row>
    <row r="4" spans="1:16" ht="15">
      <c r="A4" s="3354"/>
      <c r="B4" s="3355"/>
      <c r="C4" s="3356"/>
      <c r="D4" s="108" t="s">
        <v>203</v>
      </c>
      <c r="E4" s="109" t="s">
        <v>204</v>
      </c>
      <c r="F4" s="1982"/>
      <c r="G4" s="1200"/>
      <c r="H4" s="275" t="s">
        <v>859</v>
      </c>
      <c r="I4" s="1974">
        <f>ROUND(SUMIF('数据-基础表'!I9:AS9,"地上",'数据-基础表'!I5:AS5)/'数据-基础表'!A3,2)</f>
        <v>1.44</v>
      </c>
      <c r="J4" s="1982"/>
      <c r="K4" s="1982"/>
      <c r="L4" s="1982"/>
    </row>
    <row r="5" spans="1:16">
      <c r="A5" s="110" t="s">
        <v>206</v>
      </c>
      <c r="B5" s="3357" t="s">
        <v>229</v>
      </c>
      <c r="C5" s="3357"/>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357" t="s">
        <v>207</v>
      </c>
      <c r="C6" s="3357"/>
      <c r="D6" s="111">
        <f>ROUND($D$3*E6/$E$3,2)</f>
        <v>16680.59</v>
      </c>
      <c r="E6" s="112">
        <f>E3-E5</f>
        <v>26672.179999999993</v>
      </c>
      <c r="F6" s="1982"/>
      <c r="G6" s="1200"/>
      <c r="H6" s="275" t="s">
        <v>859</v>
      </c>
      <c r="I6" s="1974">
        <f>ROUND(F31/D31,2)</f>
        <v>1.44</v>
      </c>
      <c r="J6" s="1982"/>
      <c r="K6" s="1982"/>
      <c r="L6" s="1982"/>
    </row>
    <row r="7" spans="1:16" ht="15">
      <c r="A7" s="3349"/>
      <c r="B7" s="3350"/>
      <c r="C7" s="3351"/>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43" t="s">
        <v>2566</v>
      </c>
      <c r="L16" s="3344"/>
      <c r="M16" s="3344"/>
      <c r="N16" s="3344"/>
      <c r="O16" s="3344"/>
      <c r="P16" s="3345"/>
    </row>
    <row r="17" spans="1:19" ht="15">
      <c r="A17" s="121" t="s">
        <v>215</v>
      </c>
      <c r="B17" s="122" t="s">
        <v>216</v>
      </c>
      <c r="C17" s="2296" t="s">
        <v>2313</v>
      </c>
      <c r="D17" s="108" t="s">
        <v>203</v>
      </c>
      <c r="E17" s="124" t="s">
        <v>204</v>
      </c>
      <c r="F17" s="125"/>
      <c r="G17" s="1364"/>
      <c r="H17" s="969" t="s">
        <v>217</v>
      </c>
      <c r="I17" s="970" t="s">
        <v>2312</v>
      </c>
      <c r="J17" s="1982"/>
      <c r="K17" s="3346" t="s">
        <v>2567</v>
      </c>
      <c r="L17" s="3347"/>
      <c r="M17" s="3348"/>
      <c r="N17" s="3346" t="s">
        <v>2568</v>
      </c>
      <c r="O17" s="3347"/>
      <c r="P17" s="3348"/>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28" sqref="A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1478.79</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0.96099999999999997</v>
      </c>
      <c r="H16" s="203">
        <f>ROUND(SUMPRODUCT(H6:H13,K6:K13)/SUMPRODUCT((H6:H13&gt;0)*(K6:K13)),3)</f>
        <v>0.04</v>
      </c>
      <c r="I16" s="204"/>
      <c r="J16" s="204"/>
      <c r="K16" s="205">
        <f>SUM(K6:K15)</f>
        <v>109920</v>
      </c>
      <c r="L16" s="206">
        <f>ROUND(M16*10000/SUM(K6:K14),0)</f>
        <v>2567</v>
      </c>
      <c r="M16" s="206">
        <f>SUM(M6:M14)</f>
        <v>28212</v>
      </c>
      <c r="N16" s="207">
        <f>ROUND(SUMPRODUCT(M6:M14,N6:N14)/M16,3)</f>
        <v>0</v>
      </c>
      <c r="O16" s="206">
        <f>SUM(O6:O14)</f>
        <v>0</v>
      </c>
      <c r="P16" s="206">
        <f>SUM(P6:P14)</f>
        <v>28212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0.877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B23" sqref="B23"/>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218470</v>
      </c>
      <c r="C5" s="3019">
        <f ca="1">ROUND(B5*10000/$B$1,0)</f>
        <v>19875</v>
      </c>
      <c r="D5" s="3019">
        <f ca="1">ROUND(B5*10000/$B$2,0)</f>
        <v>31781</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218470</v>
      </c>
      <c r="E14" s="3023">
        <f ca="1">ROUND(D14*10000/B14,0)</f>
        <v>19875</v>
      </c>
      <c r="F14" s="3023">
        <f ca="1">ROUND(D14*10000/C14,0)</f>
        <v>31781</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403" t="str">
        <f>项目基本情况!K2</f>
        <v>北京市出让国有建设用地使用权</v>
      </c>
      <c r="B2" s="3404"/>
      <c r="C2" s="3405"/>
      <c r="D2" s="3405"/>
      <c r="E2" s="3405"/>
      <c r="F2" s="3405"/>
      <c r="G2" s="3404"/>
      <c r="H2" s="3404"/>
      <c r="I2" s="3406"/>
      <c r="J2" s="2028"/>
      <c r="K2" s="2027"/>
      <c r="L2" s="2027"/>
      <c r="M2" s="2027"/>
      <c r="N2" s="2027"/>
      <c r="O2" s="2027"/>
      <c r="P2" s="2027"/>
      <c r="Q2" s="2027"/>
      <c r="R2" s="2027"/>
      <c r="S2" s="2027"/>
      <c r="T2" s="2027"/>
      <c r="U2" s="2027"/>
      <c r="V2" s="2027"/>
    </row>
    <row r="3" spans="1:22" ht="14.25">
      <c r="A3" s="3414" t="s">
        <v>297</v>
      </c>
      <c r="B3" s="3415"/>
      <c r="C3" s="3415"/>
      <c r="D3" s="3415"/>
      <c r="E3" s="3415"/>
      <c r="F3" s="3415"/>
      <c r="G3" s="3415"/>
      <c r="H3" s="3415"/>
      <c r="I3" s="3415"/>
      <c r="J3" s="2028"/>
      <c r="K3" s="2027"/>
      <c r="L3" s="2027"/>
      <c r="M3" s="2027"/>
      <c r="N3" s="2027"/>
      <c r="O3" s="2027"/>
      <c r="P3" s="2027"/>
      <c r="Q3" s="2027"/>
      <c r="R3" s="2027"/>
      <c r="S3" s="2027"/>
      <c r="T3" s="2027"/>
      <c r="U3" s="2027"/>
      <c r="V3" s="2027"/>
    </row>
    <row r="4" spans="1:22" ht="14.25">
      <c r="A4" s="258" t="s">
        <v>298</v>
      </c>
      <c r="B4" s="259" t="s">
        <v>299</v>
      </c>
      <c r="C4" s="260" t="s">
        <v>3025</v>
      </c>
      <c r="D4" s="260" t="s">
        <v>3148</v>
      </c>
      <c r="E4" s="3378" t="s">
        <v>300</v>
      </c>
      <c r="F4" s="3420"/>
      <c r="G4" s="3420"/>
      <c r="H4" s="3420"/>
      <c r="I4" s="3379"/>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07" t="s">
        <v>301</v>
      </c>
      <c r="B5" s="3408">
        <v>25</v>
      </c>
      <c r="C5" s="3416">
        <f>结果表一!D13</f>
        <v>0.6</v>
      </c>
      <c r="D5" s="3419">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407"/>
      <c r="B6" s="3408"/>
      <c r="C6" s="3417"/>
      <c r="D6" s="3419"/>
      <c r="E6" s="261" t="s">
        <v>303</v>
      </c>
      <c r="F6" s="262"/>
      <c r="G6" s="262"/>
      <c r="H6" s="262"/>
      <c r="I6" s="263"/>
      <c r="J6" s="2028"/>
      <c r="K6" s="2027"/>
      <c r="L6" s="2027"/>
      <c r="M6" s="2027"/>
      <c r="N6" s="2027"/>
      <c r="O6" s="2027"/>
      <c r="P6" s="2027"/>
      <c r="Q6" s="2027"/>
      <c r="R6" s="2027"/>
      <c r="S6" s="2027"/>
      <c r="T6" s="2027"/>
      <c r="U6" s="2027"/>
      <c r="V6" s="2027"/>
    </row>
    <row r="7" spans="1:22" ht="14.25">
      <c r="A7" s="3407"/>
      <c r="B7" s="3408"/>
      <c r="C7" s="3418"/>
      <c r="D7" s="3419"/>
      <c r="E7" s="261" t="s">
        <v>304</v>
      </c>
      <c r="F7" s="262"/>
      <c r="G7" s="262"/>
      <c r="H7" s="262"/>
      <c r="I7" s="263"/>
      <c r="J7" s="2028"/>
      <c r="K7" s="2027"/>
      <c r="L7" s="2027"/>
      <c r="M7" s="2027"/>
      <c r="N7" s="2027"/>
      <c r="O7" s="2027"/>
      <c r="P7" s="2027"/>
      <c r="Q7" s="2027"/>
      <c r="R7" s="2027"/>
      <c r="S7" s="2027"/>
      <c r="T7" s="2027"/>
      <c r="U7" s="2027"/>
      <c r="V7" s="2027"/>
    </row>
    <row r="8" spans="1:22" ht="14.25">
      <c r="A8" s="3407" t="s">
        <v>305</v>
      </c>
      <c r="B8" s="3408">
        <v>15</v>
      </c>
      <c r="C8" s="3416"/>
      <c r="D8" s="3419"/>
      <c r="E8" s="261" t="s">
        <v>306</v>
      </c>
      <c r="F8" s="262"/>
      <c r="G8" s="262"/>
      <c r="H8" s="262"/>
      <c r="I8" s="263"/>
      <c r="J8" s="2028"/>
      <c r="K8" s="2027"/>
      <c r="L8" s="2027"/>
      <c r="M8" s="2027"/>
      <c r="N8" s="2027"/>
      <c r="O8" s="2027"/>
      <c r="P8" s="2027"/>
      <c r="Q8" s="2027"/>
      <c r="R8" s="2027"/>
      <c r="S8" s="2027"/>
      <c r="T8" s="2027"/>
      <c r="U8" s="2027"/>
      <c r="V8" s="2027"/>
    </row>
    <row r="9" spans="1:22" ht="14.25">
      <c r="A9" s="3407"/>
      <c r="B9" s="3408"/>
      <c r="C9" s="3418"/>
      <c r="D9" s="3419"/>
      <c r="E9" s="261" t="s">
        <v>307</v>
      </c>
      <c r="F9" s="262"/>
      <c r="G9" s="262"/>
      <c r="H9" s="262"/>
      <c r="I9" s="263"/>
      <c r="J9" s="2028"/>
      <c r="K9" s="2027"/>
      <c r="L9" s="2027"/>
      <c r="M9" s="2027"/>
      <c r="N9" s="2027"/>
      <c r="O9" s="2027"/>
      <c r="P9" s="2027"/>
      <c r="Q9" s="2027"/>
      <c r="R9" s="2027"/>
      <c r="S9" s="2027"/>
      <c r="T9" s="2027"/>
      <c r="U9" s="2027"/>
      <c r="V9" s="2027"/>
    </row>
    <row r="10" spans="1:22" ht="14.25">
      <c r="A10" s="3407" t="s">
        <v>308</v>
      </c>
      <c r="B10" s="3408">
        <v>15</v>
      </c>
      <c r="C10" s="3416"/>
      <c r="D10" s="3419"/>
      <c r="E10" s="261" t="s">
        <v>309</v>
      </c>
      <c r="F10" s="262"/>
      <c r="G10" s="262"/>
      <c r="H10" s="262"/>
      <c r="I10" s="263"/>
      <c r="J10" s="2028"/>
      <c r="K10" s="2027"/>
      <c r="L10" s="2027"/>
      <c r="M10" s="2027"/>
      <c r="N10" s="2027"/>
      <c r="O10" s="2027"/>
      <c r="P10" s="2027"/>
      <c r="Q10" s="2027"/>
      <c r="R10" s="2027"/>
      <c r="S10" s="2027"/>
      <c r="T10" s="2027"/>
      <c r="U10" s="2027"/>
      <c r="V10" s="2027"/>
    </row>
    <row r="11" spans="1:22" ht="14.25">
      <c r="A11" s="3407"/>
      <c r="B11" s="3408"/>
      <c r="C11" s="3418"/>
      <c r="D11" s="3419"/>
      <c r="E11" s="261" t="s">
        <v>310</v>
      </c>
      <c r="F11" s="262"/>
      <c r="G11" s="262"/>
      <c r="H11" s="262"/>
      <c r="I11" s="263"/>
      <c r="J11" s="2028"/>
      <c r="K11" s="2027"/>
      <c r="L11" s="2027"/>
      <c r="M11" s="2027"/>
      <c r="N11" s="2027"/>
      <c r="O11" s="2027"/>
      <c r="P11" s="2027"/>
      <c r="Q11" s="2027"/>
      <c r="R11" s="2027"/>
      <c r="S11" s="2027"/>
      <c r="T11" s="2027"/>
      <c r="U11" s="2027"/>
      <c r="V11" s="2027"/>
    </row>
    <row r="12" spans="1:22" ht="14.25">
      <c r="A12" s="3407" t="s">
        <v>311</v>
      </c>
      <c r="B12" s="3408">
        <v>15</v>
      </c>
      <c r="C12" s="3416"/>
      <c r="D12" s="3419"/>
      <c r="E12" s="261" t="s">
        <v>312</v>
      </c>
      <c r="F12" s="262"/>
      <c r="G12" s="262"/>
      <c r="H12" s="262"/>
      <c r="I12" s="263"/>
      <c r="J12" s="2028"/>
      <c r="K12" s="2027"/>
      <c r="L12" s="2027"/>
      <c r="M12" s="2027"/>
      <c r="N12" s="2027"/>
      <c r="O12" s="2027"/>
      <c r="P12" s="2027"/>
      <c r="Q12" s="2027"/>
      <c r="R12" s="2027"/>
      <c r="S12" s="2027"/>
      <c r="T12" s="2027"/>
      <c r="U12" s="2027"/>
      <c r="V12" s="2027"/>
    </row>
    <row r="13" spans="1:22" ht="14.25">
      <c r="A13" s="3407"/>
      <c r="B13" s="3408"/>
      <c r="C13" s="3418"/>
      <c r="D13" s="3419"/>
      <c r="E13" s="261" t="s">
        <v>313</v>
      </c>
      <c r="F13" s="262"/>
      <c r="G13" s="262"/>
      <c r="H13" s="262"/>
      <c r="I13" s="263"/>
      <c r="J13" s="2028"/>
      <c r="K13" s="2027"/>
      <c r="L13" s="2027"/>
      <c r="M13" s="2027"/>
      <c r="N13" s="2027"/>
      <c r="O13" s="2027"/>
      <c r="P13" s="2027"/>
      <c r="Q13" s="2027"/>
      <c r="R13" s="2027"/>
      <c r="S13" s="2027"/>
      <c r="T13" s="2027"/>
      <c r="U13" s="2027"/>
      <c r="V13" s="2027"/>
    </row>
    <row r="14" spans="1:22" ht="14.25">
      <c r="A14" s="3407" t="s">
        <v>314</v>
      </c>
      <c r="B14" s="3408">
        <v>30</v>
      </c>
      <c r="C14" s="3416"/>
      <c r="D14" s="3419"/>
      <c r="E14" s="261" t="s">
        <v>315</v>
      </c>
      <c r="F14" s="262"/>
      <c r="G14" s="262"/>
      <c r="H14" s="262"/>
      <c r="I14" s="263"/>
      <c r="J14" s="2028"/>
      <c r="K14" s="2027"/>
      <c r="L14" s="2027"/>
      <c r="M14" s="2027"/>
      <c r="N14" s="2027"/>
      <c r="O14" s="2027"/>
      <c r="P14" s="2027"/>
      <c r="Q14" s="2027"/>
      <c r="R14" s="2027"/>
      <c r="S14" s="2027"/>
      <c r="T14" s="2027"/>
      <c r="U14" s="2027"/>
      <c r="V14" s="2027"/>
    </row>
    <row r="15" spans="1:22" ht="14.25">
      <c r="A15" s="3407"/>
      <c r="B15" s="3408"/>
      <c r="C15" s="3417"/>
      <c r="D15" s="3419"/>
      <c r="E15" s="261" t="s">
        <v>316</v>
      </c>
      <c r="F15" s="262"/>
      <c r="G15" s="262"/>
      <c r="H15" s="262"/>
      <c r="I15" s="263"/>
      <c r="J15" s="2028"/>
      <c r="K15" s="2027"/>
      <c r="L15" s="2027"/>
      <c r="M15" s="2027"/>
      <c r="N15" s="2027"/>
      <c r="O15" s="2027"/>
      <c r="P15" s="2027"/>
      <c r="Q15" s="2027"/>
      <c r="R15" s="2027"/>
      <c r="S15" s="2027"/>
      <c r="T15" s="2027"/>
      <c r="U15" s="2027"/>
      <c r="V15" s="2027"/>
    </row>
    <row r="16" spans="1:22" ht="14.25">
      <c r="A16" s="3407"/>
      <c r="B16" s="3408"/>
      <c r="C16" s="3418"/>
      <c r="D16" s="3419"/>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238873</v>
      </c>
      <c r="D19" s="271">
        <f ca="1">SUMIF(INDIRECT("'"&amp;D4&amp;"'"&amp;"!A:A"),结果表!B19,INDIRECT("'"&amp;D4&amp;"'"&amp;"!B:B"))</f>
        <v>187866</v>
      </c>
      <c r="E19" s="268" t="s">
        <v>322</v>
      </c>
      <c r="F19" s="269" t="s">
        <v>321</v>
      </c>
      <c r="G19" s="272">
        <f ca="1">ROUND(C19*$C$18+D19*$D$18,0)</f>
        <v>218470</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19649</v>
      </c>
      <c r="E20" s="274"/>
      <c r="F20" s="275" t="s">
        <v>324</v>
      </c>
      <c r="G20" s="278">
        <f ca="1">ROUND(C20*$C$18+D20*$D$18,0)</f>
        <v>25076</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45882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0.27150735098421208</v>
      </c>
      <c r="E22" s="284"/>
      <c r="F22" s="285"/>
      <c r="G22" s="286">
        <f ca="1">ROUND(G19/('数据-汇总表'!D3/666.67),0)</f>
        <v>2119</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80"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422"/>
      <c r="B25" s="1320" t="s">
        <v>330</v>
      </c>
      <c r="C25" s="290">
        <f>IF(B30=0,0,C30)</f>
        <v>0</v>
      </c>
      <c r="D25" s="291"/>
      <c r="E25" s="311"/>
      <c r="F25" s="311"/>
      <c r="G25" s="311"/>
      <c r="H25" s="311"/>
      <c r="I25" s="311"/>
      <c r="J25" s="2027"/>
      <c r="K25" s="1254" t="str">
        <f ca="1">项目基本情况!B16&amp;"国有建设用地使用权价格："&amp;O38&amp;"万元"</f>
        <v>出让国有建设用地使用权价格：218470万元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大写金额：人民币贰拾壹亿捌仟肆佰柒拾万元整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单位面积地价：31781元/平方米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楼面地价：19875元/平方米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218470</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19875</v>
      </c>
      <c r="D33" s="1384" t="s">
        <v>1691</v>
      </c>
      <c r="E33" s="3380"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31781</v>
      </c>
      <c r="D34" s="1386" t="s">
        <v>1691</v>
      </c>
      <c r="E34" s="3381"/>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2119</v>
      </c>
      <c r="D35" s="1389" t="s">
        <v>1693</v>
      </c>
      <c r="E35" s="3382"/>
      <c r="F35" s="301" t="s">
        <v>341</v>
      </c>
      <c r="G35" s="981"/>
      <c r="H35" s="980" t="s">
        <v>342</v>
      </c>
      <c r="I35" s="311"/>
      <c r="J35" s="2027"/>
      <c r="K35" s="3386" t="s">
        <v>349</v>
      </c>
      <c r="L35" s="3386" t="s">
        <v>350</v>
      </c>
      <c r="M35" s="1263" t="s">
        <v>351</v>
      </c>
      <c r="N35" s="3386" t="s">
        <v>352</v>
      </c>
      <c r="O35" s="3386" t="s">
        <v>353</v>
      </c>
      <c r="P35" s="2027"/>
      <c r="V35" s="2027"/>
    </row>
    <row r="36" spans="1:26" ht="16.5" customHeight="1">
      <c r="A36" s="303" t="s">
        <v>343</v>
      </c>
      <c r="B36" s="304" t="s">
        <v>332</v>
      </c>
      <c r="C36" s="305" t="s">
        <v>344</v>
      </c>
      <c r="D36" s="305" t="s">
        <v>345</v>
      </c>
      <c r="E36" s="306" t="s">
        <v>346</v>
      </c>
      <c r="F36" s="311"/>
      <c r="G36" s="311"/>
      <c r="H36" s="311"/>
      <c r="I36" s="311"/>
      <c r="J36" s="2029"/>
      <c r="K36" s="3387"/>
      <c r="L36" s="3387"/>
      <c r="M36" s="1265" t="s">
        <v>354</v>
      </c>
      <c r="N36" s="3387"/>
      <c r="O36" s="3387"/>
      <c r="P36" s="2027"/>
      <c r="V36" s="2027"/>
    </row>
    <row r="37" spans="1:26" ht="16.5" customHeight="1" thickBot="1">
      <c r="A37" s="1259" t="s">
        <v>347</v>
      </c>
      <c r="B37" s="307"/>
      <c r="C37" s="294"/>
      <c r="D37" s="294"/>
      <c r="E37" s="295"/>
      <c r="F37" s="311"/>
      <c r="G37" s="311"/>
      <c r="H37" s="311"/>
      <c r="I37" s="311"/>
      <c r="J37" s="2029"/>
      <c r="K37" s="3388"/>
      <c r="L37" s="3388"/>
      <c r="M37" s="1266"/>
      <c r="N37" s="3388"/>
      <c r="O37" s="3388"/>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31781</v>
      </c>
      <c r="N38" s="1268">
        <f ca="1">C33</f>
        <v>19875</v>
      </c>
      <c r="O38" s="1269">
        <f ca="1">C32</f>
        <v>218470</v>
      </c>
      <c r="P38" s="2027"/>
      <c r="V38" s="2027"/>
    </row>
    <row r="39" spans="1:26" ht="16.5" customHeight="1" thickBot="1">
      <c r="A39" s="1264"/>
      <c r="B39" s="308"/>
      <c r="C39" s="309"/>
      <c r="D39" s="309"/>
      <c r="E39" s="310"/>
      <c r="F39" s="311"/>
      <c r="G39" s="311"/>
      <c r="H39" s="311"/>
      <c r="I39" s="311"/>
      <c r="J39" s="2029"/>
      <c r="K39" s="3363" t="str">
        <f>MID(A44,3,LEN(A44)-2)</f>
        <v/>
      </c>
      <c r="L39" s="3364"/>
      <c r="M39" s="3364"/>
      <c r="N39" s="3365"/>
      <c r="O39" s="1391" t="str">
        <f>C44</f>
        <v>——</v>
      </c>
      <c r="P39" s="2027"/>
      <c r="V39" s="2027"/>
    </row>
    <row r="40" spans="1:26" ht="19.5" thickBot="1">
      <c r="A40" s="104" t="s">
        <v>872</v>
      </c>
      <c r="B40" s="311"/>
      <c r="C40" s="311"/>
      <c r="D40" s="311"/>
      <c r="E40" s="311"/>
      <c r="F40" s="311"/>
      <c r="G40" s="311"/>
      <c r="H40" s="311"/>
      <c r="I40" s="311"/>
      <c r="J40" s="2029"/>
      <c r="K40" s="3363" t="str">
        <f t="shared" ref="K40:K41" si="0">MID(A45,3,LEN(A45)-2)</f>
        <v/>
      </c>
      <c r="L40" s="3364"/>
      <c r="M40" s="3364"/>
      <c r="N40" s="3365"/>
      <c r="O40" s="1391" t="str">
        <f>C45</f>
        <v>——</v>
      </c>
      <c r="P40" s="2027"/>
      <c r="V40" s="2027"/>
    </row>
    <row r="41" spans="1:26" ht="16.5" thickBot="1">
      <c r="A41" s="312" t="s">
        <v>355</v>
      </c>
      <c r="B41" s="313"/>
      <c r="C41" s="314" t="s">
        <v>356</v>
      </c>
      <c r="D41" s="315" t="s">
        <v>357</v>
      </c>
      <c r="E41" s="315" t="s">
        <v>358</v>
      </c>
      <c r="F41" s="316" t="s">
        <v>359</v>
      </c>
      <c r="G41" s="311"/>
      <c r="H41" s="311"/>
      <c r="I41" s="311"/>
      <c r="J41" s="2029"/>
      <c r="K41" s="3363" t="str">
        <f t="shared" si="0"/>
        <v/>
      </c>
      <c r="L41" s="3364"/>
      <c r="M41" s="3364"/>
      <c r="N41" s="3365"/>
      <c r="O41" s="1391" t="str">
        <f>C46</f>
        <v>——</v>
      </c>
      <c r="P41" s="2027"/>
      <c r="V41" s="2027"/>
    </row>
    <row r="42" spans="1:26" ht="29.25">
      <c r="A42" s="3423" t="s">
        <v>2067</v>
      </c>
      <c r="B42" s="3424"/>
      <c r="C42" s="264">
        <f ca="1">C32</f>
        <v>218470</v>
      </c>
      <c r="D42" s="317">
        <f ca="1">C33</f>
        <v>19875</v>
      </c>
      <c r="E42" s="317">
        <f ca="1">C34</f>
        <v>31781</v>
      </c>
      <c r="F42" s="318">
        <f ca="1">C35</f>
        <v>2119</v>
      </c>
      <c r="G42" s="311"/>
      <c r="H42" s="311"/>
      <c r="I42" s="319"/>
      <c r="J42" s="2029"/>
      <c r="K42" s="1270" t="s">
        <v>360</v>
      </c>
      <c r="L42" s="2046" t="s">
        <v>361</v>
      </c>
      <c r="M42" s="1271" t="s">
        <v>362</v>
      </c>
      <c r="N42" s="2047" t="s">
        <v>363</v>
      </c>
      <c r="O42" s="2048" t="s">
        <v>364</v>
      </c>
      <c r="P42" s="2027"/>
      <c r="V42" s="2027"/>
    </row>
    <row r="43" spans="1:26" ht="30">
      <c r="A43" s="3433" t="s">
        <v>2730</v>
      </c>
      <c r="B43" s="3434"/>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238873</v>
      </c>
      <c r="M43" s="1274">
        <f>C18</f>
        <v>0.6</v>
      </c>
      <c r="N43" s="1275">
        <f ca="1">IF(N42="测算结果/万元",G19,G20)</f>
        <v>218470</v>
      </c>
      <c r="O43" s="1276">
        <f ca="1">IF(O42="最终结果/万元",C32,C33)</f>
        <v>218470</v>
      </c>
      <c r="P43" s="2027"/>
      <c r="V43" s="2027"/>
    </row>
    <row r="44" spans="1:26" ht="30.75" thickBot="1">
      <c r="A44" s="3423" t="str">
        <f>IF(OR(项目基本情况!E8="抵押价格",项目基本情况!E8="已注销及未注销"),"3.抵押价格","——")</f>
        <v>——</v>
      </c>
      <c r="B44" s="3424"/>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187866</v>
      </c>
      <c r="M44" s="1279">
        <f>D18</f>
        <v>0.4</v>
      </c>
      <c r="N44" s="1280"/>
      <c r="O44" s="1281"/>
      <c r="P44" s="2027"/>
      <c r="V44" s="2027"/>
    </row>
    <row r="45" spans="1:26" ht="15">
      <c r="A45" s="3428" t="str">
        <f>IF(项目基本情况!E8="已注销及未注销","4.抵押担保权已注销时的抵押价格",IF(项目基本情况!E8="已注销","3.抵押担保权已注销时的抵押价格","——"))</f>
        <v>——</v>
      </c>
      <c r="B45" s="342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25" t="str">
        <f>IF(项目基本情况!E9="抵押净值",IF(A45="——","4.抵押净值","5.抵押净值"),"——")</f>
        <v>——</v>
      </c>
      <c r="B46" s="342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91" t="s">
        <v>373</v>
      </c>
      <c r="B63" s="3392"/>
      <c r="C63" s="3393"/>
      <c r="D63" s="341">
        <f ca="1">ROUND(C42*F63,0)</f>
        <v>131082</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30" t="s">
        <v>377</v>
      </c>
      <c r="B64" s="3431"/>
      <c r="C64" s="3431"/>
      <c r="D64" s="3431"/>
      <c r="E64" s="3431"/>
      <c r="F64" s="3431"/>
      <c r="G64" s="3432"/>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27" t="s">
        <v>385</v>
      </c>
      <c r="B66" s="3398"/>
      <c r="C66" s="3398"/>
      <c r="D66" s="261">
        <f ca="1">IF(H66="情况1",0,IF(H66="情况2",D70,IF(H66="情况3",D71,IF(H66="情况4",D72))))</f>
        <v>6991</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67" t="s">
        <v>384</v>
      </c>
      <c r="M66" s="3368"/>
      <c r="N66" s="2436"/>
      <c r="O66" s="2437"/>
      <c r="P66" s="2438"/>
      <c r="Q66" s="2027"/>
      <c r="R66" s="2027"/>
      <c r="S66" s="2027"/>
      <c r="T66" s="2027"/>
      <c r="U66" s="2027"/>
      <c r="V66" s="2027"/>
    </row>
    <row r="67" spans="1:22" ht="25.5" customHeight="1">
      <c r="A67" s="352" t="s">
        <v>389</v>
      </c>
      <c r="B67" s="3410" t="s">
        <v>390</v>
      </c>
      <c r="C67" s="3410"/>
      <c r="D67" s="353">
        <v>0</v>
      </c>
      <c r="E67" s="41" t="s">
        <v>391</v>
      </c>
      <c r="F67" s="62" t="s">
        <v>21</v>
      </c>
      <c r="G67" s="3394"/>
      <c r="H67" s="311"/>
      <c r="I67" s="1291"/>
      <c r="J67" s="2034"/>
      <c r="K67" s="1975">
        <v>2</v>
      </c>
      <c r="L67" s="3366" t="s">
        <v>388</v>
      </c>
      <c r="M67" s="3366"/>
      <c r="N67" s="1324">
        <f>'数据-取费表'!B2</f>
        <v>43528</v>
      </c>
      <c r="O67" s="1324"/>
      <c r="P67" s="1324"/>
      <c r="Q67" s="2027"/>
      <c r="R67" s="2027"/>
      <c r="S67" s="2027"/>
      <c r="T67" s="2027"/>
      <c r="U67" s="2027"/>
      <c r="V67" s="2027"/>
    </row>
    <row r="68" spans="1:22" ht="25.5" customHeight="1">
      <c r="A68" s="354"/>
      <c r="B68" s="3410" t="s">
        <v>393</v>
      </c>
      <c r="C68" s="3410"/>
      <c r="D68" s="355"/>
      <c r="E68" s="77"/>
      <c r="F68" s="356"/>
      <c r="G68" s="3395"/>
      <c r="H68" s="311"/>
      <c r="I68" s="1291"/>
      <c r="J68" s="2034"/>
      <c r="K68" s="1975">
        <v>3</v>
      </c>
      <c r="L68" s="3366" t="s">
        <v>392</v>
      </c>
      <c r="M68" s="3366"/>
      <c r="N68" s="1292">
        <f ca="1">C42</f>
        <v>218470</v>
      </c>
      <c r="O68" s="1292"/>
      <c r="P68" s="1292"/>
      <c r="Q68" s="2027"/>
      <c r="R68" s="2027"/>
      <c r="S68" s="2027"/>
      <c r="T68" s="2027"/>
      <c r="U68" s="2027"/>
      <c r="V68" s="2027"/>
    </row>
    <row r="69" spans="1:22" ht="12" customHeight="1">
      <c r="A69" s="357"/>
      <c r="B69" s="3410" t="s">
        <v>394</v>
      </c>
      <c r="C69" s="3410"/>
      <c r="D69" s="358"/>
      <c r="E69" s="73"/>
      <c r="F69" s="356"/>
      <c r="G69" s="3396"/>
      <c r="H69" s="311"/>
      <c r="I69" s="1291"/>
      <c r="J69" s="2034"/>
      <c r="K69" s="1293">
        <v>4</v>
      </c>
      <c r="L69" s="3372" t="s">
        <v>2882</v>
      </c>
      <c r="M69" s="3373"/>
      <c r="N69" s="1294" t="str">
        <f>C44</f>
        <v>——</v>
      </c>
      <c r="O69" s="1294"/>
      <c r="P69" s="1294"/>
      <c r="Q69" s="2027"/>
      <c r="R69" s="2027"/>
      <c r="S69" s="2027"/>
      <c r="T69" s="2027"/>
      <c r="U69" s="2027"/>
      <c r="V69" s="2027"/>
    </row>
    <row r="70" spans="1:22" ht="24" customHeight="1">
      <c r="A70" s="359" t="s">
        <v>395</v>
      </c>
      <c r="B70" s="3410" t="s">
        <v>396</v>
      </c>
      <c r="C70" s="3410"/>
      <c r="D70" s="358">
        <f ca="1">ROUND(D63*'数据-取费表'!B41/(1+'数据-取费表'!C42),0)</f>
        <v>6991</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409" t="s">
        <v>404</v>
      </c>
      <c r="C71" s="3421"/>
      <c r="D71" s="358">
        <f ca="1">ROUND(D63*'数据-取费表'!B41/(1+'数据-取费表'!C42),0)</f>
        <v>6991</v>
      </c>
      <c r="E71" s="17" t="s">
        <v>397</v>
      </c>
      <c r="F71" s="360">
        <f>'数据-取费表'!B41</f>
        <v>5.6000000000000001E-2</v>
      </c>
      <c r="G71" s="361"/>
      <c r="H71" s="311"/>
      <c r="I71" s="1291"/>
      <c r="J71" s="2034"/>
      <c r="K71" s="3035" t="s">
        <v>398</v>
      </c>
      <c r="L71" s="3374" t="s">
        <v>399</v>
      </c>
      <c r="M71" s="3374"/>
      <c r="N71" s="3035" t="s">
        <v>400</v>
      </c>
      <c r="O71" s="3035" t="s">
        <v>401</v>
      </c>
      <c r="P71" s="3035" t="s">
        <v>402</v>
      </c>
      <c r="Q71" s="2027"/>
      <c r="R71" s="2027"/>
      <c r="S71" s="2027"/>
      <c r="T71" s="2027"/>
      <c r="U71" s="2027"/>
      <c r="V71" s="2027"/>
    </row>
    <row r="72" spans="1:22" ht="12" customHeight="1">
      <c r="A72" s="359" t="s">
        <v>406</v>
      </c>
      <c r="B72" s="3409" t="s">
        <v>407</v>
      </c>
      <c r="C72" s="3421"/>
      <c r="D72" s="358">
        <f ca="1">C86</f>
        <v>6879</v>
      </c>
      <c r="E72" s="73" t="s">
        <v>408</v>
      </c>
      <c r="F72" s="360">
        <f>'数据-取费表'!B41</f>
        <v>5.6000000000000001E-2</v>
      </c>
      <c r="G72" s="361"/>
      <c r="H72" s="1297"/>
      <c r="I72" s="1291"/>
      <c r="J72" s="2034"/>
      <c r="K72" s="1975">
        <v>1</v>
      </c>
      <c r="L72" s="3371" t="s">
        <v>405</v>
      </c>
      <c r="M72" s="3371"/>
      <c r="N72" s="1295">
        <f ca="1">D66</f>
        <v>6991</v>
      </c>
      <c r="O72" s="1858" t="str">
        <f>E66</f>
        <v>销售额×税（费）率</v>
      </c>
      <c r="P72" s="1296">
        <f>F66</f>
        <v>5.6000000000000001E-2</v>
      </c>
      <c r="Q72" s="2027"/>
      <c r="R72" s="2027"/>
      <c r="S72" s="2027"/>
      <c r="T72" s="2027"/>
      <c r="U72" s="2027"/>
      <c r="V72" s="2027"/>
    </row>
    <row r="73" spans="1:22" ht="24" customHeight="1">
      <c r="A73" s="3397" t="s">
        <v>410</v>
      </c>
      <c r="B73" s="3398"/>
      <c r="C73" s="3398"/>
      <c r="D73" s="362">
        <f>IF(H73="个人住宅",0,ROUND(D63*I73,0))</f>
        <v>0</v>
      </c>
      <c r="E73" s="17" t="s">
        <v>411</v>
      </c>
      <c r="F73" s="360" t="str">
        <f>IF(H73="正常",I73,"免征")</f>
        <v>免征</v>
      </c>
      <c r="G73" s="361"/>
      <c r="H73" s="191" t="s">
        <v>2455</v>
      </c>
      <c r="I73" s="360">
        <f>'数据-取费表'!B49</f>
        <v>5.0000000000000001E-4</v>
      </c>
      <c r="J73" s="2034"/>
      <c r="K73" s="1975">
        <v>2</v>
      </c>
      <c r="L73" s="3371" t="s">
        <v>409</v>
      </c>
      <c r="M73" s="3371"/>
      <c r="N73" s="1295">
        <f t="shared" ref="N73:P74" si="1">D73</f>
        <v>0</v>
      </c>
      <c r="O73" s="1858" t="str">
        <f t="shared" si="1"/>
        <v>销售额×税（费）率</v>
      </c>
      <c r="P73" s="1296" t="str">
        <f t="shared" si="1"/>
        <v>免征</v>
      </c>
      <c r="Q73" s="2027"/>
      <c r="R73" s="2027"/>
      <c r="S73" s="2027"/>
      <c r="T73" s="2027"/>
      <c r="U73" s="2027"/>
      <c r="V73" s="2027"/>
    </row>
    <row r="74" spans="1:22" ht="24.75">
      <c r="A74" s="3397" t="s">
        <v>414</v>
      </c>
      <c r="B74" s="3398"/>
      <c r="C74" s="3398"/>
      <c r="D74" s="362">
        <f ca="1">IF(H74="个人住宅",D75,D76)</f>
        <v>73537</v>
      </c>
      <c r="E74" s="17" t="s">
        <v>415</v>
      </c>
      <c r="F74" s="360" t="str">
        <f>IF(H74="正常",F76,"免征")</f>
        <v>——</v>
      </c>
      <c r="G74" s="982" t="s">
        <v>416</v>
      </c>
      <c r="H74" s="363" t="s">
        <v>412</v>
      </c>
      <c r="I74" s="42"/>
      <c r="J74" s="2034"/>
      <c r="K74" s="1975">
        <v>3</v>
      </c>
      <c r="L74" s="3371" t="s">
        <v>413</v>
      </c>
      <c r="M74" s="3371"/>
      <c r="N74" s="1295">
        <f t="shared" ca="1" si="1"/>
        <v>73537</v>
      </c>
      <c r="O74" s="1858" t="str">
        <f t="shared" si="1"/>
        <v>增值额×税（费）率</v>
      </c>
      <c r="P74" s="1298" t="str">
        <f t="shared" si="1"/>
        <v>——</v>
      </c>
      <c r="Q74" s="2027"/>
      <c r="R74" s="2027"/>
      <c r="S74" s="2027"/>
      <c r="T74" s="2027"/>
      <c r="U74" s="2027"/>
      <c r="V74" s="2027"/>
    </row>
    <row r="75" spans="1:22" ht="24">
      <c r="A75" s="359" t="s">
        <v>417</v>
      </c>
      <c r="B75" s="3378" t="s">
        <v>418</v>
      </c>
      <c r="C75" s="3379"/>
      <c r="D75" s="364">
        <v>0</v>
      </c>
      <c r="E75" s="41" t="s">
        <v>419</v>
      </c>
      <c r="F75" s="365"/>
      <c r="G75" s="361"/>
      <c r="H75" s="42"/>
      <c r="I75" s="42"/>
      <c r="J75" s="2034"/>
      <c r="K75" s="3028">
        <f>IF(H77="非个人房产","",4)</f>
        <v>4</v>
      </c>
      <c r="L75" s="3371" t="str">
        <f>IF(H77="非个人房产","——","个人所得税")</f>
        <v>个人所得税</v>
      </c>
      <c r="M75" s="3371"/>
      <c r="N75" s="1299">
        <f ca="1">D77</f>
        <v>1311</v>
      </c>
      <c r="O75" s="1871" t="str">
        <f>E77</f>
        <v>销售额×税（费）率</v>
      </c>
      <c r="P75" s="1300">
        <f>F77</f>
        <v>0.01</v>
      </c>
      <c r="Q75" s="2027"/>
      <c r="R75" s="2027"/>
      <c r="S75" s="2027"/>
      <c r="T75" s="2027"/>
      <c r="U75" s="2027"/>
      <c r="V75" s="2027"/>
    </row>
    <row r="76" spans="1:22" ht="24.75">
      <c r="A76" s="359" t="s">
        <v>395</v>
      </c>
      <c r="B76" s="3378" t="s">
        <v>421</v>
      </c>
      <c r="C76" s="3420"/>
      <c r="D76" s="362">
        <f ca="1">IF(H76="转让取得",C99,C115)</f>
        <v>73537</v>
      </c>
      <c r="E76" s="17" t="s">
        <v>422</v>
      </c>
      <c r="F76" s="53" t="s">
        <v>21</v>
      </c>
      <c r="G76" s="361"/>
      <c r="H76" s="363" t="s">
        <v>423</v>
      </c>
      <c r="I76" s="42"/>
      <c r="J76" s="2034"/>
      <c r="K76" s="3028" t="str">
        <f>IF(项目基本情况!K6="上海银行",IF(K75="",4,K75+1),"")</f>
        <v/>
      </c>
      <c r="L76" s="3359" t="str">
        <f>IF(项目基本情况!K6="上海银行","其他处置费用","")</f>
        <v/>
      </c>
      <c r="M76" s="3360"/>
      <c r="N76" s="1295" t="str">
        <f>IF(项目基本情况!K6="上海银行",N89,"")</f>
        <v/>
      </c>
      <c r="O76" s="3361" t="str">
        <f>IF(项目基本情况!K6="上海银行","包含处置中涉及的律师、诉讼、拍卖、评估等费用","")</f>
        <v/>
      </c>
      <c r="P76" s="3362"/>
      <c r="Q76" s="2027"/>
      <c r="R76" s="2027"/>
      <c r="S76" s="2027"/>
      <c r="T76" s="2027"/>
      <c r="U76" s="2027"/>
      <c r="V76" s="2027"/>
    </row>
    <row r="77" spans="1:22" ht="26.25" thickBot="1">
      <c r="A77" s="3389" t="s">
        <v>425</v>
      </c>
      <c r="B77" s="3390"/>
      <c r="C77" s="3390"/>
      <c r="D77" s="366">
        <f ca="1">IF(H77="非个人房产","——",IF(H77="个人住宅",0,ROUND(D63*I77,0)))</f>
        <v>1311</v>
      </c>
      <c r="E77" s="367" t="str">
        <f>IF(H77="非个人房产","——","销售额×税（费）率")</f>
        <v>销售额×税（费）率</v>
      </c>
      <c r="F77" s="368">
        <f>IF(H77="非个人房产","——",IF(H77="个人住宅","免征",I77))</f>
        <v>0.01</v>
      </c>
      <c r="G77" s="983" t="s">
        <v>416</v>
      </c>
      <c r="H77" s="363" t="s">
        <v>2883</v>
      </c>
      <c r="I77" s="369">
        <v>0.01</v>
      </c>
      <c r="J77" s="2034"/>
      <c r="K77" s="3385">
        <f>IF(AND(K75="",K76=""),4,IF(项目基本情况!K6="上海银行",K76+1,K75+1))</f>
        <v>5</v>
      </c>
      <c r="L77" s="3371" t="s">
        <v>2884</v>
      </c>
      <c r="M77" s="3034" t="s">
        <v>420</v>
      </c>
      <c r="N77" s="1301"/>
      <c r="O77" s="1302">
        <f ca="1">SUMIF(N72:N76,"&lt;9e307")</f>
        <v>81839</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85"/>
      <c r="L78" s="3371"/>
      <c r="M78" s="3034" t="s">
        <v>424</v>
      </c>
      <c r="N78" s="1301"/>
      <c r="O78" s="1302" t="str">
        <f ca="1">NUMBERSTRING(INT(O77*10000),2)&amp;"元整"</f>
        <v>捌亿壹仟捌佰叁拾玖万元整</v>
      </c>
      <c r="P78" s="1303"/>
      <c r="Q78" s="2027"/>
      <c r="R78" s="2027"/>
      <c r="S78" s="2027"/>
      <c r="T78" s="2027"/>
      <c r="U78" s="2027"/>
      <c r="V78" s="2027"/>
    </row>
    <row r="79" spans="1:22" ht="13.5" thickBot="1">
      <c r="A79" s="3375" t="s">
        <v>426</v>
      </c>
      <c r="B79" s="3375"/>
      <c r="C79" s="3375"/>
      <c r="D79" s="3375"/>
      <c r="E79" s="3375"/>
      <c r="F79" s="42"/>
      <c r="G79" s="42"/>
      <c r="H79" s="1002"/>
      <c r="I79" s="311"/>
      <c r="J79" s="2034"/>
      <c r="K79" s="3369">
        <f>K77+1</f>
        <v>6</v>
      </c>
      <c r="L79" s="3371" t="s">
        <v>2885</v>
      </c>
      <c r="M79" s="3034" t="s">
        <v>420</v>
      </c>
      <c r="N79" s="1301"/>
      <c r="O79" s="1302" t="e">
        <f ca="1">N69-O77</f>
        <v>#VALUE!</v>
      </c>
      <c r="P79" s="1303"/>
      <c r="Q79" s="2027"/>
      <c r="R79" s="2027"/>
      <c r="S79" s="2027"/>
      <c r="T79" s="2027"/>
      <c r="U79" s="2027"/>
      <c r="V79" s="2027"/>
    </row>
    <row r="80" spans="1:22" ht="12.75">
      <c r="A80" s="3376" t="s">
        <v>427</v>
      </c>
      <c r="B80" s="3377"/>
      <c r="C80" s="993"/>
      <c r="D80" s="993" t="s">
        <v>428</v>
      </c>
      <c r="E80" s="370" t="s">
        <v>429</v>
      </c>
      <c r="F80" s="42"/>
      <c r="G80" s="42"/>
      <c r="H80" s="1002"/>
      <c r="I80" s="311"/>
      <c r="J80" s="2027"/>
      <c r="K80" s="3370"/>
      <c r="L80" s="3371"/>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124840</v>
      </c>
      <c r="D81" s="373"/>
      <c r="E81" s="374"/>
      <c r="F81" s="42"/>
      <c r="G81" s="42"/>
      <c r="H81" s="1002"/>
      <c r="I81" s="311"/>
      <c r="J81" s="2027"/>
      <c r="K81" s="3028">
        <f>K79+1</f>
        <v>7</v>
      </c>
      <c r="L81" s="3383" t="s">
        <v>2886</v>
      </c>
      <c r="M81" s="3384"/>
      <c r="N81" s="1305"/>
      <c r="O81" s="1306" t="e">
        <f ca="1">ROUND(O79*10000/'数据-汇总表'!E3,0)</f>
        <v>#VALUE!</v>
      </c>
      <c r="P81" s="1307"/>
      <c r="Q81" s="2027"/>
      <c r="R81" s="2027"/>
      <c r="S81" s="2027"/>
      <c r="T81" s="2027"/>
      <c r="U81" s="2027"/>
      <c r="V81" s="2027"/>
    </row>
    <row r="82" spans="1:26" ht="13.5" thickTop="1">
      <c r="A82" s="375" t="s">
        <v>1824</v>
      </c>
      <c r="B82" s="376" t="s">
        <v>431</v>
      </c>
      <c r="C82" s="377">
        <f ca="1">D63</f>
        <v>131082</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358"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358"/>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122840</v>
      </c>
      <c r="D85" s="378" t="s">
        <v>19</v>
      </c>
      <c r="E85" s="379"/>
      <c r="F85" s="42"/>
      <c r="G85" s="42"/>
      <c r="H85" s="1002"/>
      <c r="I85" s="311"/>
      <c r="J85" s="2027"/>
      <c r="K85" s="3358"/>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6879</v>
      </c>
      <c r="D86" s="389">
        <f>'数据-取费表'!B41</f>
        <v>5.6000000000000001E-2</v>
      </c>
      <c r="E86" s="390"/>
      <c r="F86" s="42"/>
      <c r="G86" s="42"/>
      <c r="H86" s="1002"/>
      <c r="I86" s="311"/>
      <c r="J86" s="2027"/>
      <c r="K86" s="3358"/>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58"/>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12" t="s">
        <v>436</v>
      </c>
      <c r="B88" s="3413"/>
      <c r="C88" s="3413"/>
      <c r="D88" s="3413"/>
      <c r="E88" s="3413"/>
      <c r="F88" s="3413"/>
      <c r="G88" s="3413"/>
      <c r="H88" s="3413"/>
      <c r="I88" s="1314"/>
      <c r="J88" s="2035"/>
      <c r="K88" s="3358"/>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76" t="s">
        <v>427</v>
      </c>
      <c r="B89" s="3377"/>
      <c r="C89" s="993"/>
      <c r="D89" s="993" t="s">
        <v>428</v>
      </c>
      <c r="E89" s="391" t="s">
        <v>437</v>
      </c>
      <c r="F89" s="392"/>
      <c r="G89" s="392"/>
      <c r="H89" s="393"/>
      <c r="I89" s="1315"/>
      <c r="J89" s="2037"/>
      <c r="K89" s="3358"/>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124840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3310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409" t="s">
        <v>446</v>
      </c>
      <c r="F94" s="3410"/>
      <c r="G94" s="3410"/>
      <c r="H94" s="341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749</v>
      </c>
      <c r="D96" s="406">
        <f>'数据-取费表'!B43</f>
        <v>6.000000000000001E-3</v>
      </c>
      <c r="E96" s="3399" t="s">
        <v>2428</v>
      </c>
      <c r="F96" s="3400"/>
      <c r="G96" s="3400"/>
      <c r="H96" s="340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121530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36.716012084592144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71760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12" t="s">
        <v>453</v>
      </c>
      <c r="B101" s="3413"/>
      <c r="C101" s="3413"/>
      <c r="D101" s="3413"/>
      <c r="E101" s="3413"/>
      <c r="F101" s="3413"/>
      <c r="G101" s="3413"/>
      <c r="H101" s="341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76" t="s">
        <v>427</v>
      </c>
      <c r="B102" s="3377"/>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124840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1439</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402" t="s">
        <v>461</v>
      </c>
      <c r="F109" s="3400"/>
      <c r="G109" s="3400"/>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402" t="s">
        <v>463</v>
      </c>
      <c r="F110" s="3400"/>
      <c r="G110" s="3400"/>
      <c r="H110" s="340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749</v>
      </c>
      <c r="D111" s="406">
        <f>'数据-取费表'!B43</f>
        <v>6.000000000000001E-3</v>
      </c>
      <c r="E111" s="3399" t="s">
        <v>2428</v>
      </c>
      <c r="F111" s="3400"/>
      <c r="G111" s="3400"/>
      <c r="H111" s="340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402" t="s">
        <v>2453</v>
      </c>
      <c r="F112" s="3400"/>
      <c r="G112" s="3400"/>
      <c r="H112" s="340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123401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85.75469075747047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73537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opLeftCell="F19" workbookViewId="0">
      <selection activeCell="I38" sqref="I38"/>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 min="19" max="19" width="16.125" customWidth="1"/>
  </cols>
  <sheetData>
    <row r="1" spans="1:10" ht="15.75" customHeight="1" thickBot="1">
      <c r="A1" s="3455" t="s">
        <v>3003</v>
      </c>
      <c r="B1" s="3455"/>
      <c r="C1" s="3455"/>
      <c r="E1" s="3455" t="s">
        <v>3004</v>
      </c>
      <c r="F1" s="3455"/>
      <c r="G1" s="3456"/>
      <c r="I1" s="3191" t="s">
        <v>3143</v>
      </c>
    </row>
    <row r="2" spans="1:10" ht="14.25" thickBot="1">
      <c r="A2" s="3457" t="s">
        <v>2993</v>
      </c>
      <c r="B2" s="3183" t="s">
        <v>3000</v>
      </c>
      <c r="C2" s="3192">
        <v>83247.820000000007</v>
      </c>
      <c r="E2" s="3457" t="s">
        <v>2993</v>
      </c>
      <c r="F2" s="3183" t="s">
        <v>3000</v>
      </c>
      <c r="G2" s="3184">
        <v>83884.960000000006</v>
      </c>
      <c r="I2" s="3221">
        <f>C2-G2</f>
        <v>-637.13999999999942</v>
      </c>
      <c r="J2" s="3182" t="s">
        <v>3005</v>
      </c>
    </row>
    <row r="3" spans="1:10" ht="14.25" thickBot="1">
      <c r="A3" s="3458"/>
      <c r="B3" s="3183" t="s">
        <v>2994</v>
      </c>
      <c r="C3" s="3189">
        <v>15426.7</v>
      </c>
      <c r="E3" s="3458"/>
      <c r="F3" s="3183" t="s">
        <v>2994</v>
      </c>
      <c r="G3" s="3184">
        <v>15502</v>
      </c>
      <c r="I3" s="3221">
        <f>C3-G3</f>
        <v>-75.299999999999272</v>
      </c>
      <c r="J3" s="3182" t="s">
        <v>3006</v>
      </c>
    </row>
    <row r="4" spans="1:10" ht="14.25" thickBot="1">
      <c r="A4" s="3459" t="s">
        <v>2995</v>
      </c>
      <c r="B4" s="3460"/>
      <c r="C4" s="3185">
        <f>SUM(C2:C3)</f>
        <v>98674.52</v>
      </c>
      <c r="D4" s="3191" t="s">
        <v>3001</v>
      </c>
      <c r="E4" s="3459" t="s">
        <v>2995</v>
      </c>
      <c r="F4" s="3460"/>
      <c r="G4" s="3185">
        <f>G2+G3</f>
        <v>99386.96</v>
      </c>
      <c r="H4" s="3191" t="s">
        <v>3002</v>
      </c>
      <c r="I4" s="3223"/>
    </row>
    <row r="5" spans="1:10" ht="14.25" thickBot="1">
      <c r="A5" s="3457" t="s">
        <v>2996</v>
      </c>
      <c r="B5" s="3183" t="s">
        <v>2998</v>
      </c>
      <c r="C5" s="3188">
        <v>2364.58</v>
      </c>
      <c r="E5" s="3457" t="s">
        <v>2996</v>
      </c>
      <c r="F5" s="3183"/>
      <c r="G5" s="3184">
        <f>G7-G6</f>
        <v>4632</v>
      </c>
      <c r="I5" s="3223">
        <f>C5</f>
        <v>2364.58</v>
      </c>
      <c r="J5" s="3182" t="s">
        <v>3008</v>
      </c>
    </row>
    <row r="6" spans="1:10" ht="14.25" thickBot="1">
      <c r="A6" s="3458"/>
      <c r="B6" s="3183" t="s">
        <v>2997</v>
      </c>
      <c r="C6" s="3189">
        <v>8880.9</v>
      </c>
      <c r="E6" s="3458"/>
      <c r="F6" s="3183" t="s">
        <v>2997</v>
      </c>
      <c r="G6" s="3184">
        <v>8880.9</v>
      </c>
      <c r="I6" s="3222">
        <f>C6-G6</f>
        <v>0</v>
      </c>
      <c r="J6" s="3182" t="s">
        <v>3007</v>
      </c>
    </row>
    <row r="7" spans="1:10">
      <c r="A7" s="3459" t="s">
        <v>2995</v>
      </c>
      <c r="B7" s="3468"/>
      <c r="C7" s="3185">
        <f>SUM(C5:C6)</f>
        <v>11245.48</v>
      </c>
      <c r="E7" s="3459" t="s">
        <v>2995</v>
      </c>
      <c r="F7" s="3468"/>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3135</v>
      </c>
      <c r="F11" s="3226" t="s">
        <v>3137</v>
      </c>
      <c r="G11" s="3227" t="s">
        <v>3138</v>
      </c>
      <c r="H11" s="3228" t="s">
        <v>3136</v>
      </c>
      <c r="I11" s="3229" t="s">
        <v>3139</v>
      </c>
    </row>
    <row r="12" spans="1:10">
      <c r="A12" s="3449" t="s">
        <v>3118</v>
      </c>
      <c r="B12" s="3269" t="s">
        <v>3078</v>
      </c>
      <c r="C12" s="3270">
        <f ca="1">'基准地价-70住宅'!C29</f>
        <v>22441</v>
      </c>
      <c r="D12" s="3270">
        <v>0.4</v>
      </c>
      <c r="E12" s="3451">
        <f ca="1">ROUND(C12*D12+C13*D13,0)</f>
        <v>26193</v>
      </c>
      <c r="F12" s="3469">
        <f ca="1">E12*C2/10000</f>
        <v>218051.01492600003</v>
      </c>
      <c r="G12" s="3435">
        <f ca="1">ROUND(E12/4,0)</f>
        <v>6548</v>
      </c>
      <c r="H12" s="3435"/>
      <c r="I12" s="3435">
        <f ca="1">ROUND(E12/1.44,0)</f>
        <v>18190</v>
      </c>
    </row>
    <row r="13" spans="1:10">
      <c r="A13" s="3450"/>
      <c r="B13" s="3269" t="s">
        <v>3079</v>
      </c>
      <c r="C13" s="3270">
        <f ca="1">'剩余法-待开发住宅'!B3</f>
        <v>28694</v>
      </c>
      <c r="D13" s="3270">
        <f>1-D12</f>
        <v>0.6</v>
      </c>
      <c r="E13" s="3452"/>
      <c r="F13" s="3436"/>
      <c r="G13" s="3436"/>
      <c r="H13" s="3436"/>
      <c r="I13" s="3436"/>
    </row>
    <row r="14" spans="1:10">
      <c r="A14" s="3445" t="s">
        <v>3082</v>
      </c>
      <c r="B14" s="3212" t="s">
        <v>3078</v>
      </c>
      <c r="C14" s="3213">
        <f ca="1">'基准地价-70住宅'!C38</f>
        <v>4440</v>
      </c>
      <c r="D14" s="3213">
        <f>D12</f>
        <v>0.4</v>
      </c>
      <c r="E14" s="3447">
        <f ca="1">ROUND(C14*D14+C15*D15,0)</f>
        <v>6080</v>
      </c>
      <c r="F14" s="3437">
        <f ca="1">ROUND(E14*C5/10000,4)</f>
        <v>1437.6646000000001</v>
      </c>
      <c r="G14" s="3437">
        <f t="shared" ref="G14" ca="1" si="0">ROUND(E14/4,0)</f>
        <v>1520</v>
      </c>
      <c r="H14" s="3437"/>
      <c r="I14" s="3437">
        <f t="shared" ref="I14" ca="1" si="1">ROUND(E14/1.44,0)</f>
        <v>4222</v>
      </c>
    </row>
    <row r="15" spans="1:10">
      <c r="A15" s="3446"/>
      <c r="B15" s="3212" t="s">
        <v>3079</v>
      </c>
      <c r="C15" s="3213">
        <f ca="1">ROUND(C13*0.25,0)</f>
        <v>7174</v>
      </c>
      <c r="D15" s="3213">
        <f>1-D14</f>
        <v>0.6</v>
      </c>
      <c r="E15" s="3448"/>
      <c r="F15" s="3438"/>
      <c r="G15" s="3438"/>
      <c r="H15" s="3438"/>
      <c r="I15" s="3438"/>
    </row>
    <row r="16" spans="1:10">
      <c r="A16" s="3453" t="s">
        <v>3119</v>
      </c>
      <c r="B16" s="3214" t="s">
        <v>3078</v>
      </c>
      <c r="C16" s="3215">
        <f ca="1">ROUND(C12*B24,0)</f>
        <v>21622</v>
      </c>
      <c r="D16" s="3215">
        <f>D12</f>
        <v>0.4</v>
      </c>
      <c r="E16" s="3465">
        <f ca="1">ROUND(C16*D16+C17*D17,0)</f>
        <v>25237</v>
      </c>
      <c r="F16" s="3439">
        <f ca="1">ROUND(E16*C2/10000,4)</f>
        <v>210092.5233</v>
      </c>
      <c r="G16" s="3439">
        <f t="shared" ref="G16" ca="1" si="2">ROUND(E16/4,0)</f>
        <v>6309</v>
      </c>
      <c r="H16" s="3439"/>
      <c r="I16" s="3439">
        <f t="shared" ref="I16" ca="1" si="3">ROUND(E16/1.44,0)</f>
        <v>17526</v>
      </c>
    </row>
    <row r="17" spans="1:20">
      <c r="A17" s="3454"/>
      <c r="B17" s="3214" t="s">
        <v>3079</v>
      </c>
      <c r="C17" s="3215">
        <f ca="1">ROUND(C13*B24,0)</f>
        <v>27647</v>
      </c>
      <c r="D17" s="3215">
        <f>1-D16</f>
        <v>0.6</v>
      </c>
      <c r="E17" s="3466"/>
      <c r="F17" s="3440"/>
      <c r="G17" s="3440"/>
      <c r="H17" s="3440"/>
      <c r="I17" s="3440"/>
    </row>
    <row r="18" spans="1:20">
      <c r="A18" s="3470" t="s">
        <v>3080</v>
      </c>
      <c r="B18" s="3216" t="s">
        <v>3078</v>
      </c>
      <c r="C18" s="3268">
        <f>'[1]基准地价-住宅'!$C$39</f>
        <v>3187</v>
      </c>
      <c r="D18" s="3217">
        <f>D12</f>
        <v>0.4</v>
      </c>
      <c r="E18" s="3472">
        <f ca="1">ROUND(C18*D18+C19*D19,0)</f>
        <v>4592</v>
      </c>
      <c r="F18" s="3441">
        <f ca="1">ROUND(E18*C6/10000,4)</f>
        <v>4078.1093000000001</v>
      </c>
      <c r="G18" s="3441">
        <f t="shared" ref="G18" ca="1" si="4">ROUND(E18/4,0)</f>
        <v>1148</v>
      </c>
      <c r="H18" s="3441"/>
      <c r="I18" s="3441">
        <f t="shared" ref="I18:I20" ca="1" si="5">ROUND(E18/1.44,0)</f>
        <v>3189</v>
      </c>
    </row>
    <row r="19" spans="1:20">
      <c r="A19" s="3471"/>
      <c r="B19" s="3216" t="s">
        <v>3079</v>
      </c>
      <c r="C19" s="3217">
        <f ca="1">ROUND(C17*0.2,0)</f>
        <v>5529</v>
      </c>
      <c r="D19" s="3217">
        <f>1-D18</f>
        <v>0.6</v>
      </c>
      <c r="E19" s="3473"/>
      <c r="F19" s="3442"/>
      <c r="G19" s="3442"/>
      <c r="H19" s="3442"/>
      <c r="I19" s="3442"/>
    </row>
    <row r="20" spans="1:20">
      <c r="A20" s="3461" t="s">
        <v>3081</v>
      </c>
      <c r="B20" s="3210" t="s">
        <v>3078</v>
      </c>
      <c r="C20" s="3211">
        <f ca="1">'基准地价-商业'!C29</f>
        <v>14769</v>
      </c>
      <c r="D20" s="3211">
        <f>D12</f>
        <v>0.4</v>
      </c>
      <c r="E20" s="3463">
        <f ca="1">ROUND(C20*D20+C21*D21,0)</f>
        <v>15020</v>
      </c>
      <c r="F20" s="3443">
        <f ca="1">E20*C3/10000</f>
        <v>23170.903399999999</v>
      </c>
      <c r="G20" s="3443">
        <f t="shared" ref="G20" ca="1" si="6">ROUND(E20/4,0)</f>
        <v>3755</v>
      </c>
      <c r="H20" s="3443"/>
      <c r="I20" s="3443">
        <f t="shared" ca="1" si="5"/>
        <v>10431</v>
      </c>
    </row>
    <row r="21" spans="1:20">
      <c r="A21" s="3462"/>
      <c r="B21" s="3210" t="s">
        <v>3079</v>
      </c>
      <c r="C21" s="3249">
        <f ca="1">ROUND('剩余法-待开发商业'!B3*'基准地价-商业'!C20,0)</f>
        <v>15188</v>
      </c>
      <c r="D21" s="3211">
        <f>1-D20</f>
        <v>0.6</v>
      </c>
      <c r="E21" s="3464"/>
      <c r="F21" s="3444"/>
      <c r="G21" s="3444"/>
      <c r="H21" s="3444"/>
      <c r="I21" s="3444"/>
    </row>
    <row r="23" spans="1:20" hidden="1"/>
    <row r="24" spans="1:20" ht="24" customHeight="1">
      <c r="A24" s="3265" t="s">
        <v>3163</v>
      </c>
      <c r="B24" s="3187">
        <f>'[2]基准地价-住宅'!$C$20</f>
        <v>0.96350000000000002</v>
      </c>
      <c r="C24">
        <v>0.83340000000000003</v>
      </c>
    </row>
    <row r="27" spans="1:20" ht="19.5" thickBot="1">
      <c r="A27" s="3208" t="s">
        <v>3122</v>
      </c>
      <c r="D27"/>
      <c r="H27" s="3467" t="s">
        <v>3123</v>
      </c>
      <c r="I27" s="3467"/>
      <c r="J27" s="3467"/>
      <c r="N27" s="3474" t="s">
        <v>3160</v>
      </c>
      <c r="O27" s="3475"/>
      <c r="P27" s="3475"/>
      <c r="Q27" s="3475"/>
      <c r="R27" s="3475"/>
      <c r="S27" s="3475"/>
      <c r="T27" s="3475"/>
    </row>
    <row r="28" spans="1:20" s="3182" customFormat="1" ht="34.5" customHeight="1">
      <c r="A28" s="3476" t="s">
        <v>3124</v>
      </c>
      <c r="B28" s="3476" t="s">
        <v>3125</v>
      </c>
      <c r="C28" s="3230" t="s">
        <v>3126</v>
      </c>
      <c r="D28" s="3230" t="s">
        <v>3127</v>
      </c>
      <c r="E28" s="3230" t="s">
        <v>3128</v>
      </c>
      <c r="F28" s="3230" t="s">
        <v>3129</v>
      </c>
      <c r="G28" s="2858"/>
      <c r="H28" s="3476" t="s">
        <v>3124</v>
      </c>
      <c r="I28" s="3476" t="s">
        <v>3125</v>
      </c>
      <c r="J28" s="3230" t="s">
        <v>3130</v>
      </c>
      <c r="K28" s="3230" t="s">
        <v>3134</v>
      </c>
      <c r="L28" s="3476" t="s">
        <v>3136</v>
      </c>
      <c r="M28" s="3218"/>
      <c r="N28" s="3496" t="s">
        <v>3124</v>
      </c>
      <c r="O28" s="3499" t="s">
        <v>3125</v>
      </c>
      <c r="P28" s="3500"/>
      <c r="Q28" s="3250" t="s">
        <v>3130</v>
      </c>
      <c r="R28" s="3250" t="s">
        <v>3150</v>
      </c>
      <c r="S28" s="3250" t="s">
        <v>3152</v>
      </c>
      <c r="T28" s="3250" t="s">
        <v>3129</v>
      </c>
    </row>
    <row r="29" spans="1:20" s="3182" customFormat="1" ht="35.25" customHeight="1" thickBot="1">
      <c r="A29" s="3477"/>
      <c r="B29" s="3477"/>
      <c r="C29" s="3231" t="s">
        <v>3131</v>
      </c>
      <c r="D29" s="3231" t="s">
        <v>3132</v>
      </c>
      <c r="E29" s="3231" t="s">
        <v>3133</v>
      </c>
      <c r="F29" s="3231" t="s">
        <v>3144</v>
      </c>
      <c r="G29" s="2858"/>
      <c r="H29" s="3479"/>
      <c r="I29" s="3479"/>
      <c r="J29" s="3232" t="s">
        <v>3145</v>
      </c>
      <c r="K29" s="3232" t="s">
        <v>3147</v>
      </c>
      <c r="L29" s="3479"/>
      <c r="M29" s="3218"/>
      <c r="N29" s="3497"/>
      <c r="O29" s="3501"/>
      <c r="P29" s="3502"/>
      <c r="Q29" s="3251" t="s">
        <v>3149</v>
      </c>
      <c r="R29" s="3251" t="s">
        <v>3151</v>
      </c>
      <c r="S29" s="3251" t="s">
        <v>3128</v>
      </c>
      <c r="T29" s="3251" t="s">
        <v>3153</v>
      </c>
    </row>
    <row r="30" spans="1:20" s="3182" customFormat="1" ht="35.25" customHeight="1" thickBot="1">
      <c r="A30" s="3478"/>
      <c r="B30" s="3478"/>
      <c r="C30" s="3232" t="s">
        <v>3146</v>
      </c>
      <c r="D30" s="3232" t="s">
        <v>3144</v>
      </c>
      <c r="E30" s="3233"/>
      <c r="F30" s="3233"/>
      <c r="G30" s="2858"/>
      <c r="H30" s="3480" t="s">
        <v>3009</v>
      </c>
      <c r="I30" s="3234" t="s">
        <v>3140</v>
      </c>
      <c r="J30" s="3235">
        <f>I2</f>
        <v>-637.13999999999942</v>
      </c>
      <c r="K30" s="3236">
        <f ca="1">ROUND(D31/4,0)</f>
        <v>6309</v>
      </c>
      <c r="L30" s="3237">
        <f ca="1">ROUND(J30*K30/10000,2)</f>
        <v>-401.97</v>
      </c>
      <c r="M30" s="3218"/>
      <c r="N30" s="3498"/>
      <c r="O30" s="3503"/>
      <c r="P30" s="3504"/>
      <c r="Q30" s="3252"/>
      <c r="R30" s="3252"/>
      <c r="S30" s="3253" t="s">
        <v>3133</v>
      </c>
      <c r="T30" s="3252"/>
    </row>
    <row r="31" spans="1:20" s="3182" customFormat="1" ht="41.25" customHeight="1" thickBot="1">
      <c r="A31" s="3482" t="s">
        <v>3009</v>
      </c>
      <c r="B31" s="3234" t="s">
        <v>3000</v>
      </c>
      <c r="C31" s="3235">
        <f>C2</f>
        <v>83247.820000000007</v>
      </c>
      <c r="D31" s="3235">
        <f ca="1">E16</f>
        <v>25237</v>
      </c>
      <c r="E31" s="3235">
        <f ca="1">F16</f>
        <v>210092.5233</v>
      </c>
      <c r="F31" s="3235">
        <f ca="1">ROUND(D31/1.44,0)</f>
        <v>17526</v>
      </c>
      <c r="G31" s="2858"/>
      <c r="H31" s="3481"/>
      <c r="I31" s="3238" t="s">
        <v>3141</v>
      </c>
      <c r="J31" s="3239">
        <f>I3</f>
        <v>-75.299999999999272</v>
      </c>
      <c r="K31" s="3237">
        <f ca="1">ROUND(D32/4,0)</f>
        <v>3755</v>
      </c>
      <c r="L31" s="3237">
        <f t="shared" ref="L31:L32" ca="1" si="7">ROUND(J31*K31/10000,2)</f>
        <v>-28.28</v>
      </c>
      <c r="M31" s="3220"/>
      <c r="N31" s="3491" t="s">
        <v>3009</v>
      </c>
      <c r="O31" s="3491" t="s">
        <v>3154</v>
      </c>
      <c r="P31" s="3254" t="s">
        <v>3155</v>
      </c>
      <c r="Q31" s="3263">
        <f>I2</f>
        <v>-637.13999999999942</v>
      </c>
      <c r="R31" s="3260" t="s">
        <v>3173</v>
      </c>
      <c r="S31" s="3261">
        <f ca="1">新旧规划结果表!A8</f>
        <v>-1092.4151999999999</v>
      </c>
      <c r="T31" s="3261" t="s">
        <v>2817</v>
      </c>
    </row>
    <row r="32" spans="1:20" s="3182" customFormat="1" ht="29.25" thickBot="1">
      <c r="A32" s="3481"/>
      <c r="B32" s="3234" t="s">
        <v>3081</v>
      </c>
      <c r="C32" s="3235">
        <f>C3</f>
        <v>15426.7</v>
      </c>
      <c r="D32" s="3266">
        <f ca="1">E20</f>
        <v>15020</v>
      </c>
      <c r="E32" s="3266">
        <f ca="1">F20</f>
        <v>23170.903399999999</v>
      </c>
      <c r="F32" s="3235">
        <f ca="1">ROUND(D32/1.44,0)</f>
        <v>10431</v>
      </c>
      <c r="G32" s="2858"/>
      <c r="H32" s="3482" t="s">
        <v>3010</v>
      </c>
      <c r="I32" s="3240" t="s">
        <v>2998</v>
      </c>
      <c r="J32" s="3241">
        <f>I5</f>
        <v>2364.58</v>
      </c>
      <c r="K32" s="3242">
        <f ca="1">ROUND(D33/4,0)</f>
        <v>1520</v>
      </c>
      <c r="L32" s="3243">
        <f t="shared" ca="1" si="7"/>
        <v>359.42</v>
      </c>
      <c r="M32" s="3218"/>
      <c r="N32" s="3492"/>
      <c r="O32" s="3492"/>
      <c r="P32" s="3258" t="s">
        <v>3157</v>
      </c>
      <c r="Q32" s="3262">
        <f>I3</f>
        <v>-75.299999999999272</v>
      </c>
      <c r="R32" s="3260" t="s">
        <v>3174</v>
      </c>
      <c r="S32" s="3267">
        <f ca="1">新旧规划结果表!A9</f>
        <v>-52.302999999999997</v>
      </c>
      <c r="T32" s="3261"/>
    </row>
    <row r="33" spans="1:20" s="3182" customFormat="1" ht="29.25" customHeight="1" thickBot="1">
      <c r="A33" s="3482" t="s">
        <v>3010</v>
      </c>
      <c r="B33" s="3482" t="s">
        <v>2998</v>
      </c>
      <c r="C33" s="3486">
        <f>C5</f>
        <v>2364.58</v>
      </c>
      <c r="D33" s="3486">
        <f ca="1">E14</f>
        <v>6080</v>
      </c>
      <c r="E33" s="3486">
        <f ca="1">F14</f>
        <v>1437.6646000000001</v>
      </c>
      <c r="F33" s="3486">
        <f ca="1">ROUND(D33/1.44,0)</f>
        <v>4222</v>
      </c>
      <c r="G33" s="2858"/>
      <c r="H33" s="3481"/>
      <c r="I33" s="3244" t="s">
        <v>2997</v>
      </c>
      <c r="J33" s="3245" t="s">
        <v>3142</v>
      </c>
      <c r="K33" s="3245" t="s">
        <v>3142</v>
      </c>
      <c r="L33" s="3246" t="s">
        <v>3142</v>
      </c>
      <c r="M33" s="3218"/>
      <c r="N33" s="3254" t="s">
        <v>3010</v>
      </c>
      <c r="O33" s="3254" t="s">
        <v>3158</v>
      </c>
      <c r="P33" s="3254" t="s">
        <v>3156</v>
      </c>
      <c r="Q33" s="3256">
        <f>I5</f>
        <v>2364.58</v>
      </c>
      <c r="R33" s="3257" t="s">
        <v>3173</v>
      </c>
      <c r="S33" s="3255">
        <f ca="1">ROUND(I5*D33/10000,4)</f>
        <v>1437.6646000000001</v>
      </c>
      <c r="T33" s="3255" t="s">
        <v>2817</v>
      </c>
    </row>
    <row r="34" spans="1:20" s="3182" customFormat="1" ht="25.5" customHeight="1" thickBot="1">
      <c r="A34" s="3483"/>
      <c r="B34" s="3481"/>
      <c r="C34" s="3487"/>
      <c r="D34" s="3487"/>
      <c r="E34" s="3487"/>
      <c r="F34" s="3487">
        <f t="shared" ref="F34" si="8">ROUND(D34/1.33,0)</f>
        <v>0</v>
      </c>
      <c r="G34" s="2858"/>
      <c r="H34" s="3488" t="s">
        <v>24</v>
      </c>
      <c r="I34" s="3489"/>
      <c r="J34" s="3489"/>
      <c r="K34" s="3490"/>
      <c r="L34" s="3247">
        <f ca="1">L30+L31+L32</f>
        <v>-70.829999999999984</v>
      </c>
      <c r="M34" s="3220"/>
      <c r="N34" s="3493" t="s">
        <v>3159</v>
      </c>
      <c r="O34" s="3494"/>
      <c r="P34" s="3495"/>
      <c r="Q34" s="3259"/>
      <c r="R34" s="3260"/>
      <c r="S34" s="3267">
        <f ca="1">SUM(S31:S33)</f>
        <v>292.94640000000027</v>
      </c>
      <c r="T34" s="3261"/>
    </row>
    <row r="35" spans="1:20" s="3182" customFormat="1" ht="15.75" thickBot="1">
      <c r="A35" s="3481"/>
      <c r="B35" s="3234" t="s">
        <v>2997</v>
      </c>
      <c r="C35" s="3235">
        <f>C6</f>
        <v>8880.9</v>
      </c>
      <c r="D35" s="3235">
        <f ca="1">E18</f>
        <v>4592</v>
      </c>
      <c r="E35" s="3235">
        <f ca="1">F18</f>
        <v>4078.1093000000001</v>
      </c>
      <c r="F35" s="3235">
        <f ca="1">ROUND(D35/1.44,0)</f>
        <v>3189</v>
      </c>
      <c r="G35" s="2858"/>
      <c r="H35" s="2858"/>
      <c r="I35" s="2858"/>
      <c r="J35" s="2858"/>
      <c r="K35" s="2858"/>
      <c r="L35" s="2858"/>
      <c r="M35" s="3218"/>
      <c r="N35"/>
      <c r="O35"/>
      <c r="P35"/>
      <c r="Q35"/>
      <c r="R35"/>
      <c r="S35"/>
      <c r="T35"/>
    </row>
    <row r="36" spans="1:20" s="3182" customFormat="1" ht="24.75" customHeight="1" thickBot="1">
      <c r="A36" s="3484" t="s">
        <v>24</v>
      </c>
      <c r="B36" s="3485"/>
      <c r="C36" s="3219">
        <f>SUM(C31:C35)</f>
        <v>109920</v>
      </c>
      <c r="D36" s="3219" t="s">
        <v>2817</v>
      </c>
      <c r="E36" s="3219">
        <f ca="1">SUM(E31:E35)</f>
        <v>238779.20060000001</v>
      </c>
      <c r="F36" s="3219" t="s">
        <v>2817</v>
      </c>
      <c r="M36" s="3218"/>
      <c r="P36"/>
      <c r="Q36"/>
      <c r="R36"/>
    </row>
    <row r="37" spans="1:20" ht="15" customHeight="1">
      <c r="D37"/>
      <c r="I37" s="3190"/>
      <c r="J37" s="3190"/>
      <c r="K37" s="3190"/>
      <c r="L37" s="3190"/>
    </row>
  </sheetData>
  <mergeCells count="63">
    <mergeCell ref="O31:O32"/>
    <mergeCell ref="N34:P34"/>
    <mergeCell ref="N28:N30"/>
    <mergeCell ref="O28:P30"/>
    <mergeCell ref="N31:N32"/>
    <mergeCell ref="H32:H33"/>
    <mergeCell ref="A33:A35"/>
    <mergeCell ref="A36:B36"/>
    <mergeCell ref="C33:C34"/>
    <mergeCell ref="D33:D34"/>
    <mergeCell ref="E33:E34"/>
    <mergeCell ref="F33:F34"/>
    <mergeCell ref="B33:B34"/>
    <mergeCell ref="H34:K34"/>
    <mergeCell ref="A31:A32"/>
    <mergeCell ref="A28:A30"/>
    <mergeCell ref="B28:B30"/>
    <mergeCell ref="H28:H29"/>
    <mergeCell ref="I28:I29"/>
    <mergeCell ref="L28:L29"/>
    <mergeCell ref="H30:H31"/>
    <mergeCell ref="G18:G19"/>
    <mergeCell ref="H18:H19"/>
    <mergeCell ref="G20:G21"/>
    <mergeCell ref="H20:H21"/>
    <mergeCell ref="N27:T27"/>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E1:G1"/>
    <mergeCell ref="A1:C1"/>
    <mergeCell ref="A2:A3"/>
    <mergeCell ref="A4:B4"/>
    <mergeCell ref="E4:F4"/>
    <mergeCell ref="A14:A15"/>
    <mergeCell ref="E14:E15"/>
    <mergeCell ref="A12:A13"/>
    <mergeCell ref="E12:E13"/>
    <mergeCell ref="A16:A17"/>
    <mergeCell ref="G12:G13"/>
    <mergeCell ref="H12:H13"/>
    <mergeCell ref="G16:G17"/>
    <mergeCell ref="H16:H17"/>
    <mergeCell ref="G14:G15"/>
    <mergeCell ref="H14:H15"/>
    <mergeCell ref="I12:I13"/>
    <mergeCell ref="I14:I15"/>
    <mergeCell ref="I16:I17"/>
    <mergeCell ref="I18:I19"/>
    <mergeCell ref="I20:I21"/>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238873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45882</v>
      </c>
      <c r="C4" s="428"/>
      <c r="D4" s="422"/>
      <c r="E4" s="422"/>
      <c r="F4" s="422"/>
      <c r="G4" s="422"/>
      <c r="H4" s="422"/>
      <c r="I4" s="422"/>
      <c r="J4" s="422"/>
      <c r="K4" s="422"/>
    </row>
    <row r="5" spans="1:31" s="2040" customFormat="1" ht="18" customHeight="1" thickBot="1">
      <c r="A5" s="429"/>
      <c r="B5" s="430">
        <f ca="1">ROUND(B2/(IF(B1="",'数据-汇总表'!D3,INDIRECT("'数据-取费表'!R"&amp;$K$1))/666.67),0)</f>
        <v>3059</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556</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7742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56722</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56722</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10823</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10823</v>
      </c>
      <c r="D35" s="1628"/>
      <c r="E35" s="2841"/>
      <c r="F35" s="1629"/>
      <c r="G35" s="2799"/>
      <c r="H35" s="2800"/>
      <c r="I35" s="2800"/>
      <c r="J35" s="2800"/>
      <c r="K35" s="2801"/>
    </row>
    <row r="36" spans="1:11" s="2084" customFormat="1" ht="13.5" customHeight="1" thickBot="1">
      <c r="A36" s="284" t="s">
        <v>1844</v>
      </c>
      <c r="B36" s="2803"/>
      <c r="C36" s="2842">
        <f ca="1">ROUND((C6-C30-C33)/(1+D30+D33),0)</f>
        <v>238873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529</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955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8093</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8093</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39157</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72" t="str">
        <f>项目基本情况!B1</f>
        <v>北京市出让国有建设用地使用权预评估</v>
      </c>
      <c r="C37" s="3272"/>
      <c r="D37" s="3272"/>
      <c r="E37" s="3272"/>
      <c r="F37" s="3272"/>
      <c r="G37" s="3272"/>
      <c r="H37" s="3272"/>
      <c r="I37" s="3272"/>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27" t="s">
        <v>521</v>
      </c>
      <c r="D6" s="3528"/>
      <c r="E6" s="3527" t="s">
        <v>522</v>
      </c>
      <c r="F6" s="3528"/>
      <c r="G6" s="3527" t="s">
        <v>523</v>
      </c>
      <c r="H6" s="3528"/>
      <c r="I6" s="3527" t="s">
        <v>524</v>
      </c>
      <c r="J6" s="3528"/>
      <c r="K6" s="514" t="s">
        <v>525</v>
      </c>
      <c r="L6" s="2132"/>
      <c r="M6" s="2131"/>
      <c r="N6" s="2131"/>
      <c r="O6" s="2133"/>
      <c r="P6" s="3529" t="s">
        <v>526</v>
      </c>
      <c r="Q6" s="3530"/>
      <c r="R6" s="3515" t="s">
        <v>522</v>
      </c>
      <c r="S6" s="3516"/>
      <c r="T6" s="3515" t="s">
        <v>523</v>
      </c>
      <c r="U6" s="3516"/>
      <c r="V6" s="3535" t="s">
        <v>524</v>
      </c>
      <c r="W6" s="3535"/>
      <c r="X6" s="1566"/>
      <c r="Y6" s="3515" t="s">
        <v>526</v>
      </c>
      <c r="Z6" s="3516"/>
      <c r="AA6" s="3510" t="s">
        <v>522</v>
      </c>
      <c r="AB6" s="3511" t="s">
        <v>523</v>
      </c>
      <c r="AC6" s="3510" t="s">
        <v>524</v>
      </c>
    </row>
    <row r="7" spans="1:30" ht="20.25">
      <c r="A7" s="515"/>
      <c r="B7" s="516"/>
      <c r="C7" s="3538" t="s">
        <v>2925</v>
      </c>
      <c r="D7" s="3539"/>
      <c r="E7" s="3538" t="s">
        <v>2926</v>
      </c>
      <c r="F7" s="3539"/>
      <c r="G7" s="3538" t="s">
        <v>2927</v>
      </c>
      <c r="H7" s="3539"/>
      <c r="I7" s="3538" t="s">
        <v>2928</v>
      </c>
      <c r="J7" s="3539"/>
      <c r="K7" s="514"/>
      <c r="L7" s="2132"/>
      <c r="M7" s="2131"/>
      <c r="N7" s="2131"/>
      <c r="O7" s="2133"/>
      <c r="P7" s="3531"/>
      <c r="Q7" s="3532"/>
      <c r="R7" s="3517"/>
      <c r="S7" s="3518"/>
      <c r="T7" s="3517"/>
      <c r="U7" s="3518"/>
      <c r="V7" s="3535"/>
      <c r="W7" s="3535"/>
      <c r="X7" s="1566"/>
      <c r="Y7" s="3517"/>
      <c r="Z7" s="3518"/>
      <c r="AA7" s="3511"/>
      <c r="AB7" s="3511"/>
      <c r="AC7" s="3511"/>
    </row>
    <row r="8" spans="1:30" ht="21" thickBot="1">
      <c r="A8" s="515"/>
      <c r="B8" s="516"/>
      <c r="C8" s="3540" t="s">
        <v>2929</v>
      </c>
      <c r="D8" s="3541"/>
      <c r="E8" s="3540" t="s">
        <v>2929</v>
      </c>
      <c r="F8" s="3541"/>
      <c r="G8" s="3536" t="s">
        <v>2929</v>
      </c>
      <c r="H8" s="3537"/>
      <c r="I8" s="3536" t="s">
        <v>2929</v>
      </c>
      <c r="J8" s="3537"/>
      <c r="K8" s="514" t="s">
        <v>527</v>
      </c>
      <c r="L8" s="2132"/>
      <c r="M8" s="2131"/>
      <c r="N8" s="2131"/>
      <c r="O8" s="2133"/>
      <c r="P8" s="3533"/>
      <c r="Q8" s="3534"/>
      <c r="R8" s="3517"/>
      <c r="S8" s="3518"/>
      <c r="T8" s="3519"/>
      <c r="U8" s="3520"/>
      <c r="V8" s="3535"/>
      <c r="W8" s="3535"/>
      <c r="X8" s="1566"/>
      <c r="Y8" s="3519"/>
      <c r="Z8" s="3520"/>
      <c r="AA8" s="3512"/>
      <c r="AB8" s="3512"/>
      <c r="AC8" s="3512"/>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513" t="s">
        <v>529</v>
      </c>
      <c r="Q9" s="3522"/>
      <c r="R9" s="1567" t="s">
        <v>8</v>
      </c>
      <c r="S9" s="1568">
        <f t="shared" ref="S9:S17" si="0">F9</f>
        <v>0</v>
      </c>
      <c r="T9" s="1567" t="s">
        <v>8</v>
      </c>
      <c r="U9" s="1568">
        <f t="shared" ref="U9:U17" si="1">H9</f>
        <v>0</v>
      </c>
      <c r="V9" s="1567" t="s">
        <v>8</v>
      </c>
      <c r="W9" s="1568">
        <f t="shared" ref="W9:W17" si="2">J9</f>
        <v>0</v>
      </c>
      <c r="X9" s="1569"/>
      <c r="Y9" s="3513" t="s">
        <v>529</v>
      </c>
      <c r="Z9" s="3514"/>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513" t="s">
        <v>532</v>
      </c>
      <c r="Q10" s="3514"/>
      <c r="R10" s="1567" t="s">
        <v>8</v>
      </c>
      <c r="S10" s="1568">
        <f t="shared" si="0"/>
        <v>0</v>
      </c>
      <c r="T10" s="1567" t="s">
        <v>8</v>
      </c>
      <c r="U10" s="1568">
        <f t="shared" si="1"/>
        <v>0</v>
      </c>
      <c r="V10" s="1567" t="s">
        <v>8</v>
      </c>
      <c r="W10" s="1568">
        <f t="shared" si="2"/>
        <v>0</v>
      </c>
      <c r="X10" s="1569"/>
      <c r="Y10" s="3513" t="s">
        <v>532</v>
      </c>
      <c r="Z10" s="3514"/>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21" t="s">
        <v>534</v>
      </c>
      <c r="Q11" s="1150" t="str">
        <f t="shared" ref="Q11:Q17" si="6">B11</f>
        <v>用途</v>
      </c>
      <c r="R11" s="1567" t="s">
        <v>8</v>
      </c>
      <c r="S11" s="1568">
        <f t="shared" si="0"/>
        <v>100</v>
      </c>
      <c r="T11" s="1567" t="s">
        <v>8</v>
      </c>
      <c r="U11" s="1568">
        <f t="shared" si="1"/>
        <v>100</v>
      </c>
      <c r="V11" s="1567" t="s">
        <v>8</v>
      </c>
      <c r="W11" s="1568">
        <f t="shared" si="2"/>
        <v>100</v>
      </c>
      <c r="X11" s="1569"/>
      <c r="Y11" s="3408"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521"/>
      <c r="Q12" s="1150" t="str">
        <f t="shared" si="6"/>
        <v>土地使用年限（年）</v>
      </c>
      <c r="R12" s="1567" t="s">
        <v>8</v>
      </c>
      <c r="S12" s="1568">
        <f t="shared" si="0"/>
        <v>104</v>
      </c>
      <c r="T12" s="1567" t="s">
        <v>8</v>
      </c>
      <c r="U12" s="1568">
        <f t="shared" si="1"/>
        <v>104</v>
      </c>
      <c r="V12" s="1567" t="s">
        <v>8</v>
      </c>
      <c r="W12" s="1568">
        <f t="shared" si="2"/>
        <v>104</v>
      </c>
      <c r="X12" s="1569"/>
      <c r="Y12" s="3408"/>
      <c r="Z12" s="1149" t="str">
        <f t="shared" si="7"/>
        <v>土地使用年限（年）</v>
      </c>
      <c r="AA12" s="1570">
        <f t="shared" si="3"/>
        <v>0.96153846153846156</v>
      </c>
      <c r="AB12" s="1570">
        <f t="shared" si="4"/>
        <v>0.96153846153846156</v>
      </c>
      <c r="AC12" s="1570">
        <f t="shared" si="5"/>
        <v>0.96153846153846156</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21"/>
      <c r="Q13" s="1150" t="str">
        <f t="shared" si="6"/>
        <v>容积率</v>
      </c>
      <c r="R13" s="1567" t="s">
        <v>8</v>
      </c>
      <c r="S13" s="1568" t="e">
        <f t="shared" si="0"/>
        <v>#N/A</v>
      </c>
      <c r="T13" s="1567" t="s">
        <v>8</v>
      </c>
      <c r="U13" s="1568" t="e">
        <f t="shared" si="1"/>
        <v>#N/A</v>
      </c>
      <c r="V13" s="1567" t="s">
        <v>8</v>
      </c>
      <c r="W13" s="1568" t="e">
        <f t="shared" si="2"/>
        <v>#N/A</v>
      </c>
      <c r="X13" s="1569"/>
      <c r="Y13" s="3408"/>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21"/>
      <c r="Q14" s="1150" t="str">
        <f t="shared" si="6"/>
        <v>配建</v>
      </c>
      <c r="R14" s="1567" t="s">
        <v>8</v>
      </c>
      <c r="S14" s="1568">
        <f t="shared" si="0"/>
        <v>100</v>
      </c>
      <c r="T14" s="1567" t="s">
        <v>8</v>
      </c>
      <c r="U14" s="1568">
        <f t="shared" si="1"/>
        <v>100</v>
      </c>
      <c r="V14" s="1567" t="s">
        <v>8</v>
      </c>
      <c r="W14" s="1568">
        <f t="shared" si="2"/>
        <v>100</v>
      </c>
      <c r="X14" s="1569"/>
      <c r="Y14" s="3408"/>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21"/>
      <c r="Q15" s="1150">
        <f t="shared" si="6"/>
        <v>111</v>
      </c>
      <c r="R15" s="1567" t="s">
        <v>8</v>
      </c>
      <c r="S15" s="1568">
        <f t="shared" si="0"/>
        <v>100</v>
      </c>
      <c r="T15" s="1567" t="s">
        <v>8</v>
      </c>
      <c r="U15" s="1568">
        <f t="shared" si="1"/>
        <v>100</v>
      </c>
      <c r="V15" s="1567" t="s">
        <v>8</v>
      </c>
      <c r="W15" s="1568">
        <f t="shared" si="2"/>
        <v>100</v>
      </c>
      <c r="X15" s="1569"/>
      <c r="Y15" s="3408"/>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21"/>
      <c r="Q16" s="1150">
        <f t="shared" si="6"/>
        <v>111</v>
      </c>
      <c r="R16" s="1567" t="s">
        <v>8</v>
      </c>
      <c r="S16" s="1568">
        <f t="shared" si="0"/>
        <v>100</v>
      </c>
      <c r="T16" s="1567" t="s">
        <v>8</v>
      </c>
      <c r="U16" s="1568">
        <f t="shared" si="1"/>
        <v>100</v>
      </c>
      <c r="V16" s="1567" t="s">
        <v>8</v>
      </c>
      <c r="W16" s="1568">
        <f t="shared" si="2"/>
        <v>100</v>
      </c>
      <c r="X16" s="1569"/>
      <c r="Y16" s="3408"/>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523" t="s">
        <v>539</v>
      </c>
      <c r="Q17" s="1571" t="str">
        <f t="shared" si="6"/>
        <v>居住社区成熟度</v>
      </c>
      <c r="R17" s="1572" t="s">
        <v>8</v>
      </c>
      <c r="S17" s="1573">
        <f t="shared" si="0"/>
        <v>100</v>
      </c>
      <c r="T17" s="1572" t="s">
        <v>8</v>
      </c>
      <c r="U17" s="1573">
        <f t="shared" si="1"/>
        <v>100</v>
      </c>
      <c r="V17" s="1572" t="s">
        <v>8</v>
      </c>
      <c r="W17" s="1573">
        <f t="shared" si="2"/>
        <v>100</v>
      </c>
      <c r="X17" s="1566"/>
      <c r="Y17" s="3523"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524"/>
      <c r="Q18" s="1571"/>
      <c r="R18" s="1572"/>
      <c r="S18" s="1573"/>
      <c r="T18" s="1572"/>
      <c r="U18" s="1573"/>
      <c r="V18" s="1572"/>
      <c r="W18" s="1573"/>
      <c r="X18" s="1566"/>
      <c r="Y18" s="3524"/>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524"/>
      <c r="Q19" s="1571" t="str">
        <f>B19</f>
        <v>商业繁华度</v>
      </c>
      <c r="R19" s="1572" t="s">
        <v>8</v>
      </c>
      <c r="S19" s="1573">
        <f>F19</f>
        <v>100</v>
      </c>
      <c r="T19" s="1572" t="s">
        <v>8</v>
      </c>
      <c r="U19" s="1573">
        <f>H19</f>
        <v>100</v>
      </c>
      <c r="V19" s="1572" t="s">
        <v>8</v>
      </c>
      <c r="W19" s="1573">
        <f>J19</f>
        <v>100</v>
      </c>
      <c r="X19" s="1566"/>
      <c r="Y19" s="3524"/>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524"/>
      <c r="Q20" s="1571"/>
      <c r="R20" s="1572"/>
      <c r="S20" s="1573"/>
      <c r="T20" s="1572"/>
      <c r="U20" s="1573"/>
      <c r="V20" s="1572"/>
      <c r="W20" s="1573"/>
      <c r="X20" s="1566"/>
      <c r="Y20" s="3524"/>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524"/>
      <c r="Q21" s="1571" t="str">
        <f>B21</f>
        <v>办公集聚程度</v>
      </c>
      <c r="R21" s="1572" t="s">
        <v>8</v>
      </c>
      <c r="S21" s="1573">
        <f>F21</f>
        <v>100</v>
      </c>
      <c r="T21" s="1572" t="s">
        <v>8</v>
      </c>
      <c r="U21" s="1573">
        <f>H21</f>
        <v>100</v>
      </c>
      <c r="V21" s="1572" t="s">
        <v>8</v>
      </c>
      <c r="W21" s="1573">
        <f>J21</f>
        <v>100</v>
      </c>
      <c r="X21" s="1566"/>
      <c r="Y21" s="3524"/>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524"/>
      <c r="Q22" s="1571"/>
      <c r="R22" s="1572"/>
      <c r="S22" s="1573"/>
      <c r="T22" s="1572"/>
      <c r="U22" s="1573"/>
      <c r="V22" s="1572"/>
      <c r="W22" s="1573"/>
      <c r="X22" s="1566"/>
      <c r="Y22" s="3524"/>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524"/>
      <c r="Q23" s="1571" t="str">
        <f>B23</f>
        <v>交通便捷度</v>
      </c>
      <c r="R23" s="1572" t="s">
        <v>8</v>
      </c>
      <c r="S23" s="1573">
        <f>F23</f>
        <v>100</v>
      </c>
      <c r="T23" s="1572" t="s">
        <v>8</v>
      </c>
      <c r="U23" s="1573">
        <f>H23</f>
        <v>100</v>
      </c>
      <c r="V23" s="1572" t="s">
        <v>8</v>
      </c>
      <c r="W23" s="1573">
        <f>J23</f>
        <v>100</v>
      </c>
      <c r="X23" s="1566"/>
      <c r="Y23" s="3524"/>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524"/>
      <c r="Q24" s="1571"/>
      <c r="R24" s="1572"/>
      <c r="S24" s="1573"/>
      <c r="T24" s="1572"/>
      <c r="U24" s="1573"/>
      <c r="V24" s="1572"/>
      <c r="W24" s="1573"/>
      <c r="X24" s="1566"/>
      <c r="Y24" s="3524"/>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524"/>
      <c r="Q25" s="1571" t="str">
        <f t="shared" ref="Q25:Q39" si="8">B25</f>
        <v>区域土地利用方向</v>
      </c>
      <c r="R25" s="1572" t="s">
        <v>8</v>
      </c>
      <c r="S25" s="1573">
        <f>F25</f>
        <v>100</v>
      </c>
      <c r="T25" s="1572" t="s">
        <v>8</v>
      </c>
      <c r="U25" s="1573">
        <f>H25</f>
        <v>100</v>
      </c>
      <c r="V25" s="1572" t="s">
        <v>8</v>
      </c>
      <c r="W25" s="1573">
        <f>J25</f>
        <v>100</v>
      </c>
      <c r="X25" s="1566"/>
      <c r="Y25" s="3524"/>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524"/>
      <c r="Q26" s="1571"/>
      <c r="R26" s="1572"/>
      <c r="S26" s="1573"/>
      <c r="T26" s="1572"/>
      <c r="U26" s="1573"/>
      <c r="V26" s="1572"/>
      <c r="W26" s="1573"/>
      <c r="X26" s="1566"/>
      <c r="Y26" s="3524"/>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524"/>
      <c r="Q27" s="1571" t="str">
        <f t="shared" si="8"/>
        <v>自然及人文环境状况</v>
      </c>
      <c r="R27" s="1572" t="s">
        <v>8</v>
      </c>
      <c r="S27" s="1573">
        <f>F27</f>
        <v>100</v>
      </c>
      <c r="T27" s="1572" t="s">
        <v>8</v>
      </c>
      <c r="U27" s="1573">
        <f>H27</f>
        <v>100</v>
      </c>
      <c r="V27" s="1572" t="s">
        <v>8</v>
      </c>
      <c r="W27" s="1573">
        <f>J27</f>
        <v>100</v>
      </c>
      <c r="X27" s="1566"/>
      <c r="Y27" s="3524"/>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524"/>
      <c r="Q28" s="1571"/>
      <c r="R28" s="1572"/>
      <c r="S28" s="1573"/>
      <c r="T28" s="1572"/>
      <c r="U28" s="1573"/>
      <c r="V28" s="1572"/>
      <c r="W28" s="1573"/>
      <c r="X28" s="1566"/>
      <c r="Y28" s="3524"/>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524"/>
      <c r="Q29" s="1150" t="str">
        <f t="shared" si="8"/>
        <v>公共配套设施</v>
      </c>
      <c r="R29" s="1567" t="s">
        <v>8</v>
      </c>
      <c r="S29" s="1568">
        <f>F29</f>
        <v>100</v>
      </c>
      <c r="T29" s="1567" t="s">
        <v>8</v>
      </c>
      <c r="U29" s="1568">
        <f>H29</f>
        <v>100</v>
      </c>
      <c r="V29" s="1567" t="s">
        <v>8</v>
      </c>
      <c r="W29" s="1568">
        <f>J29</f>
        <v>100</v>
      </c>
      <c r="X29" s="1569"/>
      <c r="Y29" s="3524"/>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524"/>
      <c r="Q30" s="1150"/>
      <c r="R30" s="1567"/>
      <c r="S30" s="1568"/>
      <c r="T30" s="1567"/>
      <c r="U30" s="1568"/>
      <c r="V30" s="1567"/>
      <c r="W30" s="1568"/>
      <c r="X30" s="1569"/>
      <c r="Y30" s="3524"/>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524"/>
      <c r="Q31" s="2556" t="str">
        <f t="shared" ref="Q31" si="9">B31</f>
        <v>基础设施水平</v>
      </c>
      <c r="R31" s="1567" t="s">
        <v>8</v>
      </c>
      <c r="S31" s="1568">
        <f>F31</f>
        <v>100</v>
      </c>
      <c r="T31" s="1567" t="s">
        <v>8</v>
      </c>
      <c r="U31" s="1568">
        <f>H31</f>
        <v>100</v>
      </c>
      <c r="V31" s="1567" t="s">
        <v>8</v>
      </c>
      <c r="W31" s="1568">
        <f>J31</f>
        <v>100</v>
      </c>
      <c r="X31" s="1569"/>
      <c r="Y31" s="3524"/>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524"/>
      <c r="Q32" s="2556"/>
      <c r="R32" s="1567"/>
      <c r="S32" s="1568"/>
      <c r="T32" s="1567"/>
      <c r="U32" s="1568"/>
      <c r="V32" s="1567"/>
      <c r="W32" s="1568"/>
      <c r="X32" s="1569"/>
      <c r="Y32" s="3524"/>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52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24"/>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524"/>
      <c r="Q34" s="1571" t="str">
        <f t="shared" si="8"/>
        <v>毗邻道路的类型与等级</v>
      </c>
      <c r="R34" s="1572" t="s">
        <v>8</v>
      </c>
      <c r="S34" s="1573">
        <f t="shared" si="10"/>
        <v>100</v>
      </c>
      <c r="T34" s="1572" t="s">
        <v>8</v>
      </c>
      <c r="U34" s="1573">
        <f t="shared" si="11"/>
        <v>100</v>
      </c>
      <c r="V34" s="1572" t="s">
        <v>8</v>
      </c>
      <c r="W34" s="1573">
        <f t="shared" si="12"/>
        <v>100</v>
      </c>
      <c r="X34" s="1566"/>
      <c r="Y34" s="3524"/>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524"/>
      <c r="Q35" s="1571"/>
      <c r="R35" s="1572"/>
      <c r="S35" s="1573"/>
      <c r="T35" s="1572"/>
      <c r="U35" s="1573"/>
      <c r="V35" s="1572"/>
      <c r="W35" s="1573"/>
      <c r="X35" s="1566"/>
      <c r="Y35" s="3524"/>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524"/>
      <c r="Q36" s="1571" t="str">
        <f t="shared" si="8"/>
        <v>土地级别</v>
      </c>
      <c r="R36" s="1572" t="s">
        <v>8</v>
      </c>
      <c r="S36" s="1573">
        <f t="shared" si="10"/>
        <v>100</v>
      </c>
      <c r="T36" s="1572" t="s">
        <v>8</v>
      </c>
      <c r="U36" s="1573">
        <f t="shared" si="11"/>
        <v>100</v>
      </c>
      <c r="V36" s="1572" t="s">
        <v>8</v>
      </c>
      <c r="W36" s="1573">
        <f t="shared" si="12"/>
        <v>100</v>
      </c>
      <c r="X36" s="1566"/>
      <c r="Y36" s="3524"/>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524"/>
      <c r="Q37" s="1571">
        <f t="shared" si="8"/>
        <v>111</v>
      </c>
      <c r="R37" s="1572" t="s">
        <v>8</v>
      </c>
      <c r="S37" s="1573">
        <f t="shared" si="10"/>
        <v>100</v>
      </c>
      <c r="T37" s="1572" t="s">
        <v>8</v>
      </c>
      <c r="U37" s="1573">
        <f t="shared" si="11"/>
        <v>100</v>
      </c>
      <c r="V37" s="1572" t="s">
        <v>8</v>
      </c>
      <c r="W37" s="1573">
        <f t="shared" si="12"/>
        <v>100</v>
      </c>
      <c r="X37" s="1566"/>
      <c r="Y37" s="3524"/>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525" t="s">
        <v>549</v>
      </c>
      <c r="Q38" s="1571">
        <f t="shared" si="8"/>
        <v>111</v>
      </c>
      <c r="R38" s="1572" t="s">
        <v>8</v>
      </c>
      <c r="S38" s="1573">
        <f t="shared" si="10"/>
        <v>100</v>
      </c>
      <c r="T38" s="1572" t="s">
        <v>8</v>
      </c>
      <c r="U38" s="1573">
        <f t="shared" si="11"/>
        <v>100</v>
      </c>
      <c r="V38" s="1572" t="s">
        <v>8</v>
      </c>
      <c r="W38" s="1573">
        <f t="shared" si="12"/>
        <v>100</v>
      </c>
      <c r="X38" s="1566"/>
      <c r="Y38" s="3526"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526"/>
      <c r="Q39" s="1571">
        <f t="shared" si="8"/>
        <v>111</v>
      </c>
      <c r="R39" s="1576" t="s">
        <v>8</v>
      </c>
      <c r="S39" s="1577">
        <f t="shared" si="10"/>
        <v>100</v>
      </c>
      <c r="T39" s="1576" t="s">
        <v>8</v>
      </c>
      <c r="U39" s="1577">
        <f t="shared" si="11"/>
        <v>100</v>
      </c>
      <c r="V39" s="1576" t="s">
        <v>8</v>
      </c>
      <c r="W39" s="1577">
        <f t="shared" si="12"/>
        <v>100</v>
      </c>
      <c r="X39" s="1578"/>
      <c r="Y39" s="3526"/>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526"/>
      <c r="Q40" s="1571" t="str">
        <f>B40</f>
        <v>宗地面积</v>
      </c>
      <c r="R40" s="1572" t="s">
        <v>8</v>
      </c>
      <c r="S40" s="1573" t="e">
        <f t="shared" si="10"/>
        <v>#N/A</v>
      </c>
      <c r="T40" s="1572" t="s">
        <v>8</v>
      </c>
      <c r="U40" s="1573" t="e">
        <f t="shared" si="11"/>
        <v>#N/A</v>
      </c>
      <c r="V40" s="1572" t="s">
        <v>8</v>
      </c>
      <c r="W40" s="1573" t="e">
        <f t="shared" si="12"/>
        <v>#N/A</v>
      </c>
      <c r="X40" s="1566"/>
      <c r="Y40" s="3526"/>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526"/>
      <c r="Q41" s="1571" t="str">
        <f t="shared" ref="Q41:Q47" si="14">B41</f>
        <v>宗地形状</v>
      </c>
      <c r="R41" s="1572" t="s">
        <v>8</v>
      </c>
      <c r="S41" s="1573">
        <f t="shared" si="10"/>
        <v>100</v>
      </c>
      <c r="T41" s="1572" t="s">
        <v>8</v>
      </c>
      <c r="U41" s="1573">
        <f t="shared" si="11"/>
        <v>100</v>
      </c>
      <c r="V41" s="1572" t="s">
        <v>8</v>
      </c>
      <c r="W41" s="1573">
        <f t="shared" si="12"/>
        <v>100</v>
      </c>
      <c r="X41" s="1566"/>
      <c r="Y41" s="3526"/>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526"/>
      <c r="Q42" s="1571" t="str">
        <f t="shared" si="14"/>
        <v>临街宽度及深度</v>
      </c>
      <c r="R42" s="1572" t="s">
        <v>8</v>
      </c>
      <c r="S42" s="1573">
        <f t="shared" si="10"/>
        <v>100</v>
      </c>
      <c r="T42" s="1572" t="s">
        <v>8</v>
      </c>
      <c r="U42" s="1573">
        <f t="shared" si="11"/>
        <v>100</v>
      </c>
      <c r="V42" s="1572" t="s">
        <v>8</v>
      </c>
      <c r="W42" s="1573">
        <f t="shared" si="12"/>
        <v>100</v>
      </c>
      <c r="X42" s="1566"/>
      <c r="Y42" s="3526"/>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526"/>
      <c r="Q43" s="1571" t="str">
        <f t="shared" si="14"/>
        <v>宗地开发程度</v>
      </c>
      <c r="R43" s="1567" t="s">
        <v>8</v>
      </c>
      <c r="S43" s="1568">
        <f t="shared" si="10"/>
        <v>100</v>
      </c>
      <c r="T43" s="1567" t="s">
        <v>8</v>
      </c>
      <c r="U43" s="1568">
        <f t="shared" si="11"/>
        <v>100</v>
      </c>
      <c r="V43" s="1567" t="s">
        <v>8</v>
      </c>
      <c r="W43" s="1568">
        <f t="shared" si="12"/>
        <v>100</v>
      </c>
      <c r="X43" s="1569"/>
      <c r="Y43" s="3526"/>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526" t="s">
        <v>549</v>
      </c>
      <c r="Q44" s="1571" t="str">
        <f t="shared" si="14"/>
        <v>工程地质条件</v>
      </c>
      <c r="R44" s="1572" t="s">
        <v>8</v>
      </c>
      <c r="S44" s="1573">
        <f t="shared" si="10"/>
        <v>100</v>
      </c>
      <c r="T44" s="1572" t="s">
        <v>8</v>
      </c>
      <c r="U44" s="1573">
        <f t="shared" si="11"/>
        <v>100</v>
      </c>
      <c r="V44" s="1572" t="s">
        <v>8</v>
      </c>
      <c r="W44" s="1573">
        <f t="shared" si="12"/>
        <v>100</v>
      </c>
      <c r="X44" s="1566"/>
      <c r="Y44" s="3526"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526"/>
      <c r="Q45" s="1571">
        <f t="shared" si="14"/>
        <v>111</v>
      </c>
      <c r="R45" s="1572" t="s">
        <v>8</v>
      </c>
      <c r="S45" s="1573">
        <f t="shared" si="10"/>
        <v>100</v>
      </c>
      <c r="T45" s="1572" t="s">
        <v>8</v>
      </c>
      <c r="U45" s="1573">
        <f t="shared" si="11"/>
        <v>100</v>
      </c>
      <c r="V45" s="1572" t="s">
        <v>8</v>
      </c>
      <c r="W45" s="1573">
        <f t="shared" si="12"/>
        <v>100</v>
      </c>
      <c r="X45" s="1566"/>
      <c r="Y45" s="3526"/>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526"/>
      <c r="Q46" s="1571">
        <f t="shared" si="14"/>
        <v>111</v>
      </c>
      <c r="R46" s="1572" t="s">
        <v>8</v>
      </c>
      <c r="S46" s="1573">
        <f t="shared" si="10"/>
        <v>100</v>
      </c>
      <c r="T46" s="1572" t="s">
        <v>8</v>
      </c>
      <c r="U46" s="1573">
        <f t="shared" si="11"/>
        <v>100</v>
      </c>
      <c r="V46" s="1572" t="s">
        <v>8</v>
      </c>
      <c r="W46" s="1573">
        <f t="shared" si="12"/>
        <v>100</v>
      </c>
      <c r="X46" s="1566"/>
      <c r="Y46" s="3526"/>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526"/>
      <c r="Q47" s="1571">
        <f t="shared" si="14"/>
        <v>111</v>
      </c>
      <c r="R47" s="1576" t="s">
        <v>8</v>
      </c>
      <c r="S47" s="1577">
        <f t="shared" si="10"/>
        <v>100</v>
      </c>
      <c r="T47" s="1576" t="s">
        <v>8</v>
      </c>
      <c r="U47" s="1577">
        <f t="shared" si="11"/>
        <v>100</v>
      </c>
      <c r="V47" s="1576" t="s">
        <v>8</v>
      </c>
      <c r="W47" s="1577">
        <f t="shared" si="12"/>
        <v>100</v>
      </c>
      <c r="X47" s="1578"/>
      <c r="Y47" s="3526"/>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21" t="str">
        <f>A48</f>
        <v>成交单价</v>
      </c>
      <c r="Q48" s="3521"/>
      <c r="R48" s="3535">
        <f>E48</f>
        <v>0</v>
      </c>
      <c r="S48" s="3535"/>
      <c r="T48" s="3535">
        <f>G48</f>
        <v>0</v>
      </c>
      <c r="U48" s="3535"/>
      <c r="V48" s="3535">
        <f>I48</f>
        <v>0</v>
      </c>
      <c r="W48" s="3535"/>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21" t="str">
        <f>A49</f>
        <v>比较价格（元/平方米）</v>
      </c>
      <c r="Q49" s="3521"/>
      <c r="R49" s="3545" t="e">
        <f>ROUND(PRODUCT(R48,AA9:AA47),0)</f>
        <v>#DIV/0!</v>
      </c>
      <c r="S49" s="3545"/>
      <c r="T49" s="3545" t="e">
        <f>ROUND(PRODUCT(T48,AB9:AB47),0)</f>
        <v>#DIV/0!</v>
      </c>
      <c r="U49" s="3545"/>
      <c r="V49" s="3545" t="e">
        <f>ROUND(PRODUCT(V48,AC9:AC47),0)</f>
        <v>#DIV/0!</v>
      </c>
      <c r="W49" s="3545"/>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42" t="str">
        <f>A50</f>
        <v>估价对象XX用房的比较价格（楼面单价，元/平方米）</v>
      </c>
      <c r="Q50" s="3543"/>
      <c r="R50" s="3544" t="e">
        <f>ROUND(AVERAGE(R49:V49),0)</f>
        <v>#DIV/0!</v>
      </c>
      <c r="S50" s="3544"/>
      <c r="T50" s="3544"/>
      <c r="U50" s="3544"/>
      <c r="V50" s="3544"/>
      <c r="W50" s="3544"/>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505" t="s">
        <v>2281</v>
      </c>
      <c r="H57" s="3506"/>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507"/>
      <c r="H58" s="350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509"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509"/>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509"/>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509"/>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27" t="s">
        <v>521</v>
      </c>
      <c r="D6" s="3528"/>
      <c r="E6" s="3551" t="s">
        <v>522</v>
      </c>
      <c r="F6" s="3552"/>
      <c r="G6" s="3527" t="s">
        <v>523</v>
      </c>
      <c r="H6" s="3528"/>
      <c r="I6" s="3527" t="s">
        <v>524</v>
      </c>
      <c r="J6" s="3528"/>
      <c r="K6" s="514" t="s">
        <v>525</v>
      </c>
      <c r="L6" s="2132"/>
      <c r="M6" s="2133"/>
      <c r="N6" s="2133"/>
      <c r="O6" s="2133"/>
      <c r="P6" s="3529" t="s">
        <v>526</v>
      </c>
      <c r="Q6" s="3530"/>
      <c r="R6" s="3515" t="s">
        <v>522</v>
      </c>
      <c r="S6" s="3516"/>
      <c r="T6" s="3515" t="s">
        <v>523</v>
      </c>
      <c r="U6" s="3516"/>
      <c r="V6" s="3535" t="s">
        <v>524</v>
      </c>
      <c r="W6" s="3535"/>
      <c r="X6" s="1566"/>
      <c r="Y6" s="3515" t="s">
        <v>526</v>
      </c>
      <c r="Z6" s="3516"/>
      <c r="AA6" s="3510" t="s">
        <v>522</v>
      </c>
      <c r="AB6" s="3511" t="s">
        <v>523</v>
      </c>
      <c r="AC6" s="3510" t="s">
        <v>524</v>
      </c>
    </row>
    <row r="7" spans="1:29" ht="15">
      <c r="A7" s="515"/>
      <c r="B7" s="516"/>
      <c r="C7" s="3538" t="s">
        <v>2925</v>
      </c>
      <c r="D7" s="3539"/>
      <c r="E7" s="3553" t="s">
        <v>2926</v>
      </c>
      <c r="F7" s="3554"/>
      <c r="G7" s="3538" t="s">
        <v>2927</v>
      </c>
      <c r="H7" s="3539"/>
      <c r="I7" s="3538" t="s">
        <v>2928</v>
      </c>
      <c r="J7" s="3539"/>
      <c r="K7" s="514"/>
      <c r="L7" s="2132"/>
      <c r="M7" s="2133"/>
      <c r="N7" s="2133"/>
      <c r="O7" s="2133"/>
      <c r="P7" s="3531"/>
      <c r="Q7" s="3532"/>
      <c r="R7" s="3517"/>
      <c r="S7" s="3518"/>
      <c r="T7" s="3517"/>
      <c r="U7" s="3518"/>
      <c r="V7" s="3535"/>
      <c r="W7" s="3535"/>
      <c r="X7" s="1566"/>
      <c r="Y7" s="3517"/>
      <c r="Z7" s="3518"/>
      <c r="AA7" s="3511"/>
      <c r="AB7" s="3511"/>
      <c r="AC7" s="3511"/>
    </row>
    <row r="8" spans="1:29" ht="15.75" thickBot="1">
      <c r="A8" s="517"/>
      <c r="B8" s="518"/>
      <c r="C8" s="3536" t="s">
        <v>2929</v>
      </c>
      <c r="D8" s="3537"/>
      <c r="E8" s="3555" t="s">
        <v>2929</v>
      </c>
      <c r="F8" s="3556"/>
      <c r="G8" s="3536" t="s">
        <v>2929</v>
      </c>
      <c r="H8" s="3537"/>
      <c r="I8" s="3536" t="s">
        <v>2929</v>
      </c>
      <c r="J8" s="3537"/>
      <c r="K8" s="514" t="s">
        <v>527</v>
      </c>
      <c r="L8" s="2132"/>
      <c r="M8" s="2133"/>
      <c r="N8" s="2133"/>
      <c r="O8" s="2133"/>
      <c r="P8" s="3533"/>
      <c r="Q8" s="3534"/>
      <c r="R8" s="3517"/>
      <c r="S8" s="3518"/>
      <c r="T8" s="3519"/>
      <c r="U8" s="3520"/>
      <c r="V8" s="3535"/>
      <c r="W8" s="3535"/>
      <c r="X8" s="1566"/>
      <c r="Y8" s="3519"/>
      <c r="Z8" s="3520"/>
      <c r="AA8" s="3512"/>
      <c r="AB8" s="3512"/>
      <c r="AC8" s="3512"/>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513" t="s">
        <v>529</v>
      </c>
      <c r="Q9" s="3522"/>
      <c r="R9" s="1567" t="s">
        <v>8</v>
      </c>
      <c r="S9" s="1568">
        <f t="shared" ref="S9:S17" si="0">F9</f>
        <v>0</v>
      </c>
      <c r="T9" s="1567" t="s">
        <v>8</v>
      </c>
      <c r="U9" s="1568">
        <f t="shared" ref="U9:U17" si="1">H9</f>
        <v>0</v>
      </c>
      <c r="V9" s="1567" t="s">
        <v>8</v>
      </c>
      <c r="W9" s="1568">
        <f t="shared" ref="W9:W17" si="2">J9</f>
        <v>0</v>
      </c>
      <c r="X9" s="1569"/>
      <c r="Y9" s="3513" t="s">
        <v>529</v>
      </c>
      <c r="Z9" s="3514"/>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513" t="s">
        <v>532</v>
      </c>
      <c r="Q10" s="3514"/>
      <c r="R10" s="1567" t="s">
        <v>8</v>
      </c>
      <c r="S10" s="1568">
        <f t="shared" si="0"/>
        <v>0</v>
      </c>
      <c r="T10" s="1567" t="s">
        <v>8</v>
      </c>
      <c r="U10" s="1568">
        <f t="shared" si="1"/>
        <v>0</v>
      </c>
      <c r="V10" s="1567" t="s">
        <v>8</v>
      </c>
      <c r="W10" s="1568">
        <f t="shared" si="2"/>
        <v>0</v>
      </c>
      <c r="X10" s="1569"/>
      <c r="Y10" s="3513" t="s">
        <v>532</v>
      </c>
      <c r="Z10" s="3514"/>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21" t="s">
        <v>534</v>
      </c>
      <c r="Q11" s="1150" t="str">
        <f t="shared" ref="Q11:Q17" si="6">B11</f>
        <v>用途</v>
      </c>
      <c r="R11" s="1567" t="s">
        <v>8</v>
      </c>
      <c r="S11" s="1568">
        <f t="shared" si="0"/>
        <v>100</v>
      </c>
      <c r="T11" s="1567" t="s">
        <v>8</v>
      </c>
      <c r="U11" s="1568">
        <f t="shared" si="1"/>
        <v>100</v>
      </c>
      <c r="V11" s="1567" t="s">
        <v>8</v>
      </c>
      <c r="W11" s="1568">
        <f t="shared" si="2"/>
        <v>100</v>
      </c>
      <c r="X11" s="1569"/>
      <c r="Y11" s="3408"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521"/>
      <c r="Q12" s="1150" t="str">
        <f t="shared" si="6"/>
        <v>土地使用年限（年）</v>
      </c>
      <c r="R12" s="1567" t="s">
        <v>8</v>
      </c>
      <c r="S12" s="1568">
        <f t="shared" si="0"/>
        <v>104</v>
      </c>
      <c r="T12" s="1567" t="s">
        <v>8</v>
      </c>
      <c r="U12" s="1568">
        <f t="shared" si="1"/>
        <v>104</v>
      </c>
      <c r="V12" s="1567" t="s">
        <v>8</v>
      </c>
      <c r="W12" s="1568">
        <f t="shared" si="2"/>
        <v>104</v>
      </c>
      <c r="X12" s="1569"/>
      <c r="Y12" s="3408"/>
      <c r="Z12" s="1149" t="str">
        <f t="shared" si="7"/>
        <v>土地使用年限（年）</v>
      </c>
      <c r="AA12" s="1570">
        <f t="shared" si="3"/>
        <v>0.96153846153846156</v>
      </c>
      <c r="AB12" s="1570">
        <f t="shared" si="4"/>
        <v>0.96153846153846156</v>
      </c>
      <c r="AC12" s="1570">
        <f t="shared" si="5"/>
        <v>0.96153846153846156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21"/>
      <c r="Q13" s="1150" t="str">
        <f t="shared" si="6"/>
        <v>容积率</v>
      </c>
      <c r="R13" s="1567" t="s">
        <v>8</v>
      </c>
      <c r="S13" s="1568" t="e">
        <f t="shared" si="0"/>
        <v>#N/A</v>
      </c>
      <c r="T13" s="1567" t="s">
        <v>8</v>
      </c>
      <c r="U13" s="1568" t="e">
        <f t="shared" si="1"/>
        <v>#N/A</v>
      </c>
      <c r="V13" s="1567" t="s">
        <v>8</v>
      </c>
      <c r="W13" s="1568" t="e">
        <f t="shared" si="2"/>
        <v>#N/A</v>
      </c>
      <c r="X13" s="1569"/>
      <c r="Y13" s="3408"/>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21"/>
      <c r="Q14" s="1150">
        <f t="shared" si="6"/>
        <v>111</v>
      </c>
      <c r="R14" s="1567" t="s">
        <v>8</v>
      </c>
      <c r="S14" s="1568">
        <f t="shared" si="0"/>
        <v>100</v>
      </c>
      <c r="T14" s="1567" t="s">
        <v>8</v>
      </c>
      <c r="U14" s="1568">
        <f t="shared" si="1"/>
        <v>100</v>
      </c>
      <c r="V14" s="1567" t="s">
        <v>8</v>
      </c>
      <c r="W14" s="1568">
        <f t="shared" si="2"/>
        <v>100</v>
      </c>
      <c r="X14" s="1569"/>
      <c r="Y14" s="3408"/>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21"/>
      <c r="Q15" s="1150">
        <f t="shared" si="6"/>
        <v>111</v>
      </c>
      <c r="R15" s="1567" t="s">
        <v>8</v>
      </c>
      <c r="S15" s="1568">
        <f t="shared" si="0"/>
        <v>100</v>
      </c>
      <c r="T15" s="1567" t="s">
        <v>8</v>
      </c>
      <c r="U15" s="1568">
        <f t="shared" si="1"/>
        <v>100</v>
      </c>
      <c r="V15" s="1567" t="s">
        <v>8</v>
      </c>
      <c r="W15" s="1568">
        <f t="shared" si="2"/>
        <v>100</v>
      </c>
      <c r="X15" s="1569"/>
      <c r="Y15" s="3408"/>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21"/>
      <c r="Q16" s="1150">
        <f t="shared" si="6"/>
        <v>111</v>
      </c>
      <c r="R16" s="1567" t="s">
        <v>8</v>
      </c>
      <c r="S16" s="1568">
        <f t="shared" si="0"/>
        <v>100</v>
      </c>
      <c r="T16" s="1567" t="s">
        <v>8</v>
      </c>
      <c r="U16" s="1568">
        <f t="shared" si="1"/>
        <v>100</v>
      </c>
      <c r="V16" s="1567" t="s">
        <v>8</v>
      </c>
      <c r="W16" s="1568">
        <f t="shared" si="2"/>
        <v>100</v>
      </c>
      <c r="X16" s="1569"/>
      <c r="Y16" s="3408"/>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523" t="s">
        <v>539</v>
      </c>
      <c r="Q17" s="1571" t="str">
        <f t="shared" si="6"/>
        <v>产业集聚程度</v>
      </c>
      <c r="R17" s="1572" t="s">
        <v>8</v>
      </c>
      <c r="S17" s="1573">
        <f t="shared" si="0"/>
        <v>100</v>
      </c>
      <c r="T17" s="1572" t="s">
        <v>8</v>
      </c>
      <c r="U17" s="1573">
        <f t="shared" si="1"/>
        <v>100</v>
      </c>
      <c r="V17" s="1572" t="s">
        <v>8</v>
      </c>
      <c r="W17" s="1573">
        <f t="shared" si="2"/>
        <v>100</v>
      </c>
      <c r="X17" s="1566"/>
      <c r="Y17" s="3523"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524"/>
      <c r="Q18" s="1571"/>
      <c r="R18" s="1572"/>
      <c r="S18" s="1573"/>
      <c r="T18" s="1572"/>
      <c r="U18" s="1573"/>
      <c r="V18" s="1572"/>
      <c r="W18" s="1573"/>
      <c r="X18" s="1566"/>
      <c r="Y18" s="3524"/>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524"/>
      <c r="Q19" s="1571" t="str">
        <f>B19</f>
        <v>交通便捷度</v>
      </c>
      <c r="R19" s="1572" t="s">
        <v>8</v>
      </c>
      <c r="S19" s="1573">
        <f>F19</f>
        <v>100</v>
      </c>
      <c r="T19" s="1572" t="s">
        <v>8</v>
      </c>
      <c r="U19" s="1573">
        <f>H19</f>
        <v>100</v>
      </c>
      <c r="V19" s="1572" t="s">
        <v>8</v>
      </c>
      <c r="W19" s="1573">
        <f>J19</f>
        <v>100</v>
      </c>
      <c r="X19" s="1566"/>
      <c r="Y19" s="3524"/>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524"/>
      <c r="Q20" s="1571"/>
      <c r="R20" s="1572"/>
      <c r="S20" s="1573"/>
      <c r="T20" s="1572"/>
      <c r="U20" s="1573"/>
      <c r="V20" s="1572"/>
      <c r="W20" s="1573"/>
      <c r="X20" s="1566"/>
      <c r="Y20" s="3524"/>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524"/>
      <c r="Q21" s="1571" t="str">
        <f t="shared" ref="Q21:Q35" si="8">B21</f>
        <v>区域土地利用方向</v>
      </c>
      <c r="R21" s="1572" t="s">
        <v>8</v>
      </c>
      <c r="S21" s="1573">
        <f>F21</f>
        <v>100</v>
      </c>
      <c r="T21" s="1572" t="s">
        <v>8</v>
      </c>
      <c r="U21" s="1573">
        <f>H21</f>
        <v>100</v>
      </c>
      <c r="V21" s="1572" t="s">
        <v>8</v>
      </c>
      <c r="W21" s="1573">
        <f>J21</f>
        <v>100</v>
      </c>
      <c r="X21" s="1566"/>
      <c r="Y21" s="352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524"/>
      <c r="Q22" s="1571"/>
      <c r="R22" s="1572"/>
      <c r="S22" s="1573"/>
      <c r="T22" s="1572"/>
      <c r="U22" s="1573"/>
      <c r="V22" s="1572"/>
      <c r="W22" s="1573"/>
      <c r="X22" s="1566"/>
      <c r="Y22" s="3524"/>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524"/>
      <c r="Q23" s="1571" t="str">
        <f t="shared" si="8"/>
        <v>环境状况</v>
      </c>
      <c r="R23" s="1572" t="s">
        <v>8</v>
      </c>
      <c r="S23" s="1573">
        <f>F23</f>
        <v>100</v>
      </c>
      <c r="T23" s="1572" t="s">
        <v>8</v>
      </c>
      <c r="U23" s="1573">
        <f>H23</f>
        <v>100</v>
      </c>
      <c r="V23" s="1572" t="s">
        <v>8</v>
      </c>
      <c r="W23" s="1573">
        <f>J23</f>
        <v>100</v>
      </c>
      <c r="X23" s="1566"/>
      <c r="Y23" s="352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524"/>
      <c r="Q24" s="1571"/>
      <c r="R24" s="1572"/>
      <c r="S24" s="1573"/>
      <c r="T24" s="1572"/>
      <c r="U24" s="1573"/>
      <c r="V24" s="1572"/>
      <c r="W24" s="1573"/>
      <c r="X24" s="1566"/>
      <c r="Y24" s="3524"/>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524"/>
      <c r="Q25" s="1150" t="str">
        <f t="shared" si="8"/>
        <v>公共配套设施</v>
      </c>
      <c r="R25" s="1567" t="s">
        <v>8</v>
      </c>
      <c r="S25" s="1568">
        <f>F25</f>
        <v>100</v>
      </c>
      <c r="T25" s="1567" t="s">
        <v>8</v>
      </c>
      <c r="U25" s="1568">
        <f>H25</f>
        <v>100</v>
      </c>
      <c r="V25" s="1567" t="s">
        <v>8</v>
      </c>
      <c r="W25" s="1568">
        <f>J25</f>
        <v>100</v>
      </c>
      <c r="X25" s="1569"/>
      <c r="Y25" s="3524"/>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524"/>
      <c r="Q26" s="1150"/>
      <c r="R26" s="1567"/>
      <c r="S26" s="1568"/>
      <c r="T26" s="1567"/>
      <c r="U26" s="1568"/>
      <c r="V26" s="1567"/>
      <c r="W26" s="1568"/>
      <c r="X26" s="1569"/>
      <c r="Y26" s="3524"/>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524"/>
      <c r="Q27" s="2556" t="str">
        <f t="shared" ref="Q27" si="9">B27</f>
        <v>基础设施水平</v>
      </c>
      <c r="R27" s="1567" t="s">
        <v>8</v>
      </c>
      <c r="S27" s="1568">
        <f>F27</f>
        <v>100</v>
      </c>
      <c r="T27" s="1567" t="s">
        <v>8</v>
      </c>
      <c r="U27" s="1568">
        <f>H27</f>
        <v>100</v>
      </c>
      <c r="V27" s="1567" t="s">
        <v>8</v>
      </c>
      <c r="W27" s="1568">
        <f>J27</f>
        <v>100</v>
      </c>
      <c r="X27" s="1569"/>
      <c r="Y27" s="3524"/>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524"/>
      <c r="Q28" s="2556"/>
      <c r="R28" s="1567"/>
      <c r="S28" s="1568"/>
      <c r="T28" s="1567"/>
      <c r="U28" s="1568"/>
      <c r="V28" s="1567"/>
      <c r="W28" s="1568"/>
      <c r="X28" s="1569"/>
      <c r="Y28" s="3524"/>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52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24"/>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524"/>
      <c r="Q30" s="1571" t="str">
        <f t="shared" si="8"/>
        <v>毗邻道路的类型与等级</v>
      </c>
      <c r="R30" s="1572" t="s">
        <v>8</v>
      </c>
      <c r="S30" s="1573">
        <f t="shared" si="10"/>
        <v>100</v>
      </c>
      <c r="T30" s="1572" t="s">
        <v>8</v>
      </c>
      <c r="U30" s="1573">
        <f t="shared" si="11"/>
        <v>100</v>
      </c>
      <c r="V30" s="1572" t="s">
        <v>8</v>
      </c>
      <c r="W30" s="1573">
        <f t="shared" si="12"/>
        <v>100</v>
      </c>
      <c r="X30" s="1566"/>
      <c r="Y30" s="352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524"/>
      <c r="Q31" s="1571"/>
      <c r="R31" s="1572"/>
      <c r="S31" s="1573"/>
      <c r="T31" s="1572"/>
      <c r="U31" s="1573"/>
      <c r="V31" s="1572"/>
      <c r="W31" s="1573"/>
      <c r="X31" s="1566"/>
      <c r="Y31" s="3524"/>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524"/>
      <c r="Q32" s="1571" t="str">
        <f t="shared" si="8"/>
        <v>土地级别</v>
      </c>
      <c r="R32" s="1572" t="s">
        <v>8</v>
      </c>
      <c r="S32" s="1573">
        <f t="shared" si="10"/>
        <v>100</v>
      </c>
      <c r="T32" s="1572" t="s">
        <v>8</v>
      </c>
      <c r="U32" s="1573">
        <f t="shared" si="11"/>
        <v>100</v>
      </c>
      <c r="V32" s="1572" t="s">
        <v>8</v>
      </c>
      <c r="W32" s="1573">
        <f t="shared" si="12"/>
        <v>100</v>
      </c>
      <c r="X32" s="1566"/>
      <c r="Y32" s="352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524"/>
      <c r="Q33" s="1571">
        <f t="shared" si="8"/>
        <v>111</v>
      </c>
      <c r="R33" s="1572" t="s">
        <v>8</v>
      </c>
      <c r="S33" s="1573">
        <f t="shared" si="10"/>
        <v>100</v>
      </c>
      <c r="T33" s="1572" t="s">
        <v>8</v>
      </c>
      <c r="U33" s="1573">
        <f t="shared" si="11"/>
        <v>100</v>
      </c>
      <c r="V33" s="1572" t="s">
        <v>8</v>
      </c>
      <c r="W33" s="1573">
        <f t="shared" si="12"/>
        <v>100</v>
      </c>
      <c r="X33" s="1566"/>
      <c r="Y33" s="352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525" t="s">
        <v>549</v>
      </c>
      <c r="Q34" s="1571">
        <f t="shared" si="8"/>
        <v>111</v>
      </c>
      <c r="R34" s="1572" t="s">
        <v>8</v>
      </c>
      <c r="S34" s="1573">
        <f t="shared" si="10"/>
        <v>100</v>
      </c>
      <c r="T34" s="1572" t="s">
        <v>8</v>
      </c>
      <c r="U34" s="1573">
        <f t="shared" si="11"/>
        <v>100</v>
      </c>
      <c r="V34" s="1572" t="s">
        <v>8</v>
      </c>
      <c r="W34" s="1573">
        <f t="shared" si="12"/>
        <v>100</v>
      </c>
      <c r="X34" s="1566"/>
      <c r="Y34" s="3526"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526"/>
      <c r="Q35" s="1571">
        <f t="shared" si="8"/>
        <v>111</v>
      </c>
      <c r="R35" s="1576" t="s">
        <v>8</v>
      </c>
      <c r="S35" s="1577">
        <f t="shared" si="10"/>
        <v>100</v>
      </c>
      <c r="T35" s="1576" t="s">
        <v>8</v>
      </c>
      <c r="U35" s="1577">
        <f t="shared" si="11"/>
        <v>100</v>
      </c>
      <c r="V35" s="1576" t="s">
        <v>8</v>
      </c>
      <c r="W35" s="1577">
        <f t="shared" si="12"/>
        <v>100</v>
      </c>
      <c r="X35" s="1578"/>
      <c r="Y35" s="3526"/>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526"/>
      <c r="Q36" s="1571" t="str">
        <f>B36</f>
        <v>宗地面积</v>
      </c>
      <c r="R36" s="1572" t="s">
        <v>8</v>
      </c>
      <c r="S36" s="1573" t="e">
        <f t="shared" si="10"/>
        <v>#N/A</v>
      </c>
      <c r="T36" s="1572" t="s">
        <v>8</v>
      </c>
      <c r="U36" s="1573" t="e">
        <f t="shared" si="11"/>
        <v>#N/A</v>
      </c>
      <c r="V36" s="1572" t="s">
        <v>8</v>
      </c>
      <c r="W36" s="1573" t="e">
        <f t="shared" si="12"/>
        <v>#N/A</v>
      </c>
      <c r="X36" s="1566"/>
      <c r="Y36" s="3526"/>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526"/>
      <c r="Q37" s="1571" t="str">
        <f t="shared" ref="Q37:Q42" si="14">B37</f>
        <v>宗地形状</v>
      </c>
      <c r="R37" s="1572" t="s">
        <v>8</v>
      </c>
      <c r="S37" s="1573">
        <f t="shared" si="10"/>
        <v>100</v>
      </c>
      <c r="T37" s="1572" t="s">
        <v>8</v>
      </c>
      <c r="U37" s="1573">
        <f t="shared" si="11"/>
        <v>100</v>
      </c>
      <c r="V37" s="1572" t="s">
        <v>8</v>
      </c>
      <c r="W37" s="1573">
        <f t="shared" si="12"/>
        <v>100</v>
      </c>
      <c r="X37" s="1566"/>
      <c r="Y37" s="3526"/>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526"/>
      <c r="Q38" s="1571" t="str">
        <f t="shared" si="14"/>
        <v>宗地开发程度</v>
      </c>
      <c r="R38" s="1567" t="s">
        <v>8</v>
      </c>
      <c r="S38" s="1568">
        <f t="shared" si="10"/>
        <v>100</v>
      </c>
      <c r="T38" s="1567" t="s">
        <v>8</v>
      </c>
      <c r="U38" s="1568">
        <f t="shared" si="11"/>
        <v>100</v>
      </c>
      <c r="V38" s="1567" t="s">
        <v>8</v>
      </c>
      <c r="W38" s="1568">
        <f t="shared" si="12"/>
        <v>100</v>
      </c>
      <c r="X38" s="1569"/>
      <c r="Y38" s="3526"/>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26" t="s">
        <v>600</v>
      </c>
      <c r="Q39" s="1571" t="str">
        <f t="shared" si="14"/>
        <v>工程地质条件</v>
      </c>
      <c r="R39" s="1572" t="s">
        <v>8</v>
      </c>
      <c r="S39" s="1573">
        <f t="shared" si="10"/>
        <v>100</v>
      </c>
      <c r="T39" s="1572" t="s">
        <v>8</v>
      </c>
      <c r="U39" s="1573">
        <f t="shared" si="11"/>
        <v>100</v>
      </c>
      <c r="V39" s="1572" t="s">
        <v>8</v>
      </c>
      <c r="W39" s="1573">
        <f t="shared" si="12"/>
        <v>100</v>
      </c>
      <c r="X39" s="1566"/>
      <c r="Y39" s="3526"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526"/>
      <c r="Q40" s="1571">
        <f t="shared" si="14"/>
        <v>111</v>
      </c>
      <c r="R40" s="1572" t="s">
        <v>8</v>
      </c>
      <c r="S40" s="1573">
        <f t="shared" si="10"/>
        <v>100</v>
      </c>
      <c r="T40" s="1572" t="s">
        <v>8</v>
      </c>
      <c r="U40" s="1573">
        <f t="shared" si="11"/>
        <v>100</v>
      </c>
      <c r="V40" s="1572" t="s">
        <v>8</v>
      </c>
      <c r="W40" s="1573">
        <f t="shared" si="12"/>
        <v>100</v>
      </c>
      <c r="X40" s="1566"/>
      <c r="Y40" s="352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526"/>
      <c r="Q41" s="1571">
        <f t="shared" si="14"/>
        <v>111</v>
      </c>
      <c r="R41" s="1572" t="s">
        <v>8</v>
      </c>
      <c r="S41" s="1573">
        <f t="shared" si="10"/>
        <v>100</v>
      </c>
      <c r="T41" s="1572" t="s">
        <v>8</v>
      </c>
      <c r="U41" s="1573">
        <f t="shared" si="11"/>
        <v>100</v>
      </c>
      <c r="V41" s="1572" t="s">
        <v>8</v>
      </c>
      <c r="W41" s="1573">
        <f t="shared" si="12"/>
        <v>100</v>
      </c>
      <c r="X41" s="1566"/>
      <c r="Y41" s="3526"/>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526"/>
      <c r="Q42" s="1571">
        <f t="shared" si="14"/>
        <v>111</v>
      </c>
      <c r="R42" s="1576" t="s">
        <v>8</v>
      </c>
      <c r="S42" s="1577">
        <f t="shared" si="10"/>
        <v>100</v>
      </c>
      <c r="T42" s="1576" t="s">
        <v>8</v>
      </c>
      <c r="U42" s="1577">
        <f t="shared" si="11"/>
        <v>100</v>
      </c>
      <c r="V42" s="1576" t="s">
        <v>8</v>
      </c>
      <c r="W42" s="1577">
        <f t="shared" si="12"/>
        <v>100</v>
      </c>
      <c r="X42" s="1578"/>
      <c r="Y42" s="3526"/>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21" t="str">
        <f>A43</f>
        <v>成交单价</v>
      </c>
      <c r="Q43" s="3521"/>
      <c r="R43" s="3535">
        <f>E43</f>
        <v>0</v>
      </c>
      <c r="S43" s="3535"/>
      <c r="T43" s="3535">
        <f>G43</f>
        <v>0</v>
      </c>
      <c r="U43" s="3535"/>
      <c r="V43" s="3535">
        <f>I43</f>
        <v>0</v>
      </c>
      <c r="W43" s="3535"/>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21" t="str">
        <f>A44</f>
        <v>比较价格（元/平方米）</v>
      </c>
      <c r="Q44" s="3521"/>
      <c r="R44" s="3545" t="e">
        <f>ROUND(PRODUCT(R43,AA9:AA42),0)</f>
        <v>#DIV/0!</v>
      </c>
      <c r="S44" s="3545"/>
      <c r="T44" s="3545" t="e">
        <f>ROUND(PRODUCT(T43,AB9:AB42),0)</f>
        <v>#DIV/0!</v>
      </c>
      <c r="U44" s="3545"/>
      <c r="V44" s="3545" t="e">
        <f>ROUND(PRODUCT(V43,AC9:AC42),0)</f>
        <v>#DIV/0!</v>
      </c>
      <c r="W44" s="3545"/>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42" t="str">
        <f>A45</f>
        <v>估价对象XX用房的比较价格（楼面单价，元/平方米）</v>
      </c>
      <c r="Q45" s="3543"/>
      <c r="R45" s="3544" t="e">
        <f>ROUND(AVERAGE(R44:V44),0)</f>
        <v>#DIV/0!</v>
      </c>
      <c r="S45" s="3544"/>
      <c r="T45" s="3544"/>
      <c r="U45" s="3544"/>
      <c r="V45" s="3544"/>
      <c r="W45" s="3544"/>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46" t="s">
        <v>2284</v>
      </c>
      <c r="H52" s="3547"/>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548"/>
      <c r="H53" s="354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50"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50"/>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50"/>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50"/>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57" t="s">
        <v>1007</v>
      </c>
      <c r="B18" s="1153" t="s">
        <v>1446</v>
      </c>
      <c r="C18" s="1130" t="s">
        <v>1447</v>
      </c>
      <c r="D18" s="1131"/>
      <c r="E18" s="1153">
        <v>1</v>
      </c>
      <c r="F18" s="1132" t="s">
        <v>1448</v>
      </c>
      <c r="G18" s="1133"/>
      <c r="H18" s="1104"/>
      <c r="I18" s="1104"/>
    </row>
    <row r="19" spans="1:9" s="1598" customFormat="1" ht="19.5" customHeight="1">
      <c r="A19" s="3557"/>
      <c r="B19" s="3557" t="s">
        <v>1449</v>
      </c>
      <c r="C19" s="1130" t="s">
        <v>1450</v>
      </c>
      <c r="D19" s="1131"/>
      <c r="E19" s="1153">
        <v>0.9</v>
      </c>
      <c r="F19" s="1132" t="s">
        <v>1451</v>
      </c>
      <c r="G19" s="1133"/>
      <c r="H19" s="1104"/>
      <c r="I19" s="1104"/>
    </row>
    <row r="20" spans="1:9" s="1598" customFormat="1" ht="19.5" customHeight="1">
      <c r="A20" s="3557"/>
      <c r="B20" s="3557"/>
      <c r="C20" s="1130" t="s">
        <v>1452</v>
      </c>
      <c r="D20" s="1131"/>
      <c r="E20" s="1153">
        <v>1.1000000000000001</v>
      </c>
      <c r="F20" s="1132" t="s">
        <v>1453</v>
      </c>
      <c r="G20" s="1133"/>
      <c r="H20" s="1104"/>
      <c r="I20" s="1104"/>
    </row>
    <row r="21" spans="1:9" s="1598" customFormat="1" ht="19.5" customHeight="1">
      <c r="A21" s="3557"/>
      <c r="B21" s="3557"/>
      <c r="C21" s="1130" t="s">
        <v>1454</v>
      </c>
      <c r="D21" s="1131"/>
      <c r="E21" s="1153">
        <v>0.8</v>
      </c>
      <c r="F21" s="1132" t="s">
        <v>1455</v>
      </c>
      <c r="G21" s="1133"/>
      <c r="H21" s="1104"/>
      <c r="I21" s="1104"/>
    </row>
    <row r="22" spans="1:9" s="1598" customFormat="1" ht="19.5" customHeight="1">
      <c r="A22" s="3557"/>
      <c r="B22" s="3557"/>
      <c r="C22" s="1130" t="s">
        <v>1456</v>
      </c>
      <c r="D22" s="1131"/>
      <c r="E22" s="1153">
        <v>0.5</v>
      </c>
      <c r="F22" s="1132"/>
      <c r="G22" s="1133"/>
      <c r="H22" s="1104"/>
      <c r="I22" s="1104"/>
    </row>
    <row r="23" spans="1:9" s="1598" customFormat="1" ht="19.5" customHeight="1">
      <c r="A23" s="3557" t="s">
        <v>1029</v>
      </c>
      <c r="B23" s="1153" t="s">
        <v>1446</v>
      </c>
      <c r="C23" s="1130" t="s">
        <v>1457</v>
      </c>
      <c r="D23" s="1131"/>
      <c r="E23" s="1153">
        <v>1</v>
      </c>
      <c r="F23" s="1132" t="s">
        <v>1458</v>
      </c>
      <c r="G23" s="1133"/>
      <c r="H23" s="1104"/>
      <c r="I23" s="1104"/>
    </row>
    <row r="24" spans="1:9" s="1598" customFormat="1" ht="19.5" customHeight="1">
      <c r="A24" s="3557"/>
      <c r="B24" s="3557" t="s">
        <v>1449</v>
      </c>
      <c r="C24" s="1130" t="s">
        <v>1459</v>
      </c>
      <c r="D24" s="1131"/>
      <c r="E24" s="1153">
        <v>0.5</v>
      </c>
      <c r="F24" s="1132"/>
      <c r="G24" s="1133"/>
      <c r="H24" s="1104"/>
      <c r="I24" s="1104"/>
    </row>
    <row r="25" spans="1:9" s="1598" customFormat="1" ht="19.5" customHeight="1">
      <c r="A25" s="3557"/>
      <c r="B25" s="3557"/>
      <c r="C25" s="1130" t="s">
        <v>1460</v>
      </c>
      <c r="D25" s="1131"/>
      <c r="E25" s="1153">
        <v>1.1000000000000001</v>
      </c>
      <c r="F25" s="1132"/>
      <c r="G25" s="1133"/>
      <c r="H25" s="1104"/>
      <c r="I25" s="1104"/>
    </row>
    <row r="26" spans="1:9" s="1598" customFormat="1" ht="19.5" customHeight="1">
      <c r="A26" s="3557"/>
      <c r="B26" s="3557"/>
      <c r="C26" s="1130" t="s">
        <v>1461</v>
      </c>
      <c r="D26" s="1131"/>
      <c r="E26" s="1153">
        <v>1.1000000000000001</v>
      </c>
      <c r="F26" s="1132"/>
      <c r="G26" s="1133"/>
      <c r="H26" s="1104"/>
      <c r="I26" s="1104"/>
    </row>
    <row r="27" spans="1:9" s="1598" customFormat="1" ht="19.5" customHeight="1">
      <c r="A27" s="3557"/>
      <c r="B27" s="3557"/>
      <c r="C27" s="1130" t="s">
        <v>1462</v>
      </c>
      <c r="D27" s="1131"/>
      <c r="E27" s="1153">
        <v>0.9</v>
      </c>
      <c r="F27" s="1132" t="s">
        <v>1463</v>
      </c>
      <c r="G27" s="1133"/>
      <c r="H27" s="1104"/>
      <c r="I27" s="1104"/>
    </row>
    <row r="28" spans="1:9" s="1598" customFormat="1" ht="19.5" customHeight="1">
      <c r="A28" s="3557"/>
      <c r="B28" s="3557"/>
      <c r="C28" s="1130" t="s">
        <v>1464</v>
      </c>
      <c r="D28" s="1131"/>
      <c r="E28" s="1153">
        <v>0.9</v>
      </c>
      <c r="F28" s="1132" t="s">
        <v>1465</v>
      </c>
      <c r="G28" s="1133"/>
      <c r="H28" s="1104"/>
      <c r="I28" s="1104"/>
    </row>
    <row r="29" spans="1:9" s="1598" customFormat="1" ht="19.5" customHeight="1">
      <c r="A29" s="3557"/>
      <c r="B29" s="3557"/>
      <c r="C29" s="1130" t="s">
        <v>1466</v>
      </c>
      <c r="D29" s="1131"/>
      <c r="E29" s="1153">
        <v>0.9</v>
      </c>
      <c r="F29" s="1132" t="s">
        <v>1467</v>
      </c>
      <c r="G29" s="1133"/>
      <c r="H29" s="1104"/>
      <c r="I29" s="1104"/>
    </row>
    <row r="30" spans="1:9" s="1598" customFormat="1" ht="19.5" customHeight="1">
      <c r="A30" s="3557"/>
      <c r="B30" s="3557"/>
      <c r="C30" s="1130" t="s">
        <v>1468</v>
      </c>
      <c r="D30" s="1131"/>
      <c r="E30" s="1153">
        <v>0.9</v>
      </c>
      <c r="F30" s="1132" t="s">
        <v>1469</v>
      </c>
      <c r="G30" s="1133"/>
      <c r="H30" s="1104"/>
      <c r="I30" s="1104"/>
    </row>
    <row r="31" spans="1:9" s="1598" customFormat="1" ht="19.5" customHeight="1">
      <c r="A31" s="3557"/>
      <c r="B31" s="3557"/>
      <c r="C31" s="1130" t="s">
        <v>1470</v>
      </c>
      <c r="D31" s="1131"/>
      <c r="E31" s="1153">
        <v>0.8</v>
      </c>
      <c r="F31" s="1132" t="s">
        <v>1471</v>
      </c>
      <c r="G31" s="1133"/>
      <c r="H31" s="1104"/>
      <c r="I31" s="1104"/>
    </row>
    <row r="32" spans="1:9" s="1598" customFormat="1" ht="19.5" customHeight="1">
      <c r="A32" s="3557"/>
      <c r="B32" s="3557"/>
      <c r="C32" s="1130" t="s">
        <v>1472</v>
      </c>
      <c r="D32" s="1131"/>
      <c r="E32" s="1153">
        <v>0.8</v>
      </c>
      <c r="F32" s="1132" t="s">
        <v>1473</v>
      </c>
      <c r="G32" s="1133"/>
      <c r="H32" s="1104"/>
      <c r="I32" s="1104"/>
    </row>
    <row r="33" spans="1:9" s="1598" customFormat="1" ht="19.5" customHeight="1">
      <c r="A33" s="3557" t="s">
        <v>1474</v>
      </c>
      <c r="B33" s="1153" t="s">
        <v>1446</v>
      </c>
      <c r="C33" s="1130" t="s">
        <v>1475</v>
      </c>
      <c r="D33" s="1131"/>
      <c r="E33" s="1153">
        <v>1</v>
      </c>
      <c r="F33" s="1132" t="s">
        <v>1476</v>
      </c>
      <c r="G33" s="1133"/>
      <c r="H33" s="1104"/>
      <c r="I33" s="1104"/>
    </row>
    <row r="34" spans="1:9" s="1598" customFormat="1" ht="19.5" customHeight="1">
      <c r="A34" s="3557"/>
      <c r="B34" s="1153" t="s">
        <v>1449</v>
      </c>
      <c r="C34" s="1130" t="s">
        <v>1477</v>
      </c>
      <c r="D34" s="1131"/>
      <c r="E34" s="1153">
        <v>1.5</v>
      </c>
      <c r="F34" s="1132" t="s">
        <v>1478</v>
      </c>
      <c r="G34" s="1133"/>
      <c r="H34" s="1104"/>
      <c r="I34" s="1104"/>
    </row>
    <row r="35" spans="1:9" s="1598" customFormat="1" ht="19.5" customHeight="1">
      <c r="A35" s="3557" t="s">
        <v>1432</v>
      </c>
      <c r="B35" s="1153" t="s">
        <v>1446</v>
      </c>
      <c r="C35" s="1130" t="s">
        <v>1479</v>
      </c>
      <c r="D35" s="1131"/>
      <c r="E35" s="1153">
        <v>1</v>
      </c>
      <c r="F35" s="1132" t="s">
        <v>1480</v>
      </c>
      <c r="G35" s="1133"/>
      <c r="H35" s="1104"/>
      <c r="I35" s="1104"/>
    </row>
    <row r="36" spans="1:9" s="1598" customFormat="1" ht="19.5" customHeight="1">
      <c r="A36" s="3557"/>
      <c r="B36" s="3557" t="s">
        <v>1449</v>
      </c>
      <c r="C36" s="1130" t="s">
        <v>1481</v>
      </c>
      <c r="D36" s="1131"/>
      <c r="E36" s="1153">
        <v>1</v>
      </c>
      <c r="F36" s="1132" t="s">
        <v>1482</v>
      </c>
      <c r="G36" s="1133"/>
      <c r="H36" s="1104"/>
      <c r="I36" s="1104"/>
    </row>
    <row r="37" spans="1:9" s="1598" customFormat="1" ht="19.5" customHeight="1">
      <c r="A37" s="3557"/>
      <c r="B37" s="3557"/>
      <c r="C37" s="1130" t="s">
        <v>1483</v>
      </c>
      <c r="D37" s="1131"/>
      <c r="E37" s="1153">
        <v>1.5</v>
      </c>
      <c r="F37" s="1132" t="s">
        <v>1484</v>
      </c>
      <c r="G37" s="1133"/>
      <c r="H37" s="1104"/>
      <c r="I37" s="1104"/>
    </row>
    <row r="38" spans="1:9" s="1598" customFormat="1" ht="19.5" customHeight="1">
      <c r="A38" s="3557"/>
      <c r="B38" s="3557"/>
      <c r="C38" s="1130" t="s">
        <v>1485</v>
      </c>
      <c r="D38" s="1131"/>
      <c r="E38" s="1153">
        <v>1</v>
      </c>
      <c r="F38" s="1132" t="s">
        <v>1486</v>
      </c>
      <c r="G38" s="1133"/>
      <c r="H38" s="1104"/>
      <c r="I38" s="1104"/>
    </row>
    <row r="39" spans="1:9" s="1598" customFormat="1" ht="19.5" customHeight="1">
      <c r="A39" s="3557"/>
      <c r="B39" s="3557"/>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57" t="s">
        <v>1501</v>
      </c>
      <c r="C61" s="1067" t="s">
        <v>1502</v>
      </c>
      <c r="D61" s="1067" t="s">
        <v>1503</v>
      </c>
      <c r="E61" s="1138">
        <v>0.5</v>
      </c>
      <c r="F61" s="1153">
        <v>80</v>
      </c>
      <c r="H61" s="1104">
        <f>SUMIF(C59:C119,'基准地价-70住宅'!C8,E59:E119)</f>
        <v>0</v>
      </c>
    </row>
    <row r="62" spans="1:8" s="1104" customFormat="1" ht="24">
      <c r="A62" s="1153">
        <v>2</v>
      </c>
      <c r="B62" s="3557"/>
      <c r="C62" s="1067" t="s">
        <v>1504</v>
      </c>
      <c r="D62" s="1067" t="s">
        <v>1505</v>
      </c>
      <c r="E62" s="1138">
        <v>0.5</v>
      </c>
      <c r="F62" s="1153">
        <v>80</v>
      </c>
    </row>
    <row r="63" spans="1:8" s="1104" customFormat="1" ht="36">
      <c r="A63" s="1153">
        <v>3</v>
      </c>
      <c r="B63" s="3557"/>
      <c r="C63" s="1067" t="s">
        <v>1506</v>
      </c>
      <c r="D63" s="1067" t="s">
        <v>1507</v>
      </c>
      <c r="E63" s="1138">
        <v>0.5</v>
      </c>
      <c r="F63" s="1153">
        <v>80</v>
      </c>
    </row>
    <row r="64" spans="1:8" s="1104" customFormat="1" ht="36">
      <c r="A64" s="1153">
        <v>4</v>
      </c>
      <c r="B64" s="3557"/>
      <c r="C64" s="1067" t="s">
        <v>1508</v>
      </c>
      <c r="D64" s="1067" t="s">
        <v>1509</v>
      </c>
      <c r="E64" s="1138">
        <v>0.4</v>
      </c>
      <c r="F64" s="1153">
        <v>60</v>
      </c>
    </row>
    <row r="65" spans="1:6" s="1104" customFormat="1" ht="36">
      <c r="A65" s="1153">
        <v>5</v>
      </c>
      <c r="B65" s="3557"/>
      <c r="C65" s="1067" t="s">
        <v>1510</v>
      </c>
      <c r="D65" s="1067" t="s">
        <v>1511</v>
      </c>
      <c r="E65" s="1138">
        <v>0.2</v>
      </c>
      <c r="F65" s="1153">
        <v>30</v>
      </c>
    </row>
    <row r="66" spans="1:6" s="1104" customFormat="1" ht="36">
      <c r="A66" s="1153">
        <v>6</v>
      </c>
      <c r="B66" s="3557"/>
      <c r="C66" s="1067" t="s">
        <v>1512</v>
      </c>
      <c r="D66" s="1067" t="s">
        <v>1513</v>
      </c>
      <c r="E66" s="1138">
        <v>0.3</v>
      </c>
      <c r="F66" s="1153">
        <v>50</v>
      </c>
    </row>
    <row r="67" spans="1:6" s="1104" customFormat="1" ht="36">
      <c r="A67" s="1153">
        <v>7</v>
      </c>
      <c r="B67" s="3557"/>
      <c r="C67" s="1067" t="s">
        <v>1514</v>
      </c>
      <c r="D67" s="1067" t="s">
        <v>1515</v>
      </c>
      <c r="E67" s="1138">
        <v>0.2</v>
      </c>
      <c r="F67" s="1153">
        <v>30</v>
      </c>
    </row>
    <row r="68" spans="1:6" s="1104" customFormat="1" ht="36">
      <c r="A68" s="1153">
        <v>8</v>
      </c>
      <c r="B68" s="3557"/>
      <c r="C68" s="1067" t="s">
        <v>1516</v>
      </c>
      <c r="D68" s="1067" t="s">
        <v>1517</v>
      </c>
      <c r="E68" s="1138">
        <v>0.2</v>
      </c>
      <c r="F68" s="1153">
        <v>30</v>
      </c>
    </row>
    <row r="69" spans="1:6" s="1104" customFormat="1" ht="36">
      <c r="A69" s="1153">
        <v>9</v>
      </c>
      <c r="B69" s="3557"/>
      <c r="C69" s="1067" t="s">
        <v>1518</v>
      </c>
      <c r="D69" s="1067" t="s">
        <v>1519</v>
      </c>
      <c r="E69" s="1138">
        <v>0.2</v>
      </c>
      <c r="F69" s="1153">
        <v>30</v>
      </c>
    </row>
    <row r="70" spans="1:6" s="1104" customFormat="1" ht="48">
      <c r="A70" s="1153">
        <v>10</v>
      </c>
      <c r="B70" s="3557"/>
      <c r="C70" s="1067" t="s">
        <v>1520</v>
      </c>
      <c r="D70" s="1067" t="s">
        <v>1521</v>
      </c>
      <c r="E70" s="1138">
        <v>0.2</v>
      </c>
      <c r="F70" s="1153">
        <v>30</v>
      </c>
    </row>
    <row r="71" spans="1:6" s="1104" customFormat="1" ht="48">
      <c r="A71" s="1153">
        <v>11</v>
      </c>
      <c r="B71" s="3557"/>
      <c r="C71" s="1067" t="s">
        <v>1522</v>
      </c>
      <c r="D71" s="1067" t="s">
        <v>1523</v>
      </c>
      <c r="E71" s="1138">
        <v>0.2</v>
      </c>
      <c r="F71" s="1153">
        <v>30</v>
      </c>
    </row>
    <row r="72" spans="1:6" s="1104" customFormat="1" ht="36">
      <c r="A72" s="1153">
        <v>12</v>
      </c>
      <c r="B72" s="3557"/>
      <c r="C72" s="1067" t="s">
        <v>1524</v>
      </c>
      <c r="D72" s="1067" t="s">
        <v>1525</v>
      </c>
      <c r="E72" s="1138">
        <v>0.5</v>
      </c>
      <c r="F72" s="1153">
        <v>80</v>
      </c>
    </row>
    <row r="73" spans="1:6" s="1104" customFormat="1" ht="24">
      <c r="A73" s="1153">
        <v>13</v>
      </c>
      <c r="B73" s="3557"/>
      <c r="C73" s="1067" t="s">
        <v>1526</v>
      </c>
      <c r="D73" s="1067" t="s">
        <v>1527</v>
      </c>
      <c r="E73" s="1138">
        <v>0.4</v>
      </c>
      <c r="F73" s="1153">
        <v>60</v>
      </c>
    </row>
    <row r="74" spans="1:6" s="1104" customFormat="1" ht="24">
      <c r="A74" s="1153">
        <v>14</v>
      </c>
      <c r="B74" s="3557"/>
      <c r="C74" s="1067" t="s">
        <v>1528</v>
      </c>
      <c r="D74" s="1067" t="s">
        <v>1529</v>
      </c>
      <c r="E74" s="1138">
        <v>0.2</v>
      </c>
      <c r="F74" s="1153">
        <v>30</v>
      </c>
    </row>
    <row r="75" spans="1:6" s="1104" customFormat="1" ht="24">
      <c r="A75" s="1153">
        <v>15</v>
      </c>
      <c r="B75" s="3557"/>
      <c r="C75" s="1067" t="s">
        <v>1530</v>
      </c>
      <c r="D75" s="1067" t="s">
        <v>1531</v>
      </c>
      <c r="E75" s="1138">
        <v>0.2</v>
      </c>
      <c r="F75" s="1153">
        <v>30</v>
      </c>
    </row>
    <row r="76" spans="1:6" s="1104" customFormat="1" ht="24">
      <c r="A76" s="1153">
        <v>16</v>
      </c>
      <c r="B76" s="3557" t="s">
        <v>1532</v>
      </c>
      <c r="C76" s="1067" t="s">
        <v>1533</v>
      </c>
      <c r="D76" s="1067" t="s">
        <v>1534</v>
      </c>
      <c r="E76" s="1138">
        <v>0.5</v>
      </c>
      <c r="F76" s="1153">
        <v>80</v>
      </c>
    </row>
    <row r="77" spans="1:6" s="1104" customFormat="1" ht="24">
      <c r="A77" s="1153">
        <v>17</v>
      </c>
      <c r="B77" s="3557"/>
      <c r="C77" s="1067" t="s">
        <v>1535</v>
      </c>
      <c r="D77" s="1067" t="s">
        <v>1536</v>
      </c>
      <c r="E77" s="1138">
        <v>0.5</v>
      </c>
      <c r="F77" s="1153">
        <v>80</v>
      </c>
    </row>
    <row r="78" spans="1:6" s="1104" customFormat="1" ht="24">
      <c r="A78" s="1153">
        <v>18</v>
      </c>
      <c r="B78" s="3557"/>
      <c r="C78" s="1067" t="s">
        <v>1537</v>
      </c>
      <c r="D78" s="1067" t="s">
        <v>1538</v>
      </c>
      <c r="E78" s="1138">
        <v>0.2</v>
      </c>
      <c r="F78" s="1153">
        <v>30</v>
      </c>
    </row>
    <row r="79" spans="1:6" s="1104" customFormat="1" ht="24">
      <c r="A79" s="1153">
        <v>19</v>
      </c>
      <c r="B79" s="3557"/>
      <c r="C79" s="1067" t="s">
        <v>1539</v>
      </c>
      <c r="D79" s="1067" t="s">
        <v>1540</v>
      </c>
      <c r="E79" s="1138">
        <v>0.5</v>
      </c>
      <c r="F79" s="1153">
        <v>80</v>
      </c>
    </row>
    <row r="80" spans="1:6" s="1104" customFormat="1" ht="36">
      <c r="A80" s="1153">
        <v>20</v>
      </c>
      <c r="B80" s="3557"/>
      <c r="C80" s="1067" t="s">
        <v>1541</v>
      </c>
      <c r="D80" s="1067" t="s">
        <v>1542</v>
      </c>
      <c r="E80" s="1138">
        <v>0.2</v>
      </c>
      <c r="F80" s="1153">
        <v>30</v>
      </c>
    </row>
    <row r="81" spans="1:6" s="1104" customFormat="1" ht="36">
      <c r="A81" s="1153">
        <v>21</v>
      </c>
      <c r="B81" s="3557"/>
      <c r="C81" s="1067" t="s">
        <v>1543</v>
      </c>
      <c r="D81" s="1067" t="s">
        <v>1544</v>
      </c>
      <c r="E81" s="1138">
        <v>0.2</v>
      </c>
      <c r="F81" s="1153">
        <v>30</v>
      </c>
    </row>
    <row r="82" spans="1:6" s="1104" customFormat="1" ht="48">
      <c r="A82" s="1153">
        <v>22</v>
      </c>
      <c r="B82" s="3557"/>
      <c r="C82" s="1067" t="s">
        <v>1545</v>
      </c>
      <c r="D82" s="1067" t="s">
        <v>1546</v>
      </c>
      <c r="E82" s="1138">
        <v>0.2</v>
      </c>
      <c r="F82" s="1153">
        <v>30</v>
      </c>
    </row>
    <row r="83" spans="1:6" s="1104" customFormat="1" ht="48">
      <c r="A83" s="1153">
        <v>23</v>
      </c>
      <c r="B83" s="3557"/>
      <c r="C83" s="1067" t="s">
        <v>1547</v>
      </c>
      <c r="D83" s="1067" t="s">
        <v>1548</v>
      </c>
      <c r="E83" s="1138">
        <v>0.2</v>
      </c>
      <c r="F83" s="1153">
        <v>30</v>
      </c>
    </row>
    <row r="84" spans="1:6" s="1104" customFormat="1" ht="36">
      <c r="A84" s="1153">
        <v>24</v>
      </c>
      <c r="B84" s="3557"/>
      <c r="C84" s="1067" t="s">
        <v>1549</v>
      </c>
      <c r="D84" s="1067" t="s">
        <v>1550</v>
      </c>
      <c r="E84" s="1138">
        <v>0.2</v>
      </c>
      <c r="F84" s="1153">
        <v>30</v>
      </c>
    </row>
    <row r="85" spans="1:6" s="1104" customFormat="1" ht="36">
      <c r="A85" s="1153">
        <v>25</v>
      </c>
      <c r="B85" s="3557"/>
      <c r="C85" s="1067" t="s">
        <v>1551</v>
      </c>
      <c r="D85" s="1067" t="s">
        <v>1552</v>
      </c>
      <c r="E85" s="1138">
        <v>0.5</v>
      </c>
      <c r="F85" s="1153">
        <v>80</v>
      </c>
    </row>
    <row r="86" spans="1:6" s="1104" customFormat="1" ht="36">
      <c r="A86" s="1153">
        <v>26</v>
      </c>
      <c r="B86" s="3557"/>
      <c r="C86" s="1067" t="s">
        <v>1553</v>
      </c>
      <c r="D86" s="1067" t="s">
        <v>1554</v>
      </c>
      <c r="E86" s="1138">
        <v>0.2</v>
      </c>
      <c r="F86" s="1153">
        <v>30</v>
      </c>
    </row>
    <row r="87" spans="1:6" s="1104" customFormat="1" ht="36">
      <c r="A87" s="1153">
        <v>27</v>
      </c>
      <c r="B87" s="3557"/>
      <c r="C87" s="1067" t="s">
        <v>1555</v>
      </c>
      <c r="D87" s="1067" t="s">
        <v>1556</v>
      </c>
      <c r="E87" s="1138">
        <v>0.2</v>
      </c>
      <c r="F87" s="1153">
        <v>30</v>
      </c>
    </row>
    <row r="88" spans="1:6" s="1104" customFormat="1" ht="36">
      <c r="A88" s="1153">
        <v>28</v>
      </c>
      <c r="B88" s="3557"/>
      <c r="C88" s="1067" t="s">
        <v>1557</v>
      </c>
      <c r="D88" s="1067" t="s">
        <v>1558</v>
      </c>
      <c r="E88" s="1138">
        <v>0.2</v>
      </c>
      <c r="F88" s="1153">
        <v>30</v>
      </c>
    </row>
    <row r="89" spans="1:6" s="1104" customFormat="1" ht="24">
      <c r="A89" s="1153">
        <v>29</v>
      </c>
      <c r="B89" s="3557"/>
      <c r="C89" s="1067" t="s">
        <v>1559</v>
      </c>
      <c r="D89" s="1067" t="s">
        <v>1560</v>
      </c>
      <c r="E89" s="1138">
        <v>0.2</v>
      </c>
      <c r="F89" s="1153">
        <v>30</v>
      </c>
    </row>
    <row r="90" spans="1:6" s="1104" customFormat="1" ht="24">
      <c r="A90" s="1153">
        <v>30</v>
      </c>
      <c r="B90" s="3557"/>
      <c r="C90" s="1067" t="s">
        <v>1561</v>
      </c>
      <c r="D90" s="1067" t="s">
        <v>1562</v>
      </c>
      <c r="E90" s="1138">
        <v>0.2</v>
      </c>
      <c r="F90" s="1153">
        <v>30</v>
      </c>
    </row>
    <row r="91" spans="1:6" s="1104" customFormat="1" ht="36">
      <c r="A91" s="1153">
        <v>31</v>
      </c>
      <c r="B91" s="3557"/>
      <c r="C91" s="1067" t="s">
        <v>1563</v>
      </c>
      <c r="D91" s="1067" t="s">
        <v>1564</v>
      </c>
      <c r="E91" s="1138">
        <v>0.2</v>
      </c>
      <c r="F91" s="1153">
        <v>30</v>
      </c>
    </row>
    <row r="92" spans="1:6" s="1104" customFormat="1" ht="24">
      <c r="A92" s="1153">
        <v>32</v>
      </c>
      <c r="B92" s="3557" t="s">
        <v>1565</v>
      </c>
      <c r="C92" s="1153" t="s">
        <v>1566</v>
      </c>
      <c r="D92" s="1067" t="s">
        <v>1567</v>
      </c>
      <c r="E92" s="1138">
        <v>0.2</v>
      </c>
      <c r="F92" s="1153">
        <v>30</v>
      </c>
    </row>
    <row r="93" spans="1:6" s="1104" customFormat="1" ht="36">
      <c r="A93" s="1153">
        <v>33</v>
      </c>
      <c r="B93" s="3557"/>
      <c r="C93" s="1153" t="s">
        <v>1568</v>
      </c>
      <c r="D93" s="1067" t="s">
        <v>1569</v>
      </c>
      <c r="E93" s="1138">
        <v>0.2</v>
      </c>
      <c r="F93" s="1153">
        <v>30</v>
      </c>
    </row>
    <row r="94" spans="1:6" s="1104" customFormat="1" ht="48">
      <c r="A94" s="1153">
        <v>34</v>
      </c>
      <c r="B94" s="3557"/>
      <c r="C94" s="1153" t="s">
        <v>1570</v>
      </c>
      <c r="D94" s="1067" t="s">
        <v>1571</v>
      </c>
      <c r="E94" s="1138">
        <v>0.2</v>
      </c>
      <c r="F94" s="1153">
        <v>30</v>
      </c>
    </row>
    <row r="95" spans="1:6" s="1104" customFormat="1" ht="36">
      <c r="A95" s="1153">
        <v>35</v>
      </c>
      <c r="B95" s="3557"/>
      <c r="C95" s="1153" t="s">
        <v>1572</v>
      </c>
      <c r="D95" s="1067" t="s">
        <v>1573</v>
      </c>
      <c r="E95" s="1138">
        <v>0.2</v>
      </c>
      <c r="F95" s="1153">
        <v>30</v>
      </c>
    </row>
    <row r="96" spans="1:6" s="1104" customFormat="1" ht="48">
      <c r="A96" s="1153">
        <v>36</v>
      </c>
      <c r="B96" s="3557"/>
      <c r="C96" s="1067" t="s">
        <v>1574</v>
      </c>
      <c r="D96" s="1067" t="s">
        <v>1575</v>
      </c>
      <c r="E96" s="1138">
        <v>0.2</v>
      </c>
      <c r="F96" s="1153">
        <v>30</v>
      </c>
    </row>
    <row r="97" spans="1:6" s="1104" customFormat="1" ht="36">
      <c r="A97" s="1153">
        <v>37</v>
      </c>
      <c r="B97" s="3557"/>
      <c r="C97" s="1153" t="s">
        <v>1576</v>
      </c>
      <c r="D97" s="1067" t="s">
        <v>1577</v>
      </c>
      <c r="E97" s="1138">
        <v>0.2</v>
      </c>
      <c r="F97" s="1153">
        <v>30</v>
      </c>
    </row>
    <row r="98" spans="1:6" s="1104" customFormat="1" ht="36">
      <c r="A98" s="1153">
        <v>38</v>
      </c>
      <c r="B98" s="3557"/>
      <c r="C98" s="1153" t="s">
        <v>1578</v>
      </c>
      <c r="D98" s="1067" t="s">
        <v>1579</v>
      </c>
      <c r="E98" s="1138">
        <v>0.2</v>
      </c>
      <c r="F98" s="1153">
        <v>30</v>
      </c>
    </row>
    <row r="99" spans="1:6" s="1104" customFormat="1" ht="36">
      <c r="A99" s="1153">
        <v>39</v>
      </c>
      <c r="B99" s="3557" t="s">
        <v>1580</v>
      </c>
      <c r="C99" s="1153" t="s">
        <v>1581</v>
      </c>
      <c r="D99" s="1067" t="s">
        <v>1582</v>
      </c>
      <c r="E99" s="1138">
        <v>0.3</v>
      </c>
      <c r="F99" s="1153">
        <v>50</v>
      </c>
    </row>
    <row r="100" spans="1:6" s="1104" customFormat="1" ht="24">
      <c r="A100" s="1153">
        <v>40</v>
      </c>
      <c r="B100" s="3557"/>
      <c r="C100" s="1153" t="s">
        <v>1583</v>
      </c>
      <c r="D100" s="1067" t="s">
        <v>1584</v>
      </c>
      <c r="E100" s="1138">
        <v>0.2</v>
      </c>
      <c r="F100" s="1153">
        <v>30</v>
      </c>
    </row>
    <row r="101" spans="1:6" s="1104" customFormat="1" ht="36">
      <c r="A101" s="1153">
        <v>41</v>
      </c>
      <c r="B101" s="355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57" t="s">
        <v>1595</v>
      </c>
      <c r="C105" s="1153" t="s">
        <v>1596</v>
      </c>
      <c r="D105" s="1067" t="s">
        <v>1597</v>
      </c>
      <c r="E105" s="1138">
        <v>0.2</v>
      </c>
      <c r="F105" s="1153">
        <v>30</v>
      </c>
    </row>
    <row r="106" spans="1:6" s="1104" customFormat="1" ht="36">
      <c r="A106" s="1153">
        <v>46</v>
      </c>
      <c r="B106" s="3557"/>
      <c r="C106" s="1153" t="s">
        <v>1598</v>
      </c>
      <c r="D106" s="1067" t="s">
        <v>1599</v>
      </c>
      <c r="E106" s="1138">
        <v>0.2</v>
      </c>
      <c r="F106" s="1153">
        <v>30</v>
      </c>
    </row>
    <row r="107" spans="1:6" s="1104" customFormat="1" ht="36">
      <c r="A107" s="1153">
        <v>47</v>
      </c>
      <c r="B107" s="3557" t="s">
        <v>1600</v>
      </c>
      <c r="C107" s="1153" t="s">
        <v>1601</v>
      </c>
      <c r="D107" s="1067" t="s">
        <v>1602</v>
      </c>
      <c r="E107" s="1138">
        <v>0.3</v>
      </c>
      <c r="F107" s="1153">
        <v>50</v>
      </c>
    </row>
    <row r="108" spans="1:6" s="1104" customFormat="1" ht="36">
      <c r="A108" s="1153">
        <v>48</v>
      </c>
      <c r="B108" s="355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57" t="s">
        <v>1611</v>
      </c>
      <c r="C111" s="1153" t="s">
        <v>1612</v>
      </c>
      <c r="D111" s="1067" t="s">
        <v>1613</v>
      </c>
      <c r="E111" s="1138">
        <v>0.2</v>
      </c>
      <c r="F111" s="1153">
        <v>30</v>
      </c>
    </row>
    <row r="112" spans="1:6" s="1104" customFormat="1" ht="24">
      <c r="A112" s="1153">
        <v>52</v>
      </c>
      <c r="B112" s="3557"/>
      <c r="C112" s="1153" t="s">
        <v>1614</v>
      </c>
      <c r="D112" s="1067" t="s">
        <v>1615</v>
      </c>
      <c r="E112" s="1138">
        <v>0.2</v>
      </c>
      <c r="F112" s="1153">
        <v>30</v>
      </c>
    </row>
    <row r="113" spans="1:14" s="1104" customFormat="1" ht="24">
      <c r="A113" s="1153">
        <v>53</v>
      </c>
      <c r="B113" s="355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57" t="s">
        <v>1624</v>
      </c>
      <c r="C116" s="1153" t="s">
        <v>1625</v>
      </c>
      <c r="D116" s="1067" t="s">
        <v>1626</v>
      </c>
      <c r="E116" s="1138">
        <v>0.2</v>
      </c>
      <c r="F116" s="1153">
        <v>30</v>
      </c>
    </row>
    <row r="117" spans="1:14" ht="36">
      <c r="A117" s="1153">
        <v>57</v>
      </c>
      <c r="B117" s="355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58" t="s">
        <v>1633</v>
      </c>
      <c r="B121" s="3558"/>
      <c r="C121" s="3558"/>
      <c r="D121" s="3558"/>
      <c r="E121" s="3558"/>
      <c r="F121" s="3558"/>
      <c r="G121" s="3558"/>
      <c r="H121" s="3558"/>
      <c r="I121" s="3558"/>
      <c r="J121" s="355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59" t="s">
        <v>1039</v>
      </c>
      <c r="B1" s="3559"/>
      <c r="C1" s="3559"/>
      <c r="D1" s="3559"/>
      <c r="E1" s="3559"/>
      <c r="F1" s="355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60" t="s">
        <v>1052</v>
      </c>
      <c r="B2" s="3560"/>
      <c r="C2" s="3560"/>
      <c r="D2" s="3560"/>
      <c r="E2" s="3560"/>
      <c r="F2" s="356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6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6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63" t="s">
        <v>2079</v>
      </c>
      <c r="B1" s="3563"/>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65" t="s">
        <v>2463</v>
      </c>
      <c r="C8" s="1824">
        <f ca="1">ROUND(F8*F10*F9*(1-F11)/10000,0)</f>
        <v>0</v>
      </c>
      <c r="D8" s="1821" t="s">
        <v>2534</v>
      </c>
      <c r="E8" s="61" t="s">
        <v>636</v>
      </c>
      <c r="F8" s="785">
        <f ca="1">INDIRECT("'数据-取费表'!u"&amp;$G$1)</f>
        <v>0</v>
      </c>
      <c r="G8" s="1591"/>
      <c r="H8" s="2482" t="s">
        <v>1824</v>
      </c>
      <c r="I8" s="3565" t="s">
        <v>2463</v>
      </c>
      <c r="J8" s="783">
        <f ca="1">ROUND(M8*M10*M9*(1-M11)/10000,0)</f>
        <v>0</v>
      </c>
      <c r="K8" s="341" t="s">
        <v>2534</v>
      </c>
      <c r="L8" s="784" t="s">
        <v>1738</v>
      </c>
      <c r="M8" s="785">
        <f ca="1">INDIRECT("'数据-取费表'!z"&amp;$G$1)</f>
        <v>0</v>
      </c>
    </row>
    <row r="9" spans="1:25" ht="18" customHeight="1">
      <c r="A9" s="2478"/>
      <c r="B9" s="3566"/>
      <c r="C9" s="1825"/>
      <c r="D9" s="1822"/>
      <c r="E9" s="61" t="s">
        <v>637</v>
      </c>
      <c r="F9" s="785">
        <f ca="1">IF(INDIRECT("'数据-取费表'!ah"&amp;$G$1)="",INDIRECT("'数据-取费表'!k"&amp;$G$1),INDIRECT("'数据-取费表'!ah"&amp;$G$1))</f>
        <v>0</v>
      </c>
      <c r="G9" s="1591"/>
      <c r="H9" s="2467"/>
      <c r="I9" s="3566"/>
      <c r="J9" s="788"/>
      <c r="K9" s="789"/>
      <c r="L9" s="784" t="s">
        <v>1739</v>
      </c>
      <c r="M9" s="785">
        <f ca="1">F9</f>
        <v>0</v>
      </c>
    </row>
    <row r="10" spans="1:25" ht="18" customHeight="1">
      <c r="A10" s="2471"/>
      <c r="B10" s="3567"/>
      <c r="C10" s="1825"/>
      <c r="D10" s="1822"/>
      <c r="E10" s="61" t="s">
        <v>638</v>
      </c>
      <c r="F10" s="785">
        <f ca="1">INDIRECT("'数据-取费表'!ai"&amp;$G$1)</f>
        <v>0</v>
      </c>
      <c r="G10" s="1591"/>
      <c r="H10" s="2467"/>
      <c r="I10" s="3567"/>
      <c r="J10" s="788"/>
      <c r="K10" s="789"/>
      <c r="L10" s="784" t="s">
        <v>1740</v>
      </c>
      <c r="M10" s="785">
        <f ca="1">INDIRECT("'数据-取费表'!ai"&amp;$G$1)</f>
        <v>0</v>
      </c>
    </row>
    <row r="11" spans="1:25" ht="18" customHeight="1">
      <c r="A11" s="786"/>
      <c r="B11" s="3568"/>
      <c r="C11" s="1825"/>
      <c r="D11" s="1822"/>
      <c r="E11" s="61" t="s">
        <v>639</v>
      </c>
      <c r="F11" s="794">
        <f ca="1">INDIRECT("'数据-取费表'!w"&amp;$G$1)</f>
        <v>0</v>
      </c>
      <c r="G11" s="1591"/>
      <c r="H11" s="2483"/>
      <c r="I11" s="3567"/>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64"/>
      <c r="J36" s="2078"/>
      <c r="K36" s="2079"/>
      <c r="L36" s="2078"/>
      <c r="M36" s="2078"/>
    </row>
    <row r="37" spans="1:18" ht="18" customHeight="1">
      <c r="A37" s="815"/>
      <c r="B37" s="793"/>
      <c r="C37" s="69"/>
      <c r="D37" s="816"/>
      <c r="E37" s="784" t="s">
        <v>673</v>
      </c>
      <c r="F37" s="785">
        <f ca="1">INDIRECT("'数据-取费表'!r"&amp;$G$1)</f>
        <v>0</v>
      </c>
      <c r="G37" s="2061"/>
      <c r="H37" s="2064"/>
      <c r="I37" s="3564"/>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69"/>
      <c r="L54" s="3570"/>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73" t="s">
        <v>2576</v>
      </c>
      <c r="C1" s="3573"/>
      <c r="D1" s="3573"/>
      <c r="E1" s="3573"/>
      <c r="F1" s="3573"/>
      <c r="G1" s="3572" t="s">
        <v>2577</v>
      </c>
      <c r="H1" s="3572"/>
      <c r="I1" s="3572"/>
      <c r="J1" s="3572"/>
      <c r="K1" s="3572"/>
      <c r="L1" s="3572"/>
      <c r="N1" s="3572" t="s">
        <v>2578</v>
      </c>
      <c r="O1" s="3572"/>
      <c r="P1" s="3572"/>
      <c r="Q1" s="3572"/>
      <c r="R1" s="2632"/>
      <c r="S1" s="3572" t="s">
        <v>2579</v>
      </c>
      <c r="T1" s="3572"/>
      <c r="U1" s="3572"/>
      <c r="V1" s="3572"/>
      <c r="X1" s="3571" t="s">
        <v>2639</v>
      </c>
      <c r="Y1" s="3572"/>
      <c r="Z1" s="3572"/>
      <c r="AA1" s="3572"/>
      <c r="AB1" s="3572"/>
      <c r="AD1" s="3571" t="s">
        <v>2643</v>
      </c>
      <c r="AE1" s="3572"/>
      <c r="AF1" s="3572"/>
      <c r="AG1" s="3572"/>
      <c r="AH1" s="3572"/>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75">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75"/>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75"/>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81"/>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80">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75"/>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75"/>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81"/>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80">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75"/>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75"/>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76"/>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74">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75"/>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75"/>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76"/>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74">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75"/>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75"/>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76"/>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77">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78"/>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78"/>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79"/>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74">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75"/>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75"/>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76"/>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74">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75">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75">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76">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74">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75">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75">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76">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74">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75">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75">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76">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74">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75">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75">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76">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74">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75">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75">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76">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74">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75">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75">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76">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74">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75">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75">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76">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74">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75">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75">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76">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74">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75">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75">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76">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74">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75">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75">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76">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65" t="s">
        <v>2463</v>
      </c>
      <c r="C6" s="783">
        <f ca="1">ROUND(F6*F8*F7*(1-F9)/10000,0)</f>
        <v>0</v>
      </c>
      <c r="D6" s="2475" t="s">
        <v>2462</v>
      </c>
      <c r="E6" s="784" t="s">
        <v>1738</v>
      </c>
      <c r="F6" s="785">
        <f ca="1">INDIRECT("'数据-取费表'!u"&amp;$G$1)</f>
        <v>0</v>
      </c>
      <c r="G6" s="1591"/>
      <c r="H6" s="2482" t="s">
        <v>2468</v>
      </c>
      <c r="I6" s="3565" t="s">
        <v>2463</v>
      </c>
      <c r="J6" s="783">
        <f ca="1">ROUND(M6*M8*M7*(1-M9)/10000,0)</f>
        <v>0</v>
      </c>
      <c r="K6" s="341" t="s">
        <v>1737</v>
      </c>
      <c r="L6" s="784" t="s">
        <v>1738</v>
      </c>
      <c r="M6" s="785">
        <f ca="1">INDIRECT("'数据-取费表'!z"&amp;$G$1)</f>
        <v>0</v>
      </c>
    </row>
    <row r="7" spans="1:33" ht="18" customHeight="1">
      <c r="A7" s="2478"/>
      <c r="B7" s="3566"/>
      <c r="C7" s="788"/>
      <c r="D7" s="789"/>
      <c r="E7" s="784" t="s">
        <v>1739</v>
      </c>
      <c r="F7" s="785">
        <f ca="1">IF(INDIRECT("'数据-取费表'!ah"&amp;$G$1)="",INDIRECT("'数据-取费表'!k"&amp;$G$1),INDIRECT("'数据-取费表'!ah"&amp;$G$1))</f>
        <v>0</v>
      </c>
      <c r="G7" s="1591"/>
      <c r="H7" s="2467"/>
      <c r="I7" s="3566"/>
      <c r="J7" s="788"/>
      <c r="K7" s="789"/>
      <c r="L7" s="784" t="s">
        <v>1739</v>
      </c>
      <c r="M7" s="785">
        <f ca="1">F7</f>
        <v>0</v>
      </c>
    </row>
    <row r="8" spans="1:33" ht="18" customHeight="1">
      <c r="A8" s="2471"/>
      <c r="B8" s="3567"/>
      <c r="C8" s="788"/>
      <c r="D8" s="789"/>
      <c r="E8" s="784" t="s">
        <v>1740</v>
      </c>
      <c r="F8" s="785">
        <f ca="1">INDIRECT("'数据-取费表'!ai"&amp;$G$1)</f>
        <v>0</v>
      </c>
      <c r="G8" s="1591"/>
      <c r="H8" s="2467"/>
      <c r="I8" s="3567"/>
      <c r="J8" s="788"/>
      <c r="K8" s="789"/>
      <c r="L8" s="784" t="s">
        <v>1740</v>
      </c>
      <c r="M8" s="785">
        <f ca="1">INDIRECT("'数据-取费表'!ai"&amp;$G$1)</f>
        <v>0</v>
      </c>
    </row>
    <row r="9" spans="1:33" ht="18" customHeight="1">
      <c r="A9" s="786"/>
      <c r="B9" s="3568"/>
      <c r="C9" s="788"/>
      <c r="D9" s="789"/>
      <c r="E9" s="784" t="s">
        <v>1741</v>
      </c>
      <c r="F9" s="794">
        <f ca="1">INDIRECT("'数据-取费表'!w"&amp;$G$1)</f>
        <v>0</v>
      </c>
      <c r="G9" s="1591"/>
      <c r="H9" s="2483"/>
      <c r="I9" s="3567"/>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82" t="s">
        <v>2962</v>
      </c>
      <c r="L53" s="3583"/>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0" t="s">
        <v>2471</v>
      </c>
      <c r="B1" s="3601"/>
      <c r="C1" s="3602"/>
      <c r="D1" s="3603">
        <f>SUM(I10,I15,I20,I21,I23)</f>
        <v>0</v>
      </c>
      <c r="E1" s="3603"/>
      <c r="F1" s="3603"/>
      <c r="G1" s="3603"/>
      <c r="H1" s="3603"/>
      <c r="I1" s="3604"/>
    </row>
    <row r="2" spans="1:9">
      <c r="A2" s="3590" t="s">
        <v>2472</v>
      </c>
      <c r="B2" s="3591" t="s">
        <v>2473</v>
      </c>
      <c r="C2" s="3591"/>
      <c r="D2" s="2485" t="s">
        <v>2474</v>
      </c>
      <c r="E2" s="2485" t="s">
        <v>2475</v>
      </c>
      <c r="F2" s="2485" t="s">
        <v>2476</v>
      </c>
      <c r="G2" s="2485" t="s">
        <v>2477</v>
      </c>
      <c r="H2" s="2485" t="s">
        <v>2478</v>
      </c>
      <c r="I2" s="2486" t="s">
        <v>2479</v>
      </c>
    </row>
    <row r="3" spans="1:9">
      <c r="A3" s="3590"/>
      <c r="B3" s="3591" t="s">
        <v>2480</v>
      </c>
      <c r="C3" s="3591"/>
      <c r="D3" s="2487"/>
      <c r="E3" s="2485"/>
      <c r="F3" s="2488"/>
      <c r="G3" s="2488"/>
      <c r="H3" s="2489"/>
      <c r="I3" s="2490">
        <f>ROUND(D3*E3*F3*G3*H3/10000,0)</f>
        <v>0</v>
      </c>
    </row>
    <row r="4" spans="1:9">
      <c r="A4" s="3590"/>
      <c r="B4" s="3591" t="s">
        <v>2481</v>
      </c>
      <c r="C4" s="3591"/>
      <c r="D4" s="2487"/>
      <c r="E4" s="2485"/>
      <c r="F4" s="2488"/>
      <c r="G4" s="2488"/>
      <c r="H4" s="2489"/>
      <c r="I4" s="2490">
        <f t="shared" ref="I4:I9" si="0">ROUND(D4*E4*F4*G4*H4/10000,0)</f>
        <v>0</v>
      </c>
    </row>
    <row r="5" spans="1:9">
      <c r="A5" s="3590"/>
      <c r="B5" s="3591" t="s">
        <v>2482</v>
      </c>
      <c r="C5" s="3591"/>
      <c r="D5" s="2487"/>
      <c r="E5" s="2485"/>
      <c r="F5" s="2488"/>
      <c r="G5" s="2488"/>
      <c r="H5" s="2489"/>
      <c r="I5" s="2490">
        <f t="shared" si="0"/>
        <v>0</v>
      </c>
    </row>
    <row r="6" spans="1:9">
      <c r="A6" s="3590"/>
      <c r="B6" s="3591" t="s">
        <v>2483</v>
      </c>
      <c r="C6" s="3591"/>
      <c r="D6" s="2487"/>
      <c r="E6" s="2485"/>
      <c r="F6" s="2488"/>
      <c r="G6" s="2488"/>
      <c r="H6" s="2489"/>
      <c r="I6" s="2490">
        <f t="shared" si="0"/>
        <v>0</v>
      </c>
    </row>
    <row r="7" spans="1:9">
      <c r="A7" s="3590"/>
      <c r="B7" s="3591" t="s">
        <v>2484</v>
      </c>
      <c r="C7" s="3591"/>
      <c r="D7" s="2487"/>
      <c r="E7" s="2485"/>
      <c r="F7" s="2488"/>
      <c r="G7" s="2488"/>
      <c r="H7" s="2489"/>
      <c r="I7" s="2490">
        <f t="shared" si="0"/>
        <v>0</v>
      </c>
    </row>
    <row r="8" spans="1:9">
      <c r="A8" s="3590"/>
      <c r="B8" s="3591" t="s">
        <v>2485</v>
      </c>
      <c r="C8" s="3591"/>
      <c r="D8" s="2487"/>
      <c r="E8" s="2485"/>
      <c r="F8" s="2488"/>
      <c r="G8" s="2488"/>
      <c r="H8" s="2489"/>
      <c r="I8" s="2490">
        <f t="shared" si="0"/>
        <v>0</v>
      </c>
    </row>
    <row r="9" spans="1:9">
      <c r="A9" s="3590"/>
      <c r="B9" s="3591" t="s">
        <v>2486</v>
      </c>
      <c r="C9" s="3591"/>
      <c r="D9" s="2487"/>
      <c r="E9" s="2485"/>
      <c r="F9" s="2488"/>
      <c r="G9" s="2488"/>
      <c r="H9" s="2489"/>
      <c r="I9" s="2490">
        <f t="shared" si="0"/>
        <v>0</v>
      </c>
    </row>
    <row r="10" spans="1:9">
      <c r="A10" s="3590"/>
      <c r="B10" s="3592" t="s">
        <v>2487</v>
      </c>
      <c r="C10" s="3592"/>
      <c r="D10" s="2491">
        <v>527</v>
      </c>
      <c r="E10" s="2491" t="e">
        <f>ROUND(D1*10000/D10/H9,0)</f>
        <v>#DIV/0!</v>
      </c>
      <c r="F10" s="2492"/>
      <c r="G10" s="2492"/>
      <c r="H10" s="2493"/>
      <c r="I10" s="2494">
        <f>SUM(I3:I9)</f>
        <v>0</v>
      </c>
    </row>
    <row r="11" spans="1:9" ht="14.25">
      <c r="A11" s="3590" t="s">
        <v>2488</v>
      </c>
      <c r="B11" s="3591" t="s">
        <v>2489</v>
      </c>
      <c r="C11" s="3591"/>
      <c r="D11" s="2487" t="s">
        <v>2490</v>
      </c>
      <c r="E11" s="2487" t="s">
        <v>2491</v>
      </c>
      <c r="F11" s="2488" t="s">
        <v>2492</v>
      </c>
      <c r="G11" s="2488" t="s">
        <v>2493</v>
      </c>
      <c r="H11" s="2495" t="s">
        <v>2494</v>
      </c>
      <c r="I11" s="2486" t="s">
        <v>2495</v>
      </c>
    </row>
    <row r="12" spans="1:9">
      <c r="A12" s="3590"/>
      <c r="B12" s="3591" t="s">
        <v>2496</v>
      </c>
      <c r="C12" s="3591"/>
      <c r="D12" s="2487"/>
      <c r="E12" s="2487"/>
      <c r="F12" s="2488"/>
      <c r="G12" s="2489"/>
      <c r="H12" s="2496"/>
      <c r="I12" s="2486">
        <f>ROUND(D12*E12*F12*G12/10000,0)</f>
        <v>0</v>
      </c>
    </row>
    <row r="13" spans="1:9">
      <c r="A13" s="3590"/>
      <c r="B13" s="3591" t="s">
        <v>2497</v>
      </c>
      <c r="C13" s="3591"/>
      <c r="D13" s="2487"/>
      <c r="E13" s="2487"/>
      <c r="F13" s="2488"/>
      <c r="G13" s="2489"/>
      <c r="H13" s="2496"/>
      <c r="I13" s="2486">
        <f>ROUND(D13*E13*F13*G13/10000,0)</f>
        <v>0</v>
      </c>
    </row>
    <row r="14" spans="1:9">
      <c r="A14" s="3590"/>
      <c r="B14" s="3591" t="s">
        <v>2498</v>
      </c>
      <c r="C14" s="3591"/>
      <c r="D14" s="2487"/>
      <c r="E14" s="2487"/>
      <c r="F14" s="2488"/>
      <c r="G14" s="2489"/>
      <c r="H14" s="2496"/>
      <c r="I14" s="2486">
        <f>ROUND(D14*E14*F14*G14/10000,0)</f>
        <v>0</v>
      </c>
    </row>
    <row r="15" spans="1:9">
      <c r="A15" s="3590"/>
      <c r="B15" s="3592" t="s">
        <v>2487</v>
      </c>
      <c r="C15" s="3592"/>
      <c r="D15" s="2491"/>
      <c r="E15" s="2491">
        <f>SUM(E12:E14)</f>
        <v>0</v>
      </c>
      <c r="F15" s="2492"/>
      <c r="G15" s="2489"/>
      <c r="H15" s="2496"/>
      <c r="I15" s="2497">
        <f>SUM(I12:I14)</f>
        <v>0</v>
      </c>
    </row>
    <row r="16" spans="1:9" ht="24">
      <c r="A16" s="3590" t="s">
        <v>2499</v>
      </c>
      <c r="B16" s="3591" t="s">
        <v>2500</v>
      </c>
      <c r="C16" s="3591"/>
      <c r="D16" s="2487" t="s">
        <v>2501</v>
      </c>
      <c r="E16" s="2498" t="s">
        <v>2502</v>
      </c>
      <c r="F16" s="2488" t="s">
        <v>2503</v>
      </c>
      <c r="G16" s="2489" t="s">
        <v>2493</v>
      </c>
      <c r="H16" s="2495" t="s">
        <v>2494</v>
      </c>
      <c r="I16" s="2486" t="s">
        <v>2495</v>
      </c>
    </row>
    <row r="17" spans="1:9" ht="14.25">
      <c r="A17" s="3590"/>
      <c r="B17" s="3591" t="s">
        <v>2504</v>
      </c>
      <c r="C17" s="3591"/>
      <c r="D17" s="2487"/>
      <c r="E17" s="2487"/>
      <c r="F17" s="2488"/>
      <c r="G17" s="2489"/>
      <c r="H17" s="2499"/>
      <c r="I17" s="2500">
        <f>ROUND(D17*E17*F17*G17/10000,0)</f>
        <v>0</v>
      </c>
    </row>
    <row r="18" spans="1:9" ht="14.25">
      <c r="A18" s="3590"/>
      <c r="B18" s="3591" t="s">
        <v>2505</v>
      </c>
      <c r="C18" s="3591"/>
      <c r="D18" s="2487"/>
      <c r="E18" s="2487"/>
      <c r="F18" s="2488"/>
      <c r="G18" s="2489"/>
      <c r="H18" s="2499"/>
      <c r="I18" s="2500">
        <f>ROUND(D18*E18*F18*G18/10000,0)</f>
        <v>0</v>
      </c>
    </row>
    <row r="19" spans="1:9" ht="14.25">
      <c r="A19" s="3590"/>
      <c r="B19" s="3591" t="s">
        <v>2506</v>
      </c>
      <c r="C19" s="3591"/>
      <c r="D19" s="2487"/>
      <c r="E19" s="2487"/>
      <c r="F19" s="2488"/>
      <c r="G19" s="2489"/>
      <c r="H19" s="2499"/>
      <c r="I19" s="2500">
        <f>ROUND(D19*E19*F19*G19/10000,0)</f>
        <v>0</v>
      </c>
    </row>
    <row r="20" spans="1:9">
      <c r="A20" s="3590"/>
      <c r="B20" s="3592" t="s">
        <v>2487</v>
      </c>
      <c r="C20" s="3592"/>
      <c r="D20" s="2491">
        <f>SUM(D17:D19)</f>
        <v>0</v>
      </c>
      <c r="E20" s="2491"/>
      <c r="F20" s="2492"/>
      <c r="G20" s="2489"/>
      <c r="H20" s="2496"/>
      <c r="I20" s="2497">
        <f>SUM(I17:I19)</f>
        <v>0</v>
      </c>
    </row>
    <row r="21" spans="1:9">
      <c r="A21" s="3590" t="s">
        <v>2507</v>
      </c>
      <c r="B21" s="3593"/>
      <c r="C21" s="3593"/>
      <c r="D21" s="3593"/>
      <c r="E21" s="3593"/>
      <c r="F21" s="3593"/>
      <c r="G21" s="3593"/>
      <c r="H21" s="2501">
        <v>0.1</v>
      </c>
      <c r="I21" s="2494">
        <f>ROUND(I10*H21,0)</f>
        <v>0</v>
      </c>
    </row>
    <row r="22" spans="1:9" ht="14.25">
      <c r="A22" s="3594" t="s">
        <v>2508</v>
      </c>
      <c r="B22" s="3595"/>
      <c r="C22" s="3596"/>
      <c r="D22" s="2502" t="s">
        <v>2509</v>
      </c>
      <c r="E22" s="2502" t="s">
        <v>2510</v>
      </c>
      <c r="F22" s="2503" t="s">
        <v>2511</v>
      </c>
      <c r="G22" s="2503" t="s">
        <v>2512</v>
      </c>
      <c r="H22" s="2495" t="s">
        <v>2513</v>
      </c>
      <c r="I22" s="2486" t="s">
        <v>2514</v>
      </c>
    </row>
    <row r="23" spans="1:9" ht="14.25" thickBot="1">
      <c r="A23" s="3597"/>
      <c r="B23" s="3598"/>
      <c r="C23" s="3599"/>
      <c r="D23" s="2504"/>
      <c r="E23" s="2504"/>
      <c r="F23" s="2504"/>
      <c r="G23" s="2505"/>
      <c r="H23" s="2506"/>
      <c r="I23" s="2507">
        <f>ROUND(E23*D23*F23*(1-G23)/10000,0)</f>
        <v>0</v>
      </c>
    </row>
    <row r="26" spans="1:9">
      <c r="A26" s="2508" t="s">
        <v>2515</v>
      </c>
      <c r="B26" s="2508"/>
      <c r="C26" s="2508"/>
      <c r="D26" s="2508"/>
      <c r="E26" s="3587">
        <f>C27-C30-C31-C32</f>
        <v>0</v>
      </c>
      <c r="F26" s="3587"/>
      <c r="G26" s="3587"/>
      <c r="H26" s="3018" t="s">
        <v>2842</v>
      </c>
    </row>
    <row r="27" spans="1:9">
      <c r="A27" s="2509">
        <v>1</v>
      </c>
      <c r="B27" s="2510" t="s">
        <v>2516</v>
      </c>
      <c r="C27" s="2510"/>
      <c r="D27" s="2510"/>
      <c r="E27" s="3588"/>
      <c r="F27" s="3588"/>
      <c r="G27" s="3588"/>
    </row>
    <row r="28" spans="1:9">
      <c r="A28" s="2511" t="s">
        <v>2517</v>
      </c>
      <c r="B28" s="2510" t="s">
        <v>2518</v>
      </c>
      <c r="C28" s="2510"/>
      <c r="D28" s="2510"/>
      <c r="E28" s="3588"/>
      <c r="F28" s="3588"/>
      <c r="G28" s="3588"/>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89"/>
      <c r="F32" s="3589"/>
      <c r="G32" s="3589"/>
    </row>
    <row r="33" spans="1:7" hidden="1">
      <c r="A33" s="3584" t="s">
        <v>2526</v>
      </c>
      <c r="B33" s="3585"/>
      <c r="C33" s="3585"/>
      <c r="D33" s="3586"/>
      <c r="E33" s="3587"/>
      <c r="F33" s="3587"/>
      <c r="G33" s="3587"/>
    </row>
    <row r="34" spans="1:7" hidden="1">
      <c r="A34" s="2513">
        <v>1</v>
      </c>
      <c r="B34" s="2510" t="s">
        <v>2527</v>
      </c>
      <c r="C34" s="2510"/>
      <c r="D34" s="2510"/>
      <c r="E34" s="3588"/>
      <c r="F34" s="3588"/>
      <c r="G34" s="3588"/>
    </row>
    <row r="35" spans="1:7" hidden="1">
      <c r="A35" s="2513">
        <v>2</v>
      </c>
      <c r="B35" s="2510" t="s">
        <v>2528</v>
      </c>
      <c r="C35" s="2510"/>
      <c r="D35" s="2510"/>
      <c r="E35" s="3588"/>
      <c r="F35" s="3588"/>
      <c r="G35" s="3588"/>
    </row>
    <row r="36" spans="1:7" hidden="1">
      <c r="A36" s="2513">
        <v>3</v>
      </c>
      <c r="B36" s="2510" t="s">
        <v>2529</v>
      </c>
      <c r="C36" s="2510"/>
      <c r="D36" s="2510"/>
      <c r="E36" s="3588"/>
      <c r="F36" s="3588"/>
      <c r="G36" s="3588"/>
    </row>
    <row r="37" spans="1:7" hidden="1">
      <c r="A37" s="2513">
        <v>4</v>
      </c>
      <c r="B37" s="2510" t="s">
        <v>2530</v>
      </c>
      <c r="C37" s="2510"/>
      <c r="D37" s="2510"/>
      <c r="E37" s="3588"/>
      <c r="F37" s="3588"/>
      <c r="G37" s="3588"/>
    </row>
    <row r="38" spans="1:7" hidden="1">
      <c r="A38" s="3584" t="s">
        <v>2531</v>
      </c>
      <c r="B38" s="3585"/>
      <c r="C38" s="3585"/>
      <c r="D38" s="3586"/>
      <c r="E38" s="3587"/>
      <c r="F38" s="3587"/>
      <c r="G38" s="35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0.877</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28113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18224</v>
      </c>
      <c r="C3" s="2103"/>
      <c r="D3" s="2103"/>
      <c r="E3" s="2103"/>
      <c r="F3" s="2103"/>
      <c r="G3" s="2103"/>
      <c r="H3" s="2103"/>
      <c r="I3" s="2103"/>
      <c r="J3" s="2103"/>
      <c r="K3" s="2103"/>
    </row>
    <row r="4" spans="1:31" s="2040" customFormat="1" ht="18" customHeight="1">
      <c r="A4" s="426" t="s">
        <v>467</v>
      </c>
      <c r="B4" s="427">
        <f ca="1">ROUND(B2*10000/IF(B1="",'数据-汇总表'!D3,INDIRECT("'数据-取费表'!R"&amp;$K$1)),0)</f>
        <v>29139</v>
      </c>
      <c r="C4" s="428"/>
      <c r="D4" s="422"/>
      <c r="E4" s="422"/>
      <c r="F4" s="422"/>
      <c r="G4" s="422"/>
      <c r="H4" s="422"/>
      <c r="I4" s="422"/>
      <c r="J4" s="422"/>
      <c r="K4" s="422"/>
    </row>
    <row r="5" spans="1:31" s="2040" customFormat="1" ht="18" customHeight="1" thickBot="1">
      <c r="A5" s="429"/>
      <c r="B5" s="430">
        <f ca="1">ROUND(B2/(IF(B1="",'数据-汇总表'!D3,INDIRECT("'数据-取费表'!R"&amp;$K$1))/666.67),0)</f>
        <v>1943</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103</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965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8773</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8773</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1860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1860</v>
      </c>
      <c r="D35" s="1628"/>
      <c r="E35" s="2841"/>
      <c r="F35" s="1629"/>
      <c r="G35" s="2799"/>
      <c r="H35" s="2800"/>
      <c r="I35" s="2800"/>
      <c r="J35" s="2800"/>
      <c r="K35" s="2801"/>
    </row>
    <row r="36" spans="1:11" s="2084" customFormat="1" ht="13.5" customHeight="1" thickBot="1">
      <c r="A36" s="284" t="s">
        <v>1844</v>
      </c>
      <c r="B36" s="2803"/>
      <c r="C36" s="2842">
        <f ca="1">ROUND((C6-C30-C33)/(1+D30+D33),0)</f>
        <v>28113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26" zoomScale="80" zoomScaleNormal="80" workbookViewId="0">
      <selection activeCell="K42" sqref="K4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27" t="s">
        <v>521</v>
      </c>
      <c r="D4" s="3528"/>
      <c r="E4" s="3551" t="s">
        <v>522</v>
      </c>
      <c r="F4" s="3552"/>
      <c r="G4" s="3527" t="s">
        <v>523</v>
      </c>
      <c r="H4" s="3528"/>
      <c r="I4" s="3527" t="s">
        <v>524</v>
      </c>
      <c r="J4" s="3528"/>
      <c r="K4" s="853" t="s">
        <v>525</v>
      </c>
      <c r="L4" s="2132"/>
      <c r="M4" s="2133"/>
      <c r="N4" s="2133"/>
      <c r="O4" s="2133"/>
      <c r="P4" s="3529" t="s">
        <v>526</v>
      </c>
      <c r="Q4" s="3530"/>
      <c r="R4" s="3515" t="s">
        <v>522</v>
      </c>
      <c r="S4" s="3516"/>
      <c r="T4" s="3515" t="s">
        <v>523</v>
      </c>
      <c r="U4" s="3516"/>
      <c r="V4" s="3535" t="s">
        <v>524</v>
      </c>
      <c r="W4" s="3535"/>
      <c r="X4" s="1566"/>
      <c r="Y4" s="3515" t="s">
        <v>526</v>
      </c>
      <c r="Z4" s="3516"/>
      <c r="AA4" s="3510" t="s">
        <v>522</v>
      </c>
      <c r="AB4" s="3510" t="s">
        <v>523</v>
      </c>
      <c r="AC4" s="3510" t="s">
        <v>524</v>
      </c>
    </row>
    <row r="5" spans="1:29" ht="36.75" customHeight="1">
      <c r="A5" s="515"/>
      <c r="B5" s="516"/>
      <c r="C5" s="3606" t="s">
        <v>3027</v>
      </c>
      <c r="D5" s="3539"/>
      <c r="E5" s="3605" t="s">
        <v>3028</v>
      </c>
      <c r="F5" s="3554"/>
      <c r="G5" s="3605" t="s">
        <v>3028</v>
      </c>
      <c r="H5" s="3554"/>
      <c r="I5" s="3605" t="s">
        <v>3028</v>
      </c>
      <c r="J5" s="3554"/>
      <c r="K5" s="854"/>
      <c r="L5" s="2132"/>
      <c r="M5" s="2133"/>
      <c r="N5" s="2133"/>
      <c r="O5" s="2133"/>
      <c r="P5" s="3531"/>
      <c r="Q5" s="3532"/>
      <c r="R5" s="3517"/>
      <c r="S5" s="3518"/>
      <c r="T5" s="3517"/>
      <c r="U5" s="3518"/>
      <c r="V5" s="3535"/>
      <c r="W5" s="3535"/>
      <c r="X5" s="1566"/>
      <c r="Y5" s="3517"/>
      <c r="Z5" s="3518"/>
      <c r="AA5" s="3511"/>
      <c r="AB5" s="3511"/>
      <c r="AC5" s="3511"/>
    </row>
    <row r="6" spans="1:29" ht="15.75" thickBot="1">
      <c r="A6" s="517"/>
      <c r="B6" s="518"/>
      <c r="C6" s="3536" t="s">
        <v>2929</v>
      </c>
      <c r="D6" s="3537"/>
      <c r="E6" s="3555" t="s">
        <v>2929</v>
      </c>
      <c r="F6" s="3556"/>
      <c r="G6" s="3536" t="s">
        <v>2929</v>
      </c>
      <c r="H6" s="3537"/>
      <c r="I6" s="3536" t="s">
        <v>2929</v>
      </c>
      <c r="J6" s="3537"/>
      <c r="K6" s="854" t="s">
        <v>527</v>
      </c>
      <c r="L6" s="2132"/>
      <c r="M6" s="2133"/>
      <c r="N6" s="2133"/>
      <c r="O6" s="2133"/>
      <c r="P6" s="3533"/>
      <c r="Q6" s="3534"/>
      <c r="R6" s="3517"/>
      <c r="S6" s="3518"/>
      <c r="T6" s="3519"/>
      <c r="U6" s="3520"/>
      <c r="V6" s="3535"/>
      <c r="W6" s="3535"/>
      <c r="X6" s="1566"/>
      <c r="Y6" s="3519"/>
      <c r="Z6" s="3520"/>
      <c r="AA6" s="3512"/>
      <c r="AB6" s="3512"/>
      <c r="AC6" s="3512"/>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513" t="s">
        <v>529</v>
      </c>
      <c r="Q7" s="3522"/>
      <c r="R7" s="1567" t="s">
        <v>13</v>
      </c>
      <c r="S7" s="1568">
        <f t="shared" ref="S7:S15" si="0">F7</f>
        <v>100</v>
      </c>
      <c r="T7" s="1567" t="s">
        <v>13</v>
      </c>
      <c r="U7" s="1568">
        <f t="shared" ref="U7:U15" si="1">H7</f>
        <v>99.8</v>
      </c>
      <c r="V7" s="1567" t="s">
        <v>13</v>
      </c>
      <c r="W7" s="1568">
        <f t="shared" ref="W7:W15" si="2">J7</f>
        <v>100</v>
      </c>
      <c r="X7" s="1569"/>
      <c r="Y7" s="3513" t="s">
        <v>529</v>
      </c>
      <c r="Z7" s="3514"/>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513" t="s">
        <v>532</v>
      </c>
      <c r="Q8" s="3514"/>
      <c r="R8" s="1567" t="s">
        <v>13</v>
      </c>
      <c r="S8" s="1568">
        <f t="shared" si="0"/>
        <v>100</v>
      </c>
      <c r="T8" s="1567" t="s">
        <v>13</v>
      </c>
      <c r="U8" s="1568">
        <f t="shared" si="1"/>
        <v>100</v>
      </c>
      <c r="V8" s="1567" t="s">
        <v>13</v>
      </c>
      <c r="W8" s="1568">
        <f t="shared" si="2"/>
        <v>100</v>
      </c>
      <c r="X8" s="1569"/>
      <c r="Y8" s="3513" t="s">
        <v>532</v>
      </c>
      <c r="Z8" s="3514"/>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21" t="s">
        <v>534</v>
      </c>
      <c r="Q9" s="1150" t="str">
        <f t="shared" ref="Q9:Q15" si="6">B9</f>
        <v>用途</v>
      </c>
      <c r="R9" s="1567" t="s">
        <v>8</v>
      </c>
      <c r="S9" s="1568">
        <f t="shared" si="0"/>
        <v>100</v>
      </c>
      <c r="T9" s="1567" t="s">
        <v>8</v>
      </c>
      <c r="U9" s="1568">
        <f t="shared" si="1"/>
        <v>100</v>
      </c>
      <c r="V9" s="1567" t="s">
        <v>8</v>
      </c>
      <c r="W9" s="1568">
        <f t="shared" si="2"/>
        <v>100</v>
      </c>
      <c r="X9" s="1569"/>
      <c r="Y9" s="3408" t="s">
        <v>535</v>
      </c>
      <c r="Z9" s="1149" t="str">
        <f t="shared" ref="Z9:Z15" si="7">Q9</f>
        <v>用途</v>
      </c>
      <c r="AA9" s="1570">
        <f t="shared" si="3"/>
        <v>1</v>
      </c>
      <c r="AB9" s="1570">
        <f t="shared" si="4"/>
        <v>1</v>
      </c>
      <c r="AC9" s="1570">
        <f t="shared" si="5"/>
        <v>1</v>
      </c>
    </row>
    <row r="10" spans="1:29" s="1337" customFormat="1" ht="27.75" thickBot="1">
      <c r="A10" s="2892"/>
      <c r="B10" s="2897" t="s">
        <v>2757</v>
      </c>
      <c r="C10" s="3224"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21"/>
      <c r="Q10" s="1150" t="str">
        <f t="shared" si="6"/>
        <v>土地使用年限（年）</v>
      </c>
      <c r="R10" s="1567" t="s">
        <v>8</v>
      </c>
      <c r="S10" s="1568">
        <f t="shared" si="0"/>
        <v>100</v>
      </c>
      <c r="T10" s="1567" t="s">
        <v>8</v>
      </c>
      <c r="U10" s="1568">
        <f t="shared" si="1"/>
        <v>100</v>
      </c>
      <c r="V10" s="1567" t="s">
        <v>8</v>
      </c>
      <c r="W10" s="1568">
        <f t="shared" si="2"/>
        <v>100</v>
      </c>
      <c r="X10" s="1569"/>
      <c r="Y10" s="3408"/>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21"/>
      <c r="Q11" s="1150" t="str">
        <f t="shared" si="6"/>
        <v>容积率</v>
      </c>
      <c r="R11" s="1567" t="s">
        <v>11</v>
      </c>
      <c r="S11" s="1568">
        <f t="shared" si="0"/>
        <v>100</v>
      </c>
      <c r="T11" s="1567" t="s">
        <v>11</v>
      </c>
      <c r="U11" s="1568">
        <f t="shared" si="1"/>
        <v>100</v>
      </c>
      <c r="V11" s="1567" t="s">
        <v>11</v>
      </c>
      <c r="W11" s="1568">
        <f t="shared" si="2"/>
        <v>100</v>
      </c>
      <c r="X11" s="1569"/>
      <c r="Y11" s="3408"/>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21"/>
      <c r="Q12" s="1150">
        <f t="shared" si="6"/>
        <v>111</v>
      </c>
      <c r="R12" s="1567" t="s">
        <v>11</v>
      </c>
      <c r="S12" s="1568">
        <f t="shared" si="0"/>
        <v>100</v>
      </c>
      <c r="T12" s="1567" t="s">
        <v>11</v>
      </c>
      <c r="U12" s="1568">
        <f t="shared" si="1"/>
        <v>100</v>
      </c>
      <c r="V12" s="1567" t="s">
        <v>11</v>
      </c>
      <c r="W12" s="1568">
        <f t="shared" si="2"/>
        <v>100</v>
      </c>
      <c r="X12" s="1569"/>
      <c r="Y12" s="3408"/>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21"/>
      <c r="Q13" s="1150">
        <f t="shared" si="6"/>
        <v>111</v>
      </c>
      <c r="R13" s="1567" t="s">
        <v>11</v>
      </c>
      <c r="S13" s="1568">
        <f t="shared" si="0"/>
        <v>100</v>
      </c>
      <c r="T13" s="1567" t="s">
        <v>11</v>
      </c>
      <c r="U13" s="1568">
        <f t="shared" si="1"/>
        <v>100</v>
      </c>
      <c r="V13" s="1567" t="s">
        <v>11</v>
      </c>
      <c r="W13" s="1568">
        <f t="shared" si="2"/>
        <v>100</v>
      </c>
      <c r="X13" s="1569"/>
      <c r="Y13" s="3408"/>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21"/>
      <c r="Q14" s="1150">
        <f t="shared" si="6"/>
        <v>111</v>
      </c>
      <c r="R14" s="1567" t="s">
        <v>11</v>
      </c>
      <c r="S14" s="1568">
        <f t="shared" si="0"/>
        <v>100</v>
      </c>
      <c r="T14" s="1567" t="s">
        <v>11</v>
      </c>
      <c r="U14" s="1568">
        <f t="shared" si="1"/>
        <v>100</v>
      </c>
      <c r="V14" s="1567" t="s">
        <v>11</v>
      </c>
      <c r="W14" s="1568">
        <f t="shared" si="2"/>
        <v>100</v>
      </c>
      <c r="X14" s="1569"/>
      <c r="Y14" s="3408"/>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523" t="s">
        <v>539</v>
      </c>
      <c r="Q15" s="1571" t="str">
        <f t="shared" si="6"/>
        <v>居住社区成熟度</v>
      </c>
      <c r="R15" s="1572" t="s">
        <v>11</v>
      </c>
      <c r="S15" s="1573">
        <f t="shared" si="0"/>
        <v>100</v>
      </c>
      <c r="T15" s="1572" t="s">
        <v>11</v>
      </c>
      <c r="U15" s="1573">
        <f t="shared" si="1"/>
        <v>100</v>
      </c>
      <c r="V15" s="1572" t="s">
        <v>11</v>
      </c>
      <c r="W15" s="1573">
        <f t="shared" si="2"/>
        <v>100</v>
      </c>
      <c r="X15" s="1566"/>
      <c r="Y15" s="3523"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524"/>
      <c r="Q16" s="1571"/>
      <c r="R16" s="1572"/>
      <c r="S16" s="1573"/>
      <c r="T16" s="1572"/>
      <c r="U16" s="1573"/>
      <c r="V16" s="1572"/>
      <c r="W16" s="1573"/>
      <c r="X16" s="1566"/>
      <c r="Y16" s="3524"/>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524"/>
      <c r="Q17" s="1571" t="str">
        <f>B17</f>
        <v>交通便捷度</v>
      </c>
      <c r="R17" s="1572" t="s">
        <v>11</v>
      </c>
      <c r="S17" s="1573">
        <f>F17</f>
        <v>100</v>
      </c>
      <c r="T17" s="1572" t="s">
        <v>11</v>
      </c>
      <c r="U17" s="1573">
        <f>H17</f>
        <v>100</v>
      </c>
      <c r="V17" s="1572" t="s">
        <v>11</v>
      </c>
      <c r="W17" s="1573">
        <f>J17</f>
        <v>100</v>
      </c>
      <c r="X17" s="1566"/>
      <c r="Y17" s="3524"/>
      <c r="Z17" s="1574" t="str">
        <f>Q17</f>
        <v>交通便捷度</v>
      </c>
      <c r="AA17" s="1575">
        <f t="shared" si="3"/>
        <v>1</v>
      </c>
      <c r="AB17" s="1575">
        <f t="shared" si="4"/>
        <v>1</v>
      </c>
      <c r="AC17" s="1575">
        <f t="shared" si="5"/>
        <v>1</v>
      </c>
    </row>
    <row r="18" spans="1:29" ht="15">
      <c r="A18" s="532"/>
      <c r="B18" s="595"/>
      <c r="C18" s="3248" t="s">
        <v>3032</v>
      </c>
      <c r="D18" s="559"/>
      <c r="E18" s="568" t="s">
        <v>3032</v>
      </c>
      <c r="F18" s="563"/>
      <c r="G18" s="569" t="s">
        <v>3032</v>
      </c>
      <c r="H18" s="555"/>
      <c r="I18" s="568" t="s">
        <v>3032</v>
      </c>
      <c r="J18" s="555"/>
      <c r="K18" s="870"/>
      <c r="L18" s="2141"/>
      <c r="M18" s="2133"/>
      <c r="N18" s="2133"/>
      <c r="O18" s="2140"/>
      <c r="P18" s="3524"/>
      <c r="Q18" s="1571"/>
      <c r="R18" s="1572"/>
      <c r="S18" s="1573"/>
      <c r="T18" s="1572"/>
      <c r="U18" s="1573"/>
      <c r="V18" s="1572"/>
      <c r="W18" s="1573"/>
      <c r="X18" s="1566"/>
      <c r="Y18" s="3524"/>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524"/>
      <c r="Q19" s="1571" t="str">
        <f>B19</f>
        <v>公共配套设施</v>
      </c>
      <c r="R19" s="1572" t="s">
        <v>11</v>
      </c>
      <c r="S19" s="1573">
        <f>F19</f>
        <v>100</v>
      </c>
      <c r="T19" s="1572" t="s">
        <v>11</v>
      </c>
      <c r="U19" s="1573">
        <f>H19</f>
        <v>100</v>
      </c>
      <c r="V19" s="1572" t="s">
        <v>11</v>
      </c>
      <c r="W19" s="1573">
        <f>J19</f>
        <v>100</v>
      </c>
      <c r="X19" s="1566"/>
      <c r="Y19" s="3524"/>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524"/>
      <c r="Q20" s="1571"/>
      <c r="R20" s="1572"/>
      <c r="S20" s="1573"/>
      <c r="T20" s="1572"/>
      <c r="U20" s="1573"/>
      <c r="V20" s="1572"/>
      <c r="W20" s="1573"/>
      <c r="X20" s="1566"/>
      <c r="Y20" s="3524"/>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524"/>
      <c r="Q21" s="2557" t="str">
        <f>B21</f>
        <v>基础设施水平</v>
      </c>
      <c r="R21" s="1572" t="s">
        <v>11</v>
      </c>
      <c r="S21" s="1573">
        <f>F21</f>
        <v>100</v>
      </c>
      <c r="T21" s="1572" t="s">
        <v>11</v>
      </c>
      <c r="U21" s="1573">
        <f>H21</f>
        <v>100</v>
      </c>
      <c r="V21" s="1572" t="s">
        <v>11</v>
      </c>
      <c r="W21" s="1573">
        <f>J21</f>
        <v>100</v>
      </c>
      <c r="X21" s="2559"/>
      <c r="Y21" s="3524"/>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524"/>
      <c r="Q22" s="2557"/>
      <c r="R22" s="1572"/>
      <c r="S22" s="1573"/>
      <c r="T22" s="1572"/>
      <c r="U22" s="1573"/>
      <c r="V22" s="1572"/>
      <c r="W22" s="1573"/>
      <c r="X22" s="2559"/>
      <c r="Y22" s="3524"/>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524"/>
      <c r="Q23" s="1571" t="str">
        <f>B23</f>
        <v>自然及人文环境</v>
      </c>
      <c r="R23" s="1572" t="s">
        <v>11</v>
      </c>
      <c r="S23" s="1573">
        <f>F23</f>
        <v>100</v>
      </c>
      <c r="T23" s="1572" t="s">
        <v>11</v>
      </c>
      <c r="U23" s="1573">
        <f>H23</f>
        <v>100</v>
      </c>
      <c r="V23" s="1572" t="s">
        <v>11</v>
      </c>
      <c r="W23" s="1573">
        <f>J23</f>
        <v>100</v>
      </c>
      <c r="X23" s="1566"/>
      <c r="Y23" s="3524"/>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524"/>
      <c r="Q24" s="1571"/>
      <c r="R24" s="1572"/>
      <c r="S24" s="1573"/>
      <c r="T24" s="1572"/>
      <c r="U24" s="1573"/>
      <c r="V24" s="1572"/>
      <c r="W24" s="1573"/>
      <c r="X24" s="1566"/>
      <c r="Y24" s="3524"/>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524"/>
      <c r="Q25" s="1571" t="str">
        <f t="shared" ref="Q25:Q46" si="11">B25</f>
        <v>楼层-1</v>
      </c>
      <c r="R25" s="1572" t="s">
        <v>11</v>
      </c>
      <c r="S25" s="1573">
        <f>F25</f>
        <v>100</v>
      </c>
      <c r="T25" s="1572" t="s">
        <v>11</v>
      </c>
      <c r="U25" s="1573">
        <f>H25</f>
        <v>100</v>
      </c>
      <c r="V25" s="1572" t="s">
        <v>11</v>
      </c>
      <c r="W25" s="1573">
        <f>J25</f>
        <v>100</v>
      </c>
      <c r="X25" s="1566"/>
      <c r="Y25" s="3524"/>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524"/>
      <c r="Q26" s="1571" t="str">
        <f t="shared" si="11"/>
        <v>朝向</v>
      </c>
      <c r="R26" s="1572" t="s">
        <v>11</v>
      </c>
      <c r="S26" s="1573">
        <f>F26</f>
        <v>100</v>
      </c>
      <c r="T26" s="1572" t="s">
        <v>11</v>
      </c>
      <c r="U26" s="1573">
        <f>H26</f>
        <v>100</v>
      </c>
      <c r="V26" s="1572" t="s">
        <v>11</v>
      </c>
      <c r="W26" s="1573">
        <f>J26</f>
        <v>100</v>
      </c>
      <c r="X26" s="1566"/>
      <c r="Y26" s="3524"/>
      <c r="Z26" s="1574" t="str">
        <f>Q26</f>
        <v>朝向</v>
      </c>
      <c r="AA26" s="1575">
        <f t="shared" si="3"/>
        <v>1</v>
      </c>
      <c r="AB26" s="1575">
        <f t="shared" si="4"/>
        <v>1</v>
      </c>
      <c r="AC26" s="1575">
        <f t="shared" si="5"/>
        <v>1</v>
      </c>
    </row>
    <row r="27" spans="1:29" s="1219" customFormat="1" ht="27">
      <c r="A27" s="536"/>
      <c r="B27" s="537" t="s">
        <v>723</v>
      </c>
      <c r="C27" s="3197" t="s">
        <v>3161</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524"/>
      <c r="Q27" s="1150" t="str">
        <f t="shared" si="11"/>
        <v>道路级别</v>
      </c>
      <c r="R27" s="1567" t="s">
        <v>11</v>
      </c>
      <c r="S27" s="1568">
        <f>F27</f>
        <v>100</v>
      </c>
      <c r="T27" s="1567" t="s">
        <v>11</v>
      </c>
      <c r="U27" s="1568">
        <f>H27</f>
        <v>100</v>
      </c>
      <c r="V27" s="1567" t="s">
        <v>11</v>
      </c>
      <c r="W27" s="1568">
        <f>J27</f>
        <v>100</v>
      </c>
      <c r="X27" s="1569"/>
      <c r="Y27" s="3524"/>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524"/>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524"/>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524"/>
      <c r="Q29" s="1571">
        <f t="shared" si="11"/>
        <v>111</v>
      </c>
      <c r="R29" s="1572" t="s">
        <v>11</v>
      </c>
      <c r="S29" s="1573">
        <f t="shared" si="12"/>
        <v>100</v>
      </c>
      <c r="T29" s="1572" t="s">
        <v>11</v>
      </c>
      <c r="U29" s="1573">
        <f t="shared" si="13"/>
        <v>100</v>
      </c>
      <c r="V29" s="1572" t="s">
        <v>11</v>
      </c>
      <c r="W29" s="1573">
        <f t="shared" si="14"/>
        <v>100</v>
      </c>
      <c r="X29" s="1566"/>
      <c r="Y29" s="3524"/>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524"/>
      <c r="Q30" s="1571">
        <f t="shared" si="11"/>
        <v>111</v>
      </c>
      <c r="R30" s="1572" t="s">
        <v>11</v>
      </c>
      <c r="S30" s="1573">
        <f t="shared" si="12"/>
        <v>100</v>
      </c>
      <c r="T30" s="1572" t="s">
        <v>11</v>
      </c>
      <c r="U30" s="1573">
        <f t="shared" si="13"/>
        <v>100</v>
      </c>
      <c r="V30" s="1572" t="s">
        <v>11</v>
      </c>
      <c r="W30" s="1573">
        <f t="shared" si="14"/>
        <v>100</v>
      </c>
      <c r="X30" s="1566"/>
      <c r="Y30" s="3524"/>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524"/>
      <c r="Q31" s="1571">
        <f t="shared" si="11"/>
        <v>111</v>
      </c>
      <c r="R31" s="1572" t="s">
        <v>11</v>
      </c>
      <c r="S31" s="1573">
        <f t="shared" si="12"/>
        <v>100</v>
      </c>
      <c r="T31" s="1572" t="s">
        <v>11</v>
      </c>
      <c r="U31" s="1573">
        <f t="shared" si="13"/>
        <v>100</v>
      </c>
      <c r="V31" s="1572" t="s">
        <v>11</v>
      </c>
      <c r="W31" s="1573">
        <f t="shared" si="14"/>
        <v>100</v>
      </c>
      <c r="X31" s="1566"/>
      <c r="Y31" s="3524"/>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525" t="s">
        <v>549</v>
      </c>
      <c r="Q32" s="1571" t="str">
        <f t="shared" si="11"/>
        <v>建筑类型</v>
      </c>
      <c r="R32" s="1572" t="s">
        <v>11</v>
      </c>
      <c r="S32" s="1573">
        <f t="shared" si="12"/>
        <v>100</v>
      </c>
      <c r="T32" s="1572" t="s">
        <v>11</v>
      </c>
      <c r="U32" s="1573">
        <f t="shared" si="13"/>
        <v>100</v>
      </c>
      <c r="V32" s="1572" t="s">
        <v>11</v>
      </c>
      <c r="W32" s="1573">
        <f t="shared" si="14"/>
        <v>100</v>
      </c>
      <c r="X32" s="1566"/>
      <c r="Y32" s="3526"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526"/>
      <c r="Q33" s="1604" t="str">
        <f t="shared" si="11"/>
        <v>项目建筑规模</v>
      </c>
      <c r="R33" s="1576" t="s">
        <v>11</v>
      </c>
      <c r="S33" s="1577">
        <f t="shared" si="12"/>
        <v>100</v>
      </c>
      <c r="T33" s="1576" t="s">
        <v>11</v>
      </c>
      <c r="U33" s="1577">
        <f t="shared" si="13"/>
        <v>100</v>
      </c>
      <c r="V33" s="1576" t="s">
        <v>11</v>
      </c>
      <c r="W33" s="1577">
        <f t="shared" si="14"/>
        <v>100</v>
      </c>
      <c r="X33" s="1578"/>
      <c r="Y33" s="3526"/>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526"/>
      <c r="Q34" s="1571" t="str">
        <f t="shared" si="11"/>
        <v>建筑结构</v>
      </c>
      <c r="R34" s="1572" t="s">
        <v>11</v>
      </c>
      <c r="S34" s="1573">
        <f t="shared" si="12"/>
        <v>100</v>
      </c>
      <c r="T34" s="1572" t="s">
        <v>11</v>
      </c>
      <c r="U34" s="1573">
        <f t="shared" si="13"/>
        <v>100</v>
      </c>
      <c r="V34" s="1572" t="s">
        <v>11</v>
      </c>
      <c r="W34" s="1573">
        <f t="shared" si="14"/>
        <v>100</v>
      </c>
      <c r="X34" s="1566"/>
      <c r="Y34" s="3526"/>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526"/>
      <c r="Q35" s="1571" t="str">
        <f t="shared" si="11"/>
        <v>建筑品质</v>
      </c>
      <c r="R35" s="1572" t="s">
        <v>11</v>
      </c>
      <c r="S35" s="1573">
        <f t="shared" si="12"/>
        <v>100</v>
      </c>
      <c r="T35" s="1572" t="s">
        <v>11</v>
      </c>
      <c r="U35" s="1573">
        <f t="shared" si="13"/>
        <v>100</v>
      </c>
      <c r="V35" s="1572" t="s">
        <v>11</v>
      </c>
      <c r="W35" s="1573">
        <f t="shared" si="14"/>
        <v>100</v>
      </c>
      <c r="X35" s="1566"/>
      <c r="Y35" s="3526"/>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526"/>
      <c r="Q36" s="1571" t="str">
        <f t="shared" si="11"/>
        <v>公共部分装修</v>
      </c>
      <c r="R36" s="1572" t="s">
        <v>11</v>
      </c>
      <c r="S36" s="1573">
        <f t="shared" si="12"/>
        <v>100</v>
      </c>
      <c r="T36" s="1572" t="s">
        <v>11</v>
      </c>
      <c r="U36" s="1573">
        <f t="shared" si="13"/>
        <v>100</v>
      </c>
      <c r="V36" s="1572" t="s">
        <v>11</v>
      </c>
      <c r="W36" s="1573">
        <f t="shared" si="14"/>
        <v>100</v>
      </c>
      <c r="X36" s="1566"/>
      <c r="Y36" s="3526"/>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526"/>
      <c r="Q37" s="1150" t="str">
        <f t="shared" si="11"/>
        <v>成新度</v>
      </c>
      <c r="R37" s="1567" t="s">
        <v>11</v>
      </c>
      <c r="S37" s="1568">
        <f t="shared" si="12"/>
        <v>100</v>
      </c>
      <c r="T37" s="1567" t="s">
        <v>11</v>
      </c>
      <c r="U37" s="1568">
        <f t="shared" si="13"/>
        <v>100</v>
      </c>
      <c r="V37" s="1567" t="s">
        <v>11</v>
      </c>
      <c r="W37" s="1568">
        <f t="shared" si="14"/>
        <v>100</v>
      </c>
      <c r="X37" s="1569"/>
      <c r="Y37" s="3526"/>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526" t="s">
        <v>549</v>
      </c>
      <c r="Q38" s="1571" t="str">
        <f t="shared" si="11"/>
        <v>物业管理</v>
      </c>
      <c r="R38" s="1572" t="s">
        <v>11</v>
      </c>
      <c r="S38" s="1573">
        <f t="shared" si="12"/>
        <v>100</v>
      </c>
      <c r="T38" s="1572" t="s">
        <v>11</v>
      </c>
      <c r="U38" s="1573">
        <f t="shared" si="13"/>
        <v>100</v>
      </c>
      <c r="V38" s="1572" t="s">
        <v>11</v>
      </c>
      <c r="W38" s="1573">
        <f t="shared" si="14"/>
        <v>100</v>
      </c>
      <c r="X38" s="1566"/>
      <c r="Y38" s="3526"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526"/>
      <c r="Q39" s="1571" t="str">
        <f t="shared" si="11"/>
        <v>市政基础设施</v>
      </c>
      <c r="R39" s="1572" t="s">
        <v>11</v>
      </c>
      <c r="S39" s="1573">
        <f t="shared" si="12"/>
        <v>100</v>
      </c>
      <c r="T39" s="1572" t="s">
        <v>11</v>
      </c>
      <c r="U39" s="1573">
        <f t="shared" si="13"/>
        <v>100</v>
      </c>
      <c r="V39" s="1572" t="s">
        <v>11</v>
      </c>
      <c r="W39" s="1573">
        <f t="shared" si="14"/>
        <v>100</v>
      </c>
      <c r="X39" s="1566"/>
      <c r="Y39" s="3526"/>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526"/>
      <c r="Q40" s="1571" t="str">
        <f t="shared" si="11"/>
        <v>房型</v>
      </c>
      <c r="R40" s="1572" t="s">
        <v>11</v>
      </c>
      <c r="S40" s="1573">
        <f t="shared" si="12"/>
        <v>100</v>
      </c>
      <c r="T40" s="1572" t="s">
        <v>11</v>
      </c>
      <c r="U40" s="1573">
        <f t="shared" si="13"/>
        <v>100</v>
      </c>
      <c r="V40" s="1572" t="s">
        <v>11</v>
      </c>
      <c r="W40" s="1573">
        <f t="shared" si="14"/>
        <v>100</v>
      </c>
      <c r="X40" s="1566"/>
      <c r="Y40" s="3526"/>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526"/>
      <c r="Q41" s="1604" t="str">
        <f t="shared" si="11"/>
        <v>单套/主力户型建筑面积</v>
      </c>
      <c r="R41" s="1576" t="s">
        <v>11</v>
      </c>
      <c r="S41" s="1577">
        <f t="shared" si="12"/>
        <v>100</v>
      </c>
      <c r="T41" s="1576" t="s">
        <v>11</v>
      </c>
      <c r="U41" s="1577">
        <f t="shared" si="13"/>
        <v>100</v>
      </c>
      <c r="V41" s="1576" t="s">
        <v>11</v>
      </c>
      <c r="W41" s="1577">
        <f t="shared" si="14"/>
        <v>100</v>
      </c>
      <c r="X41" s="1578"/>
      <c r="Y41" s="3526"/>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5"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526"/>
      <c r="Q42" s="1571" t="str">
        <f t="shared" si="11"/>
        <v>内部装修</v>
      </c>
      <c r="R42" s="1572" t="s">
        <v>11</v>
      </c>
      <c r="S42" s="1573">
        <f t="shared" si="12"/>
        <v>100</v>
      </c>
      <c r="T42" s="1572" t="s">
        <v>11</v>
      </c>
      <c r="U42" s="1573">
        <f t="shared" si="13"/>
        <v>102</v>
      </c>
      <c r="V42" s="1572" t="s">
        <v>11</v>
      </c>
      <c r="W42" s="1573">
        <f t="shared" si="14"/>
        <v>102</v>
      </c>
      <c r="X42" s="1566"/>
      <c r="Y42" s="3526"/>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526"/>
      <c r="Q43" s="1571" t="str">
        <f t="shared" si="11"/>
        <v>内部装修维护情况</v>
      </c>
      <c r="R43" s="1572" t="s">
        <v>11</v>
      </c>
      <c r="S43" s="1573">
        <f t="shared" si="12"/>
        <v>100</v>
      </c>
      <c r="T43" s="1572" t="s">
        <v>11</v>
      </c>
      <c r="U43" s="1573">
        <f t="shared" si="13"/>
        <v>100</v>
      </c>
      <c r="V43" s="1572" t="s">
        <v>11</v>
      </c>
      <c r="W43" s="1573">
        <f t="shared" si="14"/>
        <v>100</v>
      </c>
      <c r="X43" s="1566"/>
      <c r="Y43" s="3526"/>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526"/>
      <c r="Q44" s="1150" t="str">
        <f t="shared" si="11"/>
        <v>建成年代</v>
      </c>
      <c r="R44" s="1567" t="s">
        <v>11</v>
      </c>
      <c r="S44" s="1568">
        <f t="shared" si="12"/>
        <v>99.5</v>
      </c>
      <c r="T44" s="1567" t="s">
        <v>11</v>
      </c>
      <c r="U44" s="1568">
        <f t="shared" si="13"/>
        <v>99.5</v>
      </c>
      <c r="V44" s="1567" t="s">
        <v>11</v>
      </c>
      <c r="W44" s="1568">
        <f t="shared" si="14"/>
        <v>100</v>
      </c>
      <c r="X44" s="1569"/>
      <c r="Y44" s="3526"/>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526"/>
      <c r="Q45" s="1571">
        <f t="shared" si="11"/>
        <v>111</v>
      </c>
      <c r="R45" s="1572" t="s">
        <v>11</v>
      </c>
      <c r="S45" s="1573">
        <f t="shared" si="12"/>
        <v>100</v>
      </c>
      <c r="T45" s="1572" t="s">
        <v>11</v>
      </c>
      <c r="U45" s="1573">
        <f t="shared" si="13"/>
        <v>100</v>
      </c>
      <c r="V45" s="1572" t="s">
        <v>11</v>
      </c>
      <c r="W45" s="1573">
        <f t="shared" si="14"/>
        <v>100</v>
      </c>
      <c r="X45" s="1566"/>
      <c r="Y45" s="3526"/>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09"/>
      <c r="Q46" s="1571">
        <f t="shared" si="11"/>
        <v>111</v>
      </c>
      <c r="R46" s="1572" t="s">
        <v>10</v>
      </c>
      <c r="S46" s="1573">
        <f t="shared" si="12"/>
        <v>100</v>
      </c>
      <c r="T46" s="1572" t="s">
        <v>10</v>
      </c>
      <c r="U46" s="1573">
        <f t="shared" si="13"/>
        <v>100</v>
      </c>
      <c r="V46" s="1572" t="s">
        <v>10</v>
      </c>
      <c r="W46" s="1573">
        <f t="shared" si="14"/>
        <v>100</v>
      </c>
      <c r="X46" s="1566"/>
      <c r="Y46" s="3609"/>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21" t="str">
        <f>A47</f>
        <v>成交单价（元/平方米）</v>
      </c>
      <c r="Q47" s="3521"/>
      <c r="R47" s="3608">
        <f>E47</f>
        <v>45828</v>
      </c>
      <c r="S47" s="3608"/>
      <c r="T47" s="3608">
        <f>G47</f>
        <v>45439</v>
      </c>
      <c r="U47" s="3608"/>
      <c r="V47" s="3608">
        <f>I47</f>
        <v>48117</v>
      </c>
      <c r="W47" s="3608"/>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21" t="str">
        <f>A48</f>
        <v>比较价格（元/平方米）</v>
      </c>
      <c r="Q48" s="3521"/>
      <c r="R48" s="3608">
        <f>IF(F1="售价",ROUND(PRODUCT(R47,AA7:AA46),0),ROUND(PRODUCT(R47,AA7:AA46),1))</f>
        <v>46058</v>
      </c>
      <c r="S48" s="3608"/>
      <c r="T48" s="3608">
        <f>IF(F1="售价",ROUND(PRODUCT(T47,AB7:AB46),0),ROUND(PRODUCT(T47,AB7:AB46),1))</f>
        <v>45545</v>
      </c>
      <c r="U48" s="3608"/>
      <c r="V48" s="3608">
        <f>IF(F1="售价",ROUND(PRODUCT(V47,AC7:AC46),0),ROUND(PRODUCT(V47,AC7:AC46),1))</f>
        <v>47892</v>
      </c>
      <c r="W48" s="3608"/>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42" t="str">
        <f>A49</f>
        <v>估价对象XX用房的比较价格（楼面单价，元/平方米）</v>
      </c>
      <c r="Q49" s="3543"/>
      <c r="R49" s="3607">
        <f>IF(F1="售价",ROUND(AVERAGE(R48:V48),0),ROUND(AVERAGE(R48:V48),1))</f>
        <v>46498</v>
      </c>
      <c r="S49" s="3607"/>
      <c r="T49" s="3607"/>
      <c r="U49" s="3607"/>
      <c r="V49" s="3607"/>
      <c r="W49" s="3607"/>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27" t="s">
        <v>521</v>
      </c>
      <c r="D4" s="3528"/>
      <c r="E4" s="3551" t="s">
        <v>522</v>
      </c>
      <c r="F4" s="3552"/>
      <c r="G4" s="3527" t="s">
        <v>523</v>
      </c>
      <c r="H4" s="3528"/>
      <c r="I4" s="3527" t="s">
        <v>524</v>
      </c>
      <c r="J4" s="3528"/>
      <c r="K4" s="514" t="s">
        <v>525</v>
      </c>
      <c r="L4" s="2132"/>
      <c r="M4" s="2133"/>
      <c r="N4" s="2133"/>
      <c r="O4" s="2133"/>
      <c r="P4" s="3529" t="s">
        <v>526</v>
      </c>
      <c r="Q4" s="3530"/>
      <c r="R4" s="3515" t="s">
        <v>522</v>
      </c>
      <c r="S4" s="3516"/>
      <c r="T4" s="3515" t="s">
        <v>523</v>
      </c>
      <c r="U4" s="3516"/>
      <c r="V4" s="3535" t="s">
        <v>524</v>
      </c>
      <c r="W4" s="3535"/>
      <c r="X4" s="1566"/>
      <c r="Y4" s="3515" t="s">
        <v>526</v>
      </c>
      <c r="Z4" s="3516"/>
      <c r="AA4" s="3510" t="s">
        <v>522</v>
      </c>
      <c r="AB4" s="3535" t="s">
        <v>523</v>
      </c>
      <c r="AC4" s="3510" t="s">
        <v>524</v>
      </c>
    </row>
    <row r="5" spans="1:29" ht="15">
      <c r="A5" s="515"/>
      <c r="B5" s="516"/>
      <c r="C5" s="3538" t="str">
        <f>'不动产比较法-住宅'!C5:D5</f>
        <v>朝阳区王四营乡东部道口村柏阳景园</v>
      </c>
      <c r="D5" s="3539"/>
      <c r="E5" s="3605" t="s">
        <v>3087</v>
      </c>
      <c r="F5" s="3554"/>
      <c r="G5" s="3605" t="s">
        <v>3087</v>
      </c>
      <c r="H5" s="3554"/>
      <c r="I5" s="3606" t="s">
        <v>3088</v>
      </c>
      <c r="J5" s="3539"/>
      <c r="K5" s="514"/>
      <c r="L5" s="2132"/>
      <c r="M5" s="2133"/>
      <c r="N5" s="2133"/>
      <c r="O5" s="2133"/>
      <c r="P5" s="3531"/>
      <c r="Q5" s="3532"/>
      <c r="R5" s="3517"/>
      <c r="S5" s="3518"/>
      <c r="T5" s="3517"/>
      <c r="U5" s="3518"/>
      <c r="V5" s="3535"/>
      <c r="W5" s="3535"/>
      <c r="X5" s="1566"/>
      <c r="Y5" s="3517"/>
      <c r="Z5" s="3518"/>
      <c r="AA5" s="3511"/>
      <c r="AB5" s="3535"/>
      <c r="AC5" s="3511"/>
    </row>
    <row r="6" spans="1:29" ht="15.75" thickBot="1">
      <c r="A6" s="517"/>
      <c r="B6" s="518"/>
      <c r="C6" s="3536" t="s">
        <v>2929</v>
      </c>
      <c r="D6" s="3537"/>
      <c r="E6" s="3555" t="s">
        <v>2929</v>
      </c>
      <c r="F6" s="3556"/>
      <c r="G6" s="3536" t="s">
        <v>2929</v>
      </c>
      <c r="H6" s="3537"/>
      <c r="I6" s="3536" t="s">
        <v>2929</v>
      </c>
      <c r="J6" s="3537"/>
      <c r="K6" s="514" t="s">
        <v>527</v>
      </c>
      <c r="L6" s="2132"/>
      <c r="M6" s="2133"/>
      <c r="N6" s="2133"/>
      <c r="O6" s="2133"/>
      <c r="P6" s="3533"/>
      <c r="Q6" s="3534"/>
      <c r="R6" s="3517"/>
      <c r="S6" s="3518"/>
      <c r="T6" s="3519"/>
      <c r="U6" s="3520"/>
      <c r="V6" s="3535"/>
      <c r="W6" s="3535"/>
      <c r="X6" s="1566"/>
      <c r="Y6" s="3519"/>
      <c r="Z6" s="3520"/>
      <c r="AA6" s="3512"/>
      <c r="AB6" s="3535"/>
      <c r="AC6" s="3512"/>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513" t="s">
        <v>529</v>
      </c>
      <c r="Q7" s="3522"/>
      <c r="R7" s="1567" t="s">
        <v>8</v>
      </c>
      <c r="S7" s="1568">
        <f t="shared" ref="S7:S15" si="0">F7</f>
        <v>100</v>
      </c>
      <c r="T7" s="1567" t="s">
        <v>8</v>
      </c>
      <c r="U7" s="1568">
        <f t="shared" ref="U7:U15" si="1">H7</f>
        <v>100</v>
      </c>
      <c r="V7" s="1567" t="s">
        <v>8</v>
      </c>
      <c r="W7" s="1568">
        <f t="shared" ref="W7:W15" si="2">J7</f>
        <v>100</v>
      </c>
      <c r="X7" s="1569"/>
      <c r="Y7" s="3513" t="s">
        <v>529</v>
      </c>
      <c r="Z7" s="3514"/>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513" t="s">
        <v>532</v>
      </c>
      <c r="Q8" s="3514"/>
      <c r="R8" s="1567" t="s">
        <v>8</v>
      </c>
      <c r="S8" s="1568">
        <f t="shared" si="0"/>
        <v>100</v>
      </c>
      <c r="T8" s="1567" t="s">
        <v>8</v>
      </c>
      <c r="U8" s="1568">
        <f t="shared" si="1"/>
        <v>100</v>
      </c>
      <c r="V8" s="1567" t="s">
        <v>8</v>
      </c>
      <c r="W8" s="1568">
        <f t="shared" si="2"/>
        <v>100</v>
      </c>
      <c r="X8" s="1569"/>
      <c r="Y8" s="3513" t="s">
        <v>532</v>
      </c>
      <c r="Z8" s="3514"/>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521" t="s">
        <v>534</v>
      </c>
      <c r="Q9" s="1150" t="str">
        <f t="shared" ref="Q9:Q15" si="6">B9</f>
        <v>用途</v>
      </c>
      <c r="R9" s="1567" t="s">
        <v>8</v>
      </c>
      <c r="S9" s="1568">
        <f t="shared" si="0"/>
        <v>100</v>
      </c>
      <c r="T9" s="1567" t="s">
        <v>8</v>
      </c>
      <c r="U9" s="1568">
        <f t="shared" si="1"/>
        <v>100</v>
      </c>
      <c r="V9" s="1567" t="s">
        <v>8</v>
      </c>
      <c r="W9" s="1568">
        <f t="shared" si="2"/>
        <v>100</v>
      </c>
      <c r="X9" s="1569"/>
      <c r="Y9" s="3408"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521"/>
      <c r="Q10" s="1150" t="str">
        <f t="shared" si="6"/>
        <v>土地使用年限（年）</v>
      </c>
      <c r="R10" s="1567" t="s">
        <v>8</v>
      </c>
      <c r="S10" s="1568">
        <f t="shared" si="0"/>
        <v>100</v>
      </c>
      <c r="T10" s="1567" t="s">
        <v>8</v>
      </c>
      <c r="U10" s="1568">
        <f t="shared" si="1"/>
        <v>100</v>
      </c>
      <c r="V10" s="1567" t="s">
        <v>8</v>
      </c>
      <c r="W10" s="1568">
        <f t="shared" si="2"/>
        <v>100.25</v>
      </c>
      <c r="X10" s="1569"/>
      <c r="Y10" s="3408"/>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21"/>
      <c r="Q11" s="1150" t="str">
        <f t="shared" si="6"/>
        <v>容积率</v>
      </c>
      <c r="R11" s="1567" t="s">
        <v>8</v>
      </c>
      <c r="S11" s="1568">
        <f t="shared" si="0"/>
        <v>100</v>
      </c>
      <c r="T11" s="1567" t="s">
        <v>8</v>
      </c>
      <c r="U11" s="1568">
        <f t="shared" si="1"/>
        <v>100</v>
      </c>
      <c r="V11" s="1567" t="s">
        <v>8</v>
      </c>
      <c r="W11" s="1568">
        <f t="shared" si="2"/>
        <v>100</v>
      </c>
      <c r="X11" s="1569"/>
      <c r="Y11" s="3408"/>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21"/>
      <c r="Q12" s="1150">
        <f t="shared" si="6"/>
        <v>111</v>
      </c>
      <c r="R12" s="1567" t="s">
        <v>8</v>
      </c>
      <c r="S12" s="1568">
        <f t="shared" si="0"/>
        <v>100</v>
      </c>
      <c r="T12" s="1567" t="s">
        <v>8</v>
      </c>
      <c r="U12" s="1568">
        <f t="shared" si="1"/>
        <v>100</v>
      </c>
      <c r="V12" s="1567" t="s">
        <v>8</v>
      </c>
      <c r="W12" s="1568">
        <f t="shared" si="2"/>
        <v>100</v>
      </c>
      <c r="X12" s="1569"/>
      <c r="Y12" s="3408"/>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21"/>
      <c r="Q13" s="1150">
        <f t="shared" si="6"/>
        <v>111</v>
      </c>
      <c r="R13" s="1567" t="s">
        <v>8</v>
      </c>
      <c r="S13" s="1568">
        <f t="shared" si="0"/>
        <v>100</v>
      </c>
      <c r="T13" s="1567" t="s">
        <v>8</v>
      </c>
      <c r="U13" s="1568">
        <f t="shared" si="1"/>
        <v>100</v>
      </c>
      <c r="V13" s="1567" t="s">
        <v>8</v>
      </c>
      <c r="W13" s="1568">
        <f t="shared" si="2"/>
        <v>100</v>
      </c>
      <c r="X13" s="1569"/>
      <c r="Y13" s="3408"/>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21"/>
      <c r="Q14" s="1150">
        <f t="shared" si="6"/>
        <v>111</v>
      </c>
      <c r="R14" s="1567" t="s">
        <v>8</v>
      </c>
      <c r="S14" s="1568">
        <f t="shared" si="0"/>
        <v>100</v>
      </c>
      <c r="T14" s="1567" t="s">
        <v>8</v>
      </c>
      <c r="U14" s="1568">
        <f t="shared" si="1"/>
        <v>100</v>
      </c>
      <c r="V14" s="1567" t="s">
        <v>8</v>
      </c>
      <c r="W14" s="1568">
        <f t="shared" si="2"/>
        <v>100</v>
      </c>
      <c r="X14" s="1569"/>
      <c r="Y14" s="3408"/>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523" t="s">
        <v>539</v>
      </c>
      <c r="Q15" s="1571" t="str">
        <f t="shared" si="6"/>
        <v>商业繁华度</v>
      </c>
      <c r="R15" s="1572" t="s">
        <v>8</v>
      </c>
      <c r="S15" s="1573">
        <f t="shared" si="0"/>
        <v>100</v>
      </c>
      <c r="T15" s="1572" t="s">
        <v>8</v>
      </c>
      <c r="U15" s="1573">
        <f t="shared" si="1"/>
        <v>100</v>
      </c>
      <c r="V15" s="1572" t="s">
        <v>8</v>
      </c>
      <c r="W15" s="1573">
        <f t="shared" si="2"/>
        <v>100</v>
      </c>
      <c r="X15" s="1566"/>
      <c r="Y15" s="3523"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524"/>
      <c r="Q16" s="1571"/>
      <c r="R16" s="1572"/>
      <c r="S16" s="1573"/>
      <c r="T16" s="1572"/>
      <c r="U16" s="1573"/>
      <c r="V16" s="1572"/>
      <c r="W16" s="1573"/>
      <c r="X16" s="1566"/>
      <c r="Y16" s="3524"/>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524"/>
      <c r="Q17" s="1571" t="str">
        <f>B17</f>
        <v>交通便捷度</v>
      </c>
      <c r="R17" s="1572" t="s">
        <v>8</v>
      </c>
      <c r="S17" s="1573">
        <f>F17</f>
        <v>99</v>
      </c>
      <c r="T17" s="1572" t="s">
        <v>8</v>
      </c>
      <c r="U17" s="1573">
        <f>H17</f>
        <v>99</v>
      </c>
      <c r="V17" s="1572" t="s">
        <v>8</v>
      </c>
      <c r="W17" s="1573">
        <f>J17</f>
        <v>99</v>
      </c>
      <c r="X17" s="1566"/>
      <c r="Y17" s="3524"/>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524"/>
      <c r="Q18" s="1571"/>
      <c r="R18" s="1572"/>
      <c r="S18" s="1573"/>
      <c r="T18" s="1572"/>
      <c r="U18" s="1573"/>
      <c r="V18" s="1572"/>
      <c r="W18" s="1573"/>
      <c r="X18" s="1566"/>
      <c r="Y18" s="3524"/>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524"/>
      <c r="Q19" s="1571" t="str">
        <f>B19</f>
        <v>公共配套设施</v>
      </c>
      <c r="R19" s="1572" t="s">
        <v>8</v>
      </c>
      <c r="S19" s="1573">
        <f>F19</f>
        <v>100</v>
      </c>
      <c r="T19" s="1572" t="s">
        <v>8</v>
      </c>
      <c r="U19" s="1573">
        <f>H19</f>
        <v>100</v>
      </c>
      <c r="V19" s="1572" t="s">
        <v>8</v>
      </c>
      <c r="W19" s="1573">
        <f>J19</f>
        <v>100</v>
      </c>
      <c r="X19" s="1566"/>
      <c r="Y19" s="3524"/>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524"/>
      <c r="Q20" s="1571"/>
      <c r="R20" s="1572"/>
      <c r="S20" s="1573"/>
      <c r="T20" s="1572"/>
      <c r="U20" s="1573"/>
      <c r="V20" s="1572"/>
      <c r="W20" s="1573"/>
      <c r="X20" s="1566"/>
      <c r="Y20" s="3524"/>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524"/>
      <c r="Q21" s="2557" t="str">
        <f>B21</f>
        <v>基础设施水平</v>
      </c>
      <c r="R21" s="1572" t="s">
        <v>8</v>
      </c>
      <c r="S21" s="1573">
        <f>F21</f>
        <v>100</v>
      </c>
      <c r="T21" s="1572" t="s">
        <v>8</v>
      </c>
      <c r="U21" s="1573">
        <f>H21</f>
        <v>100</v>
      </c>
      <c r="V21" s="1572" t="s">
        <v>8</v>
      </c>
      <c r="W21" s="1573">
        <f>J21</f>
        <v>100</v>
      </c>
      <c r="X21" s="2559"/>
      <c r="Y21" s="3524"/>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524"/>
      <c r="Q22" s="2557"/>
      <c r="R22" s="1572"/>
      <c r="S22" s="1573"/>
      <c r="T22" s="1572"/>
      <c r="U22" s="1573"/>
      <c r="V22" s="1572"/>
      <c r="W22" s="1573"/>
      <c r="X22" s="2559"/>
      <c r="Y22" s="3524"/>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524"/>
      <c r="Q23" s="1571" t="str">
        <f>B23</f>
        <v>自然及人文环境</v>
      </c>
      <c r="R23" s="1572" t="s">
        <v>8</v>
      </c>
      <c r="S23" s="1573">
        <f>F23</f>
        <v>100</v>
      </c>
      <c r="T23" s="1572" t="s">
        <v>8</v>
      </c>
      <c r="U23" s="1573">
        <f>H23</f>
        <v>100</v>
      </c>
      <c r="V23" s="1572" t="s">
        <v>8</v>
      </c>
      <c r="W23" s="1573">
        <f>J23</f>
        <v>100</v>
      </c>
      <c r="X23" s="1566"/>
      <c r="Y23" s="3524"/>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524"/>
      <c r="Q24" s="1571"/>
      <c r="R24" s="1572"/>
      <c r="S24" s="1573"/>
      <c r="T24" s="1572"/>
      <c r="U24" s="1573"/>
      <c r="V24" s="1572"/>
      <c r="W24" s="1573"/>
      <c r="X24" s="1566"/>
      <c r="Y24" s="3524"/>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524"/>
      <c r="Q25" s="1571" t="str">
        <f t="shared" ref="Q25:Q46" si="11">B25</f>
        <v>临街状况</v>
      </c>
      <c r="R25" s="1572" t="s">
        <v>8</v>
      </c>
      <c r="S25" s="1573">
        <f>F25</f>
        <v>100</v>
      </c>
      <c r="T25" s="1572" t="s">
        <v>8</v>
      </c>
      <c r="U25" s="1573">
        <f>H25</f>
        <v>100</v>
      </c>
      <c r="V25" s="1572" t="s">
        <v>8</v>
      </c>
      <c r="W25" s="1573">
        <f>J25</f>
        <v>100</v>
      </c>
      <c r="X25" s="1566"/>
      <c r="Y25" s="3524"/>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524"/>
      <c r="Q26" s="1571" t="str">
        <f t="shared" si="11"/>
        <v>平面位置/可视性</v>
      </c>
      <c r="R26" s="1572" t="s">
        <v>8</v>
      </c>
      <c r="S26" s="1573">
        <f>F26</f>
        <v>100</v>
      </c>
      <c r="T26" s="1572" t="s">
        <v>8</v>
      </c>
      <c r="U26" s="1573">
        <f>H26</f>
        <v>100</v>
      </c>
      <c r="V26" s="1572" t="s">
        <v>8</v>
      </c>
      <c r="W26" s="1573">
        <f>J26</f>
        <v>100</v>
      </c>
      <c r="X26" s="1566"/>
      <c r="Y26" s="3524"/>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524"/>
      <c r="Q27" s="1150" t="str">
        <f t="shared" si="11"/>
        <v>人流量</v>
      </c>
      <c r="R27" s="1567" t="s">
        <v>8</v>
      </c>
      <c r="S27" s="1568">
        <f>F27</f>
        <v>100</v>
      </c>
      <c r="T27" s="1567" t="s">
        <v>8</v>
      </c>
      <c r="U27" s="1568">
        <f>H27</f>
        <v>100</v>
      </c>
      <c r="V27" s="1567" t="s">
        <v>8</v>
      </c>
      <c r="W27" s="1568">
        <f>J27</f>
        <v>100</v>
      </c>
      <c r="X27" s="1569"/>
      <c r="Y27" s="3524"/>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52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24"/>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3162</v>
      </c>
      <c r="J29" s="540">
        <f>SUMIF(94:94,I29,95:95)-SUMIF(94:94,C29,95:95)+100</f>
        <v>98</v>
      </c>
      <c r="K29" s="581"/>
      <c r="L29" s="2141"/>
      <c r="M29" s="2133"/>
      <c r="N29" s="2133"/>
      <c r="O29" s="2140"/>
      <c r="P29" s="3524"/>
      <c r="Q29" s="1571" t="str">
        <f t="shared" si="11"/>
        <v>临路状况</v>
      </c>
      <c r="R29" s="1572" t="s">
        <v>8</v>
      </c>
      <c r="S29" s="1573">
        <f t="shared" si="12"/>
        <v>98</v>
      </c>
      <c r="T29" s="1572" t="s">
        <v>8</v>
      </c>
      <c r="U29" s="1573">
        <f t="shared" si="13"/>
        <v>98</v>
      </c>
      <c r="V29" s="1572" t="s">
        <v>8</v>
      </c>
      <c r="W29" s="1573">
        <f t="shared" si="14"/>
        <v>98</v>
      </c>
      <c r="X29" s="1566"/>
      <c r="Y29" s="3524"/>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524"/>
      <c r="Q30" s="1571">
        <f t="shared" si="11"/>
        <v>111</v>
      </c>
      <c r="R30" s="1572" t="s">
        <v>8</v>
      </c>
      <c r="S30" s="1573">
        <f t="shared" si="12"/>
        <v>100</v>
      </c>
      <c r="T30" s="1572" t="s">
        <v>8</v>
      </c>
      <c r="U30" s="1573">
        <f t="shared" si="13"/>
        <v>100</v>
      </c>
      <c r="V30" s="1572" t="s">
        <v>8</v>
      </c>
      <c r="W30" s="1573">
        <f t="shared" si="14"/>
        <v>100</v>
      </c>
      <c r="X30" s="1566"/>
      <c r="Y30" s="3524"/>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524"/>
      <c r="Q31" s="1571">
        <f t="shared" si="11"/>
        <v>111</v>
      </c>
      <c r="R31" s="1572" t="s">
        <v>8</v>
      </c>
      <c r="S31" s="1573">
        <f t="shared" si="12"/>
        <v>100</v>
      </c>
      <c r="T31" s="1572" t="s">
        <v>8</v>
      </c>
      <c r="U31" s="1573">
        <f t="shared" si="13"/>
        <v>100</v>
      </c>
      <c r="V31" s="1572" t="s">
        <v>8</v>
      </c>
      <c r="W31" s="1573">
        <f t="shared" si="14"/>
        <v>100</v>
      </c>
      <c r="X31" s="1566"/>
      <c r="Y31" s="3524"/>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525" t="s">
        <v>549</v>
      </c>
      <c r="Q32" s="1571" t="str">
        <f t="shared" si="11"/>
        <v>商业类型</v>
      </c>
      <c r="R32" s="1572" t="s">
        <v>8</v>
      </c>
      <c r="S32" s="1573">
        <f t="shared" si="12"/>
        <v>98</v>
      </c>
      <c r="T32" s="1572" t="s">
        <v>8</v>
      </c>
      <c r="U32" s="1573">
        <f t="shared" si="13"/>
        <v>98</v>
      </c>
      <c r="V32" s="1572" t="s">
        <v>8</v>
      </c>
      <c r="W32" s="1573">
        <f t="shared" si="14"/>
        <v>99</v>
      </c>
      <c r="X32" s="1566"/>
      <c r="Y32" s="3526"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526"/>
      <c r="Q33" s="1604" t="str">
        <f t="shared" si="11"/>
        <v>项目建筑规模</v>
      </c>
      <c r="R33" s="1576" t="s">
        <v>8</v>
      </c>
      <c r="S33" s="1577">
        <f t="shared" si="12"/>
        <v>101.5</v>
      </c>
      <c r="T33" s="1576" t="s">
        <v>8</v>
      </c>
      <c r="U33" s="1577">
        <f t="shared" si="13"/>
        <v>102</v>
      </c>
      <c r="V33" s="1576" t="s">
        <v>8</v>
      </c>
      <c r="W33" s="1577">
        <f t="shared" si="14"/>
        <v>102</v>
      </c>
      <c r="X33" s="1578"/>
      <c r="Y33" s="3526"/>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526"/>
      <c r="Q34" s="1571" t="str">
        <f t="shared" si="11"/>
        <v>建筑结构</v>
      </c>
      <c r="R34" s="1572" t="s">
        <v>8</v>
      </c>
      <c r="S34" s="1573">
        <f t="shared" si="12"/>
        <v>100</v>
      </c>
      <c r="T34" s="1572" t="s">
        <v>8</v>
      </c>
      <c r="U34" s="1573">
        <f t="shared" si="13"/>
        <v>100</v>
      </c>
      <c r="V34" s="1572" t="s">
        <v>8</v>
      </c>
      <c r="W34" s="1573">
        <f t="shared" si="14"/>
        <v>100</v>
      </c>
      <c r="X34" s="1566"/>
      <c r="Y34" s="3526"/>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526"/>
      <c r="Q35" s="1571" t="str">
        <f t="shared" si="11"/>
        <v>公共部分装修</v>
      </c>
      <c r="R35" s="1572" t="s">
        <v>8</v>
      </c>
      <c r="S35" s="1573">
        <f t="shared" si="12"/>
        <v>100</v>
      </c>
      <c r="T35" s="1572" t="s">
        <v>8</v>
      </c>
      <c r="U35" s="1573">
        <f t="shared" si="13"/>
        <v>100</v>
      </c>
      <c r="V35" s="1572" t="s">
        <v>8</v>
      </c>
      <c r="W35" s="1573">
        <f t="shared" si="14"/>
        <v>100</v>
      </c>
      <c r="X35" s="1566"/>
      <c r="Y35" s="3526"/>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526"/>
      <c r="Q36" s="1571" t="str">
        <f t="shared" si="11"/>
        <v>成新度</v>
      </c>
      <c r="R36" s="1572" t="s">
        <v>8</v>
      </c>
      <c r="S36" s="1573">
        <f t="shared" si="12"/>
        <v>100</v>
      </c>
      <c r="T36" s="1572" t="s">
        <v>8</v>
      </c>
      <c r="U36" s="1573">
        <f t="shared" si="13"/>
        <v>100</v>
      </c>
      <c r="V36" s="1572" t="s">
        <v>8</v>
      </c>
      <c r="W36" s="1573">
        <f t="shared" si="14"/>
        <v>100</v>
      </c>
      <c r="X36" s="1566"/>
      <c r="Y36" s="3526"/>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526"/>
      <c r="Q37" s="1150" t="str">
        <f t="shared" si="11"/>
        <v>市政基础设施</v>
      </c>
      <c r="R37" s="1567" t="s">
        <v>8</v>
      </c>
      <c r="S37" s="1568">
        <f t="shared" si="12"/>
        <v>100</v>
      </c>
      <c r="T37" s="1567" t="s">
        <v>8</v>
      </c>
      <c r="U37" s="1568">
        <f t="shared" si="13"/>
        <v>100</v>
      </c>
      <c r="V37" s="1567" t="s">
        <v>8</v>
      </c>
      <c r="W37" s="1568">
        <f t="shared" si="14"/>
        <v>100</v>
      </c>
      <c r="X37" s="1569"/>
      <c r="Y37" s="3526"/>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526" t="s">
        <v>765</v>
      </c>
      <c r="Q38" s="1571" t="str">
        <f t="shared" si="11"/>
        <v>业态</v>
      </c>
      <c r="R38" s="1572" t="s">
        <v>8</v>
      </c>
      <c r="S38" s="1573">
        <f t="shared" si="12"/>
        <v>100</v>
      </c>
      <c r="T38" s="1572" t="s">
        <v>8</v>
      </c>
      <c r="U38" s="1573">
        <f t="shared" si="13"/>
        <v>100</v>
      </c>
      <c r="V38" s="1572" t="s">
        <v>8</v>
      </c>
      <c r="W38" s="1573">
        <f t="shared" si="14"/>
        <v>100</v>
      </c>
      <c r="X38" s="1566"/>
      <c r="Y38" s="3526"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26"/>
      <c r="Q39" s="1571" t="str">
        <f t="shared" si="11"/>
        <v>层高</v>
      </c>
      <c r="R39" s="1572" t="s">
        <v>8</v>
      </c>
      <c r="S39" s="1573">
        <f t="shared" si="12"/>
        <v>100</v>
      </c>
      <c r="T39" s="1572" t="s">
        <v>8</v>
      </c>
      <c r="U39" s="1573">
        <f t="shared" si="13"/>
        <v>100</v>
      </c>
      <c r="V39" s="1572" t="s">
        <v>8</v>
      </c>
      <c r="W39" s="1573">
        <f t="shared" si="14"/>
        <v>100</v>
      </c>
      <c r="X39" s="1566"/>
      <c r="Y39" s="3526"/>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526"/>
      <c r="Q40" s="1571" t="str">
        <f t="shared" si="11"/>
        <v>单套建筑面积</v>
      </c>
      <c r="R40" s="1572" t="s">
        <v>8</v>
      </c>
      <c r="S40" s="1573">
        <f t="shared" si="12"/>
        <v>100</v>
      </c>
      <c r="T40" s="1572" t="s">
        <v>8</v>
      </c>
      <c r="U40" s="1573">
        <f t="shared" si="13"/>
        <v>100</v>
      </c>
      <c r="V40" s="1572" t="s">
        <v>8</v>
      </c>
      <c r="W40" s="1573">
        <f t="shared" si="14"/>
        <v>100</v>
      </c>
      <c r="X40" s="1566"/>
      <c r="Y40" s="3526"/>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526"/>
      <c r="Q41" s="1604" t="str">
        <f t="shared" si="11"/>
        <v>进深比</v>
      </c>
      <c r="R41" s="1576" t="s">
        <v>8</v>
      </c>
      <c r="S41" s="1577">
        <f t="shared" si="12"/>
        <v>100</v>
      </c>
      <c r="T41" s="1576" t="s">
        <v>8</v>
      </c>
      <c r="U41" s="1577">
        <f t="shared" si="13"/>
        <v>100</v>
      </c>
      <c r="V41" s="1576" t="s">
        <v>8</v>
      </c>
      <c r="W41" s="1577">
        <f t="shared" si="14"/>
        <v>100</v>
      </c>
      <c r="X41" s="1578"/>
      <c r="Y41" s="3526"/>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526"/>
      <c r="Q42" s="1571" t="str">
        <f t="shared" si="11"/>
        <v>内部装修</v>
      </c>
      <c r="R42" s="1572" t="s">
        <v>8</v>
      </c>
      <c r="S42" s="1573">
        <f t="shared" si="12"/>
        <v>100</v>
      </c>
      <c r="T42" s="1572" t="s">
        <v>8</v>
      </c>
      <c r="U42" s="1573">
        <f t="shared" si="13"/>
        <v>100</v>
      </c>
      <c r="V42" s="1572" t="s">
        <v>8</v>
      </c>
      <c r="W42" s="1573">
        <f t="shared" si="14"/>
        <v>100</v>
      </c>
      <c r="X42" s="1566"/>
      <c r="Y42" s="3526"/>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526"/>
      <c r="Q43" s="1571" t="str">
        <f t="shared" si="11"/>
        <v>内部装修维护情况</v>
      </c>
      <c r="R43" s="1572" t="s">
        <v>8</v>
      </c>
      <c r="S43" s="1573">
        <f t="shared" si="12"/>
        <v>100</v>
      </c>
      <c r="T43" s="1572" t="s">
        <v>8</v>
      </c>
      <c r="U43" s="1573">
        <f t="shared" si="13"/>
        <v>100</v>
      </c>
      <c r="V43" s="1572" t="s">
        <v>8</v>
      </c>
      <c r="W43" s="1573">
        <f t="shared" si="14"/>
        <v>100</v>
      </c>
      <c r="X43" s="1566"/>
      <c r="Y43" s="3526"/>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526"/>
      <c r="Q44" s="1150">
        <f t="shared" si="11"/>
        <v>111</v>
      </c>
      <c r="R44" s="1567" t="s">
        <v>8</v>
      </c>
      <c r="S44" s="1568">
        <f t="shared" si="12"/>
        <v>100</v>
      </c>
      <c r="T44" s="1567" t="s">
        <v>8</v>
      </c>
      <c r="U44" s="1568">
        <f t="shared" si="13"/>
        <v>100</v>
      </c>
      <c r="V44" s="1567" t="s">
        <v>8</v>
      </c>
      <c r="W44" s="1568">
        <f t="shared" si="14"/>
        <v>100</v>
      </c>
      <c r="X44" s="1569"/>
      <c r="Y44" s="3526"/>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526"/>
      <c r="Q45" s="1571">
        <f t="shared" si="11"/>
        <v>111</v>
      </c>
      <c r="R45" s="1572" t="s">
        <v>8</v>
      </c>
      <c r="S45" s="1573">
        <f t="shared" si="12"/>
        <v>100</v>
      </c>
      <c r="T45" s="1572" t="s">
        <v>8</v>
      </c>
      <c r="U45" s="1573">
        <f t="shared" si="13"/>
        <v>100</v>
      </c>
      <c r="V45" s="1572" t="s">
        <v>8</v>
      </c>
      <c r="W45" s="1573">
        <f t="shared" si="14"/>
        <v>100</v>
      </c>
      <c r="X45" s="1566"/>
      <c r="Y45" s="3526"/>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09"/>
      <c r="Q46" s="1571">
        <f t="shared" si="11"/>
        <v>111</v>
      </c>
      <c r="R46" s="1572" t="s">
        <v>8</v>
      </c>
      <c r="S46" s="1573">
        <f t="shared" si="12"/>
        <v>100</v>
      </c>
      <c r="T46" s="1572" t="s">
        <v>8</v>
      </c>
      <c r="U46" s="1573">
        <f t="shared" si="13"/>
        <v>100</v>
      </c>
      <c r="V46" s="1572" t="s">
        <v>8</v>
      </c>
      <c r="W46" s="1573">
        <f t="shared" si="14"/>
        <v>100</v>
      </c>
      <c r="X46" s="1566"/>
      <c r="Y46" s="3609"/>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21" t="str">
        <f>A47</f>
        <v>成交单价（元/平方米）</v>
      </c>
      <c r="Q47" s="3521"/>
      <c r="R47" s="3608">
        <f>E47</f>
        <v>30000</v>
      </c>
      <c r="S47" s="3608"/>
      <c r="T47" s="3608">
        <f>G47</f>
        <v>31250</v>
      </c>
      <c r="U47" s="3608"/>
      <c r="V47" s="3608">
        <f>I47</f>
        <v>29958</v>
      </c>
      <c r="W47" s="3608"/>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21" t="str">
        <f>A48</f>
        <v>比较价格（元/平方米）</v>
      </c>
      <c r="Q48" s="3521"/>
      <c r="R48" s="3608">
        <f>IF(F1="售价",ROUND(PRODUCT(R47,AA7:AA46),0),ROUND(PRODUCT(R47,AA7:AA46),1))</f>
        <v>31086</v>
      </c>
      <c r="S48" s="3608"/>
      <c r="T48" s="3608">
        <f>IF(F1="售价",ROUND(PRODUCT(T47,AB7:AB46),0),ROUND(PRODUCT(T47,AB7:AB46),1))</f>
        <v>32223</v>
      </c>
      <c r="U48" s="3608"/>
      <c r="V48" s="3608">
        <f>IF(F1="售价",ROUND(PRODUCT(V47,AC7:AC46),0),ROUND(PRODUCT(V47,AC7:AC46),1))</f>
        <v>30502</v>
      </c>
      <c r="W48" s="3608"/>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42" t="str">
        <f>A49</f>
        <v>估价对象XX用房的比较价格（楼面单价，元/平方米）</v>
      </c>
      <c r="Q49" s="3543"/>
      <c r="R49" s="3607">
        <f>IF(F1="售价",ROUND(AVERAGE(R48:V48),0),ROUND(AVERAGE(R48:V48),1))</f>
        <v>31270</v>
      </c>
      <c r="S49" s="3607"/>
      <c r="T49" s="3607"/>
      <c r="U49" s="3607"/>
      <c r="V49" s="3607"/>
      <c r="W49" s="3607"/>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28" zoomScale="120" zoomScaleNormal="120" workbookViewId="0">
      <selection activeCell="E14" sqref="E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187866</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36396</v>
      </c>
      <c r="U2" s="2903"/>
      <c r="V2" s="2914">
        <f ca="1">ROUND(T2*U2/10000,0)</f>
        <v>0</v>
      </c>
      <c r="W2" s="2188"/>
      <c r="X2" s="2188"/>
      <c r="Y2" s="2188"/>
      <c r="Z2" s="2188"/>
      <c r="AA2" s="2188"/>
      <c r="AB2" s="2188"/>
      <c r="AC2" s="2189"/>
    </row>
    <row r="3" spans="1:39" ht="24">
      <c r="A3" s="1410" t="s">
        <v>1687</v>
      </c>
      <c r="B3" s="1037">
        <f ca="1">ROUND(B2*10000/D1,0)</f>
        <v>19649</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26126</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21077</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11385</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16912</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14401</v>
      </c>
      <c r="U6" s="2903"/>
      <c r="V6" s="2914">
        <f t="shared" ca="1" si="1"/>
        <v>0</v>
      </c>
      <c r="W6" s="2188"/>
      <c r="X6" s="2188"/>
      <c r="Y6" s="2188"/>
      <c r="Z6" s="2188"/>
      <c r="AA6" s="2188"/>
      <c r="AB6" s="2188"/>
      <c r="AC6" s="2190"/>
      <c r="AD6" s="1418"/>
      <c r="AE6" s="1418"/>
      <c r="AF6" s="1418"/>
      <c r="AG6" s="1418"/>
      <c r="AH6" s="1418"/>
      <c r="AI6" s="1418"/>
      <c r="AJ6" s="1419"/>
    </row>
    <row r="7" spans="1:39" ht="24">
      <c r="A7" s="3611"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12664</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12"/>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9" t="s">
        <v>2782</v>
      </c>
      <c r="X8" s="3620"/>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2"/>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8"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2"/>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2"/>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8"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1"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8"/>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3"/>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8"/>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3"/>
      <c r="B14" s="1450"/>
      <c r="C14" s="327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4"/>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1"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2"/>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187866</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5872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22441</v>
      </c>
      <c r="D29" s="1503">
        <f>'数据-基础表'!I13</f>
        <v>83247.820000000007</v>
      </c>
      <c r="E29" s="1848">
        <f ca="1">ROUND(C29*D29/10000,0)</f>
        <v>186816</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5610</v>
      </c>
      <c r="D30" s="1509">
        <v>10000</v>
      </c>
      <c r="E30" s="1848">
        <f ca="1">ROUND(C30*D30/10000,0)</f>
        <v>5610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5" t="s">
        <v>2957</v>
      </c>
      <c r="B33" s="1523" t="s">
        <v>999</v>
      </c>
      <c r="C33" s="1062">
        <f ca="1">ROUND(D5*C19*C20*C24*F33,0)</f>
        <v>12433</v>
      </c>
      <c r="D33" s="1536"/>
      <c r="E33" s="1047">
        <f ca="1">ROUND(C33*D33/10000,0)</f>
        <v>0</v>
      </c>
      <c r="F33" s="1047">
        <f>SUMIF(修正!A45:A56,G2,修正!B45:B56)</f>
        <v>0.7</v>
      </c>
      <c r="G33" s="1047">
        <f t="shared" ref="G33" ca="1" si="6">ROUND(IF(E2="工业",C33*$M$39,C33*$M$38),0)</f>
        <v>3108</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16"/>
      <c r="B34" s="1444" t="s">
        <v>1000</v>
      </c>
      <c r="C34" s="1062">
        <f ca="1">ROUND(D5*C19*C20*C24*F34,0)</f>
        <v>7105</v>
      </c>
      <c r="D34" s="1536"/>
      <c r="E34" s="1047">
        <f t="shared" ref="E34:E39" ca="1" si="7">ROUND(C34*D34/10000,0)</f>
        <v>0</v>
      </c>
      <c r="F34" s="1047">
        <f>SUMIF(修正!A45:A56,G2,修正!C45:C56)</f>
        <v>0.4</v>
      </c>
      <c r="G34" s="1047">
        <f ca="1">ROUND(IF(E2="工业",C34*$M$39,C34*$M$38),0)</f>
        <v>1776</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16"/>
      <c r="B35" s="1444" t="s">
        <v>1001</v>
      </c>
      <c r="C35" s="1062">
        <f ca="1">ROUND(D5*C19*C20*C24*F35,0)</f>
        <v>4973</v>
      </c>
      <c r="D35" s="1536"/>
      <c r="E35" s="1047">
        <f t="shared" ca="1" si="7"/>
        <v>0</v>
      </c>
      <c r="F35" s="1047">
        <f>SUMIF(修正!A45:A56,G2,修正!D45:D56)</f>
        <v>0.28000000000000003</v>
      </c>
      <c r="G35" s="1047">
        <f ca="1">ROUND(IF(E2="工业",C35*$M$39,C35*$M$38),0)</f>
        <v>1243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17"/>
      <c r="B36" s="1444" t="s">
        <v>1002</v>
      </c>
      <c r="C36" s="1062">
        <f ca="1">ROUND(D5*C19*C20*C24*F36,0)</f>
        <v>4440</v>
      </c>
      <c r="D36" s="1536"/>
      <c r="E36" s="1047">
        <f t="shared" ca="1" si="7"/>
        <v>0</v>
      </c>
      <c r="F36" s="1047">
        <f>SUMIF(修正!A45:A56,G2,修正!E45:E56)</f>
        <v>0.25</v>
      </c>
      <c r="G36" s="1047">
        <f ca="1">ROUND(IF(E2="工业",C36*$M$39,C36*$M$38),0)</f>
        <v>1110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4440</v>
      </c>
      <c r="D37" s="1536"/>
      <c r="E37" s="1047">
        <f t="shared" ca="1" si="7"/>
        <v>0</v>
      </c>
      <c r="F37" s="1062">
        <f>SUMIF(修正!A45:A56,G2,修正!F45:F56)</f>
        <v>0.25</v>
      </c>
      <c r="G37" s="1047">
        <f ca="1">ROUND(IF(E2="工业",C37*$M$39,C37*$M$38),0)</f>
        <v>1110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4440</v>
      </c>
      <c r="D38" s="1536">
        <f>结果表一!I5</f>
        <v>2364.58</v>
      </c>
      <c r="E38" s="1047">
        <f t="shared" ca="1" si="7"/>
        <v>1050</v>
      </c>
      <c r="F38" s="1062">
        <f>SUMIF(修正!A45:A56,G2,修正!G45:G56)</f>
        <v>0.25</v>
      </c>
      <c r="G38" s="1047">
        <f ca="1">ROUND(IF(E2="工业",C38*$M$39,C38*$M$38),0)</f>
        <v>1110</v>
      </c>
      <c r="H38" s="1047">
        <f t="shared" si="8"/>
        <v>2364.58</v>
      </c>
      <c r="I38" s="1047">
        <f t="shared" ca="1" si="9"/>
        <v>262</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3552</v>
      </c>
      <c r="D39" s="1537"/>
      <c r="E39" s="1050">
        <f t="shared" ca="1" si="7"/>
        <v>0</v>
      </c>
      <c r="F39" s="1064">
        <f>SUMIF(修正!A45:A56,G2,修正!H45:H56)</f>
        <v>0.2</v>
      </c>
      <c r="G39" s="1050">
        <f ca="1">ROUND(IF(E2="工业",C39*$M$39,C39*$M$38),0)</f>
        <v>888</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64"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58" t="s">
        <v>1633</v>
      </c>
      <c r="B90" s="3558"/>
      <c r="C90" s="3558"/>
      <c r="D90" s="3558"/>
      <c r="E90" s="3558"/>
      <c r="F90" s="3558"/>
      <c r="G90" s="3558"/>
      <c r="H90" s="3558"/>
      <c r="I90" s="3558"/>
      <c r="J90" s="3558"/>
      <c r="K90" s="2428"/>
      <c r="L90" s="2428"/>
      <c r="M90" s="2428"/>
      <c r="N90" s="2428"/>
    </row>
    <row r="91" spans="1:40">
      <c r="A91" s="3557" t="s">
        <v>1443</v>
      </c>
      <c r="B91" s="3557" t="s">
        <v>1634</v>
      </c>
      <c r="C91" s="1139" t="s">
        <v>1635</v>
      </c>
      <c r="D91" s="1140"/>
      <c r="E91" s="1140"/>
      <c r="F91" s="1140"/>
      <c r="G91" s="1140"/>
      <c r="H91" s="1140"/>
      <c r="I91" s="1140"/>
      <c r="J91" s="1141"/>
      <c r="K91" s="1133"/>
      <c r="L91" s="1133"/>
      <c r="M91" s="1133"/>
      <c r="N91" s="1133"/>
    </row>
    <row r="92" spans="1:40">
      <c r="A92" s="3557"/>
      <c r="B92" s="3557"/>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21"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2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21"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22"/>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22"/>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22"/>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22"/>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22"/>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22"/>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22"/>
      <c r="B108" s="362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23"/>
      <c r="B109" s="3625"/>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0" t="s">
        <v>1639</v>
      </c>
      <c r="B110" s="3610"/>
      <c r="C110" s="3610"/>
      <c r="D110" s="3610"/>
      <c r="E110" s="3610"/>
      <c r="F110" s="3610"/>
      <c r="G110" s="3610"/>
      <c r="H110" s="3610"/>
      <c r="I110" s="3610"/>
      <c r="J110" s="3610"/>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11">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12"/>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9" t="s">
        <v>2782</v>
      </c>
      <c r="X8" s="3620"/>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2"/>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8"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2"/>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2"/>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8"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1"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8"/>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3"/>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8"/>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3"/>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4"/>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1"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2"/>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5"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16"/>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16"/>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17"/>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58" t="s">
        <v>1633</v>
      </c>
      <c r="B90" s="3558"/>
      <c r="C90" s="3558"/>
      <c r="D90" s="3558"/>
      <c r="E90" s="3558"/>
      <c r="F90" s="3558"/>
      <c r="G90" s="3558"/>
      <c r="H90" s="3558"/>
      <c r="I90" s="3558"/>
      <c r="J90" s="3558"/>
      <c r="K90" s="3179"/>
      <c r="L90" s="3179"/>
      <c r="M90" s="3179"/>
      <c r="N90" s="3179"/>
    </row>
    <row r="91" spans="1:40">
      <c r="A91" s="3557" t="s">
        <v>1443</v>
      </c>
      <c r="B91" s="3557" t="s">
        <v>1634</v>
      </c>
      <c r="C91" s="1139" t="s">
        <v>1635</v>
      </c>
      <c r="D91" s="1140"/>
      <c r="E91" s="1140"/>
      <c r="F91" s="1140"/>
      <c r="G91" s="1140"/>
      <c r="H91" s="1140"/>
      <c r="I91" s="1140"/>
      <c r="J91" s="1141"/>
      <c r="K91" s="1133"/>
      <c r="L91" s="1133"/>
      <c r="M91" s="1133"/>
      <c r="N91" s="1133"/>
    </row>
    <row r="92" spans="1:40">
      <c r="A92" s="3557"/>
      <c r="B92" s="3557"/>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21"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2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21"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22"/>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22"/>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22"/>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22"/>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22"/>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22"/>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22"/>
      <c r="B108" s="362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23"/>
      <c r="B109" s="3625"/>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0" t="s">
        <v>1639</v>
      </c>
      <c r="B110" s="3610"/>
      <c r="C110" s="3610"/>
      <c r="D110" s="3610"/>
      <c r="E110" s="3610"/>
      <c r="F110" s="3610"/>
      <c r="G110" s="3610"/>
      <c r="H110" s="3610"/>
      <c r="I110" s="3610"/>
      <c r="J110" s="3610"/>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27" t="s">
        <v>521</v>
      </c>
      <c r="D4" s="3528"/>
      <c r="E4" s="3551" t="s">
        <v>522</v>
      </c>
      <c r="F4" s="3552"/>
      <c r="G4" s="3527" t="s">
        <v>523</v>
      </c>
      <c r="H4" s="3528"/>
      <c r="I4" s="3527" t="s">
        <v>524</v>
      </c>
      <c r="J4" s="3528"/>
      <c r="K4" s="514" t="s">
        <v>525</v>
      </c>
      <c r="L4" s="2132"/>
      <c r="M4" s="2133"/>
      <c r="N4" s="2133"/>
      <c r="O4" s="2133"/>
      <c r="P4" s="3626" t="s">
        <v>526</v>
      </c>
      <c r="Q4" s="3530"/>
      <c r="R4" s="3515" t="s">
        <v>522</v>
      </c>
      <c r="S4" s="3516"/>
      <c r="T4" s="3515" t="s">
        <v>523</v>
      </c>
      <c r="U4" s="3516"/>
      <c r="V4" s="3535" t="s">
        <v>524</v>
      </c>
      <c r="W4" s="3535"/>
      <c r="X4" s="1566"/>
      <c r="Y4" s="3515" t="s">
        <v>526</v>
      </c>
      <c r="Z4" s="3516"/>
      <c r="AA4" s="3510" t="s">
        <v>522</v>
      </c>
      <c r="AB4" s="3510" t="s">
        <v>523</v>
      </c>
      <c r="AC4" s="3510" t="s">
        <v>524</v>
      </c>
    </row>
    <row r="5" spans="1:29" ht="15">
      <c r="A5" s="515"/>
      <c r="B5" s="516"/>
      <c r="C5" s="3538" t="s">
        <v>2925</v>
      </c>
      <c r="D5" s="3539"/>
      <c r="E5" s="3553" t="s">
        <v>2926</v>
      </c>
      <c r="F5" s="3554"/>
      <c r="G5" s="3538" t="s">
        <v>2927</v>
      </c>
      <c r="H5" s="3539"/>
      <c r="I5" s="3538" t="s">
        <v>2928</v>
      </c>
      <c r="J5" s="3539"/>
      <c r="K5" s="514"/>
      <c r="L5" s="2132"/>
      <c r="M5" s="2133"/>
      <c r="N5" s="2133"/>
      <c r="O5" s="2133"/>
      <c r="P5" s="3627"/>
      <c r="Q5" s="3532"/>
      <c r="R5" s="3517"/>
      <c r="S5" s="3518"/>
      <c r="T5" s="3517"/>
      <c r="U5" s="3518"/>
      <c r="V5" s="3535"/>
      <c r="W5" s="3535"/>
      <c r="X5" s="1566"/>
      <c r="Y5" s="3517"/>
      <c r="Z5" s="3518"/>
      <c r="AA5" s="3511"/>
      <c r="AB5" s="3511"/>
      <c r="AC5" s="3511"/>
    </row>
    <row r="6" spans="1:29" ht="15.75" thickBot="1">
      <c r="A6" s="517"/>
      <c r="B6" s="518"/>
      <c r="C6" s="3536" t="s">
        <v>2929</v>
      </c>
      <c r="D6" s="3537"/>
      <c r="E6" s="3555" t="s">
        <v>2929</v>
      </c>
      <c r="F6" s="3556"/>
      <c r="G6" s="3536" t="s">
        <v>2929</v>
      </c>
      <c r="H6" s="3537"/>
      <c r="I6" s="3536" t="s">
        <v>2929</v>
      </c>
      <c r="J6" s="3537"/>
      <c r="K6" s="514" t="s">
        <v>527</v>
      </c>
      <c r="L6" s="2132"/>
      <c r="M6" s="2133"/>
      <c r="N6" s="2133"/>
      <c r="O6" s="2133"/>
      <c r="P6" s="3628"/>
      <c r="Q6" s="3534"/>
      <c r="R6" s="3517"/>
      <c r="S6" s="3518"/>
      <c r="T6" s="3519"/>
      <c r="U6" s="3520"/>
      <c r="V6" s="3535"/>
      <c r="W6" s="3535"/>
      <c r="X6" s="1566"/>
      <c r="Y6" s="3519"/>
      <c r="Z6" s="3520"/>
      <c r="AA6" s="3512"/>
      <c r="AB6" s="3512"/>
      <c r="AC6" s="3512"/>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522" t="s">
        <v>529</v>
      </c>
      <c r="Q7" s="3522"/>
      <c r="R7" s="1567" t="s">
        <v>8</v>
      </c>
      <c r="S7" s="1568">
        <f t="shared" ref="S7:S15" si="0">F7</f>
        <v>0</v>
      </c>
      <c r="T7" s="1567" t="s">
        <v>8</v>
      </c>
      <c r="U7" s="1568">
        <f t="shared" ref="U7:U15" si="1">H7</f>
        <v>0</v>
      </c>
      <c r="V7" s="1567" t="s">
        <v>8</v>
      </c>
      <c r="W7" s="1568">
        <f t="shared" ref="W7:W15" si="2">J7</f>
        <v>0</v>
      </c>
      <c r="X7" s="1569"/>
      <c r="Y7" s="3513" t="s">
        <v>529</v>
      </c>
      <c r="Z7" s="3514"/>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522" t="s">
        <v>532</v>
      </c>
      <c r="Q8" s="3514"/>
      <c r="R8" s="1567" t="s">
        <v>8</v>
      </c>
      <c r="S8" s="1568">
        <f t="shared" si="0"/>
        <v>0</v>
      </c>
      <c r="T8" s="1567" t="s">
        <v>8</v>
      </c>
      <c r="U8" s="1568">
        <f t="shared" si="1"/>
        <v>0</v>
      </c>
      <c r="V8" s="1567" t="s">
        <v>8</v>
      </c>
      <c r="W8" s="1568">
        <f t="shared" si="2"/>
        <v>0</v>
      </c>
      <c r="X8" s="1569"/>
      <c r="Y8" s="3513" t="s">
        <v>532</v>
      </c>
      <c r="Z8" s="3514"/>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21" t="s">
        <v>534</v>
      </c>
      <c r="Q9" s="1150" t="str">
        <f t="shared" ref="Q9:Q15" si="6">B9</f>
        <v>用途</v>
      </c>
      <c r="R9" s="1567" t="s">
        <v>8</v>
      </c>
      <c r="S9" s="1568">
        <f t="shared" si="0"/>
        <v>100</v>
      </c>
      <c r="T9" s="1567" t="s">
        <v>8</v>
      </c>
      <c r="U9" s="1568">
        <f t="shared" si="1"/>
        <v>100</v>
      </c>
      <c r="V9" s="1567" t="s">
        <v>8</v>
      </c>
      <c r="W9" s="1568">
        <f t="shared" si="2"/>
        <v>100</v>
      </c>
      <c r="X9" s="1569"/>
      <c r="Y9" s="340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21"/>
      <c r="Q10" s="1150" t="str">
        <f t="shared" si="6"/>
        <v>土地使用年限（年）</v>
      </c>
      <c r="R10" s="1567" t="s">
        <v>8</v>
      </c>
      <c r="S10" s="1568">
        <f t="shared" si="0"/>
        <v>100</v>
      </c>
      <c r="T10" s="1567" t="s">
        <v>8</v>
      </c>
      <c r="U10" s="1568">
        <f t="shared" si="1"/>
        <v>100</v>
      </c>
      <c r="V10" s="1567" t="s">
        <v>8</v>
      </c>
      <c r="W10" s="1568">
        <f t="shared" si="2"/>
        <v>100</v>
      </c>
      <c r="X10" s="1569"/>
      <c r="Y10" s="340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21"/>
      <c r="Q11" s="1150" t="str">
        <f t="shared" si="6"/>
        <v>容积率</v>
      </c>
      <c r="R11" s="1567" t="s">
        <v>8</v>
      </c>
      <c r="S11" s="1568" t="e">
        <f t="shared" si="0"/>
        <v>#N/A</v>
      </c>
      <c r="T11" s="1567" t="s">
        <v>8</v>
      </c>
      <c r="U11" s="1568" t="e">
        <f t="shared" si="1"/>
        <v>#N/A</v>
      </c>
      <c r="V11" s="1567" t="s">
        <v>8</v>
      </c>
      <c r="W11" s="1568" t="e">
        <f t="shared" si="2"/>
        <v>#N/A</v>
      </c>
      <c r="X11" s="1569"/>
      <c r="Y11" s="340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21"/>
      <c r="Q12" s="1150">
        <f t="shared" si="6"/>
        <v>111</v>
      </c>
      <c r="R12" s="1567" t="s">
        <v>8</v>
      </c>
      <c r="S12" s="1568">
        <f t="shared" si="0"/>
        <v>100</v>
      </c>
      <c r="T12" s="1567" t="s">
        <v>8</v>
      </c>
      <c r="U12" s="1568">
        <f t="shared" si="1"/>
        <v>100</v>
      </c>
      <c r="V12" s="1567" t="s">
        <v>8</v>
      </c>
      <c r="W12" s="1568">
        <f t="shared" si="2"/>
        <v>100</v>
      </c>
      <c r="X12" s="1569"/>
      <c r="Y12" s="3408"/>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21"/>
      <c r="Q13" s="1150">
        <f t="shared" si="6"/>
        <v>111</v>
      </c>
      <c r="R13" s="1567" t="s">
        <v>8</v>
      </c>
      <c r="S13" s="1568">
        <f t="shared" si="0"/>
        <v>100</v>
      </c>
      <c r="T13" s="1567" t="s">
        <v>8</v>
      </c>
      <c r="U13" s="1568">
        <f t="shared" si="1"/>
        <v>100</v>
      </c>
      <c r="V13" s="1567" t="s">
        <v>8</v>
      </c>
      <c r="W13" s="1568">
        <f t="shared" si="2"/>
        <v>100</v>
      </c>
      <c r="X13" s="1569"/>
      <c r="Y13" s="3408"/>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21"/>
      <c r="Q14" s="1150">
        <f t="shared" si="6"/>
        <v>111</v>
      </c>
      <c r="R14" s="1567" t="s">
        <v>8</v>
      </c>
      <c r="S14" s="1568">
        <f t="shared" si="0"/>
        <v>100</v>
      </c>
      <c r="T14" s="1567" t="s">
        <v>8</v>
      </c>
      <c r="U14" s="1568">
        <f t="shared" si="1"/>
        <v>100</v>
      </c>
      <c r="V14" s="1567" t="s">
        <v>8</v>
      </c>
      <c r="W14" s="1568">
        <f t="shared" si="2"/>
        <v>100</v>
      </c>
      <c r="X14" s="1569"/>
      <c r="Y14" s="3408"/>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523" t="s">
        <v>539</v>
      </c>
      <c r="Q15" s="1571" t="str">
        <f t="shared" si="6"/>
        <v>办公集聚程度</v>
      </c>
      <c r="R15" s="1572" t="s">
        <v>8</v>
      </c>
      <c r="S15" s="1573">
        <f t="shared" si="0"/>
        <v>100</v>
      </c>
      <c r="T15" s="1572" t="s">
        <v>8</v>
      </c>
      <c r="U15" s="1573">
        <f t="shared" si="1"/>
        <v>100</v>
      </c>
      <c r="V15" s="1572" t="s">
        <v>8</v>
      </c>
      <c r="W15" s="1573">
        <f t="shared" si="2"/>
        <v>100</v>
      </c>
      <c r="X15" s="1566"/>
      <c r="Y15" s="3523"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524"/>
      <c r="Q16" s="1571"/>
      <c r="R16" s="1572"/>
      <c r="S16" s="1573"/>
      <c r="T16" s="1572"/>
      <c r="U16" s="1573"/>
      <c r="V16" s="1572"/>
      <c r="W16" s="1573"/>
      <c r="X16" s="1566"/>
      <c r="Y16" s="3524"/>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524"/>
      <c r="Q17" s="1571" t="str">
        <f>B17</f>
        <v>交通便捷度</v>
      </c>
      <c r="R17" s="1572" t="s">
        <v>8</v>
      </c>
      <c r="S17" s="1573">
        <f>F17</f>
        <v>100</v>
      </c>
      <c r="T17" s="1572" t="s">
        <v>8</v>
      </c>
      <c r="U17" s="1573">
        <f>H17</f>
        <v>100</v>
      </c>
      <c r="V17" s="1572" t="s">
        <v>8</v>
      </c>
      <c r="W17" s="1573">
        <f>J17</f>
        <v>100</v>
      </c>
      <c r="X17" s="1566"/>
      <c r="Y17" s="3524"/>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524"/>
      <c r="Q18" s="1571"/>
      <c r="R18" s="1572"/>
      <c r="S18" s="1573"/>
      <c r="T18" s="1572"/>
      <c r="U18" s="1573"/>
      <c r="V18" s="1572"/>
      <c r="W18" s="1573"/>
      <c r="X18" s="1566"/>
      <c r="Y18" s="3524"/>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524"/>
      <c r="Q19" s="1571" t="str">
        <f>B19</f>
        <v>公共配套设施</v>
      </c>
      <c r="R19" s="1572" t="s">
        <v>8</v>
      </c>
      <c r="S19" s="1573">
        <f>F19</f>
        <v>100</v>
      </c>
      <c r="T19" s="1572" t="s">
        <v>8</v>
      </c>
      <c r="U19" s="1573">
        <f>H19</f>
        <v>100</v>
      </c>
      <c r="V19" s="1572" t="s">
        <v>8</v>
      </c>
      <c r="W19" s="1573">
        <f>J19</f>
        <v>100</v>
      </c>
      <c r="X19" s="1566"/>
      <c r="Y19" s="3524"/>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524"/>
      <c r="Q20" s="1571"/>
      <c r="R20" s="1572"/>
      <c r="S20" s="1573"/>
      <c r="T20" s="1572"/>
      <c r="U20" s="1573"/>
      <c r="V20" s="1572"/>
      <c r="W20" s="1573"/>
      <c r="X20" s="1566"/>
      <c r="Y20" s="3524"/>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524"/>
      <c r="Q21" s="2557" t="str">
        <f>B21</f>
        <v>基础设施水平</v>
      </c>
      <c r="R21" s="1572" t="s">
        <v>8</v>
      </c>
      <c r="S21" s="1573">
        <f>F21</f>
        <v>100</v>
      </c>
      <c r="T21" s="1572" t="s">
        <v>8</v>
      </c>
      <c r="U21" s="1573">
        <f>H21</f>
        <v>100</v>
      </c>
      <c r="V21" s="1572" t="s">
        <v>8</v>
      </c>
      <c r="W21" s="1573">
        <f>J21</f>
        <v>100</v>
      </c>
      <c r="X21" s="2559"/>
      <c r="Y21" s="3524"/>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524"/>
      <c r="Q22" s="2557"/>
      <c r="R22" s="1572"/>
      <c r="S22" s="1573"/>
      <c r="T22" s="1572"/>
      <c r="U22" s="1573"/>
      <c r="V22" s="1572"/>
      <c r="W22" s="1573"/>
      <c r="X22" s="2559"/>
      <c r="Y22" s="3524"/>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524"/>
      <c r="Q23" s="1571" t="str">
        <f>B23</f>
        <v>环境质量</v>
      </c>
      <c r="R23" s="1572" t="s">
        <v>8</v>
      </c>
      <c r="S23" s="1573">
        <f>F23</f>
        <v>100</v>
      </c>
      <c r="T23" s="1572" t="s">
        <v>8</v>
      </c>
      <c r="U23" s="1573">
        <f>H23</f>
        <v>100</v>
      </c>
      <c r="V23" s="1572" t="s">
        <v>8</v>
      </c>
      <c r="W23" s="1573">
        <f>J23</f>
        <v>100</v>
      </c>
      <c r="X23" s="1566"/>
      <c r="Y23" s="3524"/>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524"/>
      <c r="Q24" s="1571"/>
      <c r="R24" s="1572"/>
      <c r="S24" s="1573"/>
      <c r="T24" s="1572"/>
      <c r="U24" s="1573"/>
      <c r="V24" s="1572"/>
      <c r="W24" s="1573"/>
      <c r="X24" s="1566"/>
      <c r="Y24" s="3524"/>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524"/>
      <c r="Q25" s="1571" t="str">
        <f>B25</f>
        <v>毗邻道路的类型与等级</v>
      </c>
      <c r="R25" s="1572" t="s">
        <v>8</v>
      </c>
      <c r="S25" s="1573">
        <f>F25</f>
        <v>100</v>
      </c>
      <c r="T25" s="1572" t="s">
        <v>8</v>
      </c>
      <c r="U25" s="1573">
        <f>H25</f>
        <v>100</v>
      </c>
      <c r="V25" s="1572" t="s">
        <v>8</v>
      </c>
      <c r="W25" s="1573">
        <f>J25</f>
        <v>100</v>
      </c>
      <c r="X25" s="1566"/>
      <c r="Y25" s="3524"/>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524"/>
      <c r="Q26" s="1571"/>
      <c r="R26" s="1572"/>
      <c r="S26" s="1573"/>
      <c r="T26" s="1572"/>
      <c r="U26" s="1573"/>
      <c r="V26" s="1572"/>
      <c r="W26" s="1573"/>
      <c r="X26" s="1566"/>
      <c r="Y26" s="3524"/>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524"/>
      <c r="Q27" s="1571" t="str">
        <f t="shared" ref="Q27:Q47" si="11">B27</f>
        <v>楼层</v>
      </c>
      <c r="R27" s="1572" t="s">
        <v>8</v>
      </c>
      <c r="S27" s="1573">
        <f>F27</f>
        <v>100</v>
      </c>
      <c r="T27" s="1572" t="s">
        <v>8</v>
      </c>
      <c r="U27" s="1573">
        <f>H27</f>
        <v>100</v>
      </c>
      <c r="V27" s="1572" t="s">
        <v>8</v>
      </c>
      <c r="W27" s="1573">
        <f>J27</f>
        <v>100</v>
      </c>
      <c r="X27" s="1566"/>
      <c r="Y27" s="3524"/>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524"/>
      <c r="Q28" s="1150" t="str">
        <f t="shared" si="11"/>
        <v>朝向</v>
      </c>
      <c r="R28" s="1567" t="s">
        <v>8</v>
      </c>
      <c r="S28" s="1568">
        <f>F28</f>
        <v>100</v>
      </c>
      <c r="T28" s="1567" t="s">
        <v>8</v>
      </c>
      <c r="U28" s="1568">
        <f>H28</f>
        <v>100</v>
      </c>
      <c r="V28" s="1567" t="s">
        <v>8</v>
      </c>
      <c r="W28" s="1568">
        <f>J28</f>
        <v>100</v>
      </c>
      <c r="X28" s="1569"/>
      <c r="Y28" s="3524"/>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524"/>
      <c r="Q29" s="1571">
        <f t="shared" si="11"/>
        <v>111</v>
      </c>
      <c r="R29" s="1572" t="s">
        <v>8</v>
      </c>
      <c r="S29" s="1573">
        <f t="shared" ref="S29:S47" si="12">F29</f>
        <v>100</v>
      </c>
      <c r="T29" s="1572" t="s">
        <v>8</v>
      </c>
      <c r="U29" s="1573">
        <f t="shared" ref="U29:U47" si="13">H29</f>
        <v>100</v>
      </c>
      <c r="V29" s="1572" t="s">
        <v>8</v>
      </c>
      <c r="W29" s="1573">
        <f t="shared" ref="W29:W47" si="14">J29</f>
        <v>100</v>
      </c>
      <c r="X29" s="1566"/>
      <c r="Y29" s="3524"/>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524"/>
      <c r="Q30" s="1571">
        <f t="shared" si="11"/>
        <v>111</v>
      </c>
      <c r="R30" s="1572" t="s">
        <v>8</v>
      </c>
      <c r="S30" s="1573">
        <f t="shared" si="12"/>
        <v>100</v>
      </c>
      <c r="T30" s="1572" t="s">
        <v>8</v>
      </c>
      <c r="U30" s="1573">
        <f t="shared" si="13"/>
        <v>100</v>
      </c>
      <c r="V30" s="1572" t="s">
        <v>8</v>
      </c>
      <c r="W30" s="1573">
        <f t="shared" si="14"/>
        <v>100</v>
      </c>
      <c r="X30" s="1566"/>
      <c r="Y30" s="3524"/>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524"/>
      <c r="Q31" s="1571">
        <f t="shared" si="11"/>
        <v>111</v>
      </c>
      <c r="R31" s="1572" t="s">
        <v>8</v>
      </c>
      <c r="S31" s="1573">
        <f t="shared" si="12"/>
        <v>100</v>
      </c>
      <c r="T31" s="1572" t="s">
        <v>8</v>
      </c>
      <c r="U31" s="1573">
        <f t="shared" si="13"/>
        <v>100</v>
      </c>
      <c r="V31" s="1572" t="s">
        <v>8</v>
      </c>
      <c r="W31" s="1573">
        <f t="shared" si="14"/>
        <v>100</v>
      </c>
      <c r="X31" s="1566"/>
      <c r="Y31" s="3524"/>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524"/>
      <c r="Q32" s="1571">
        <f t="shared" si="11"/>
        <v>111</v>
      </c>
      <c r="R32" s="1572" t="s">
        <v>8</v>
      </c>
      <c r="S32" s="1573">
        <f t="shared" si="12"/>
        <v>100</v>
      </c>
      <c r="T32" s="1572" t="s">
        <v>8</v>
      </c>
      <c r="U32" s="1573">
        <f t="shared" si="13"/>
        <v>100</v>
      </c>
      <c r="V32" s="1572" t="s">
        <v>8</v>
      </c>
      <c r="W32" s="1573">
        <f t="shared" si="14"/>
        <v>100</v>
      </c>
      <c r="X32" s="1566"/>
      <c r="Y32" s="3524"/>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525" t="s">
        <v>549</v>
      </c>
      <c r="Q33" s="1571" t="str">
        <f t="shared" si="11"/>
        <v>建筑类型</v>
      </c>
      <c r="R33" s="1572" t="s">
        <v>8</v>
      </c>
      <c r="S33" s="1573">
        <f t="shared" si="12"/>
        <v>100</v>
      </c>
      <c r="T33" s="1572" t="s">
        <v>8</v>
      </c>
      <c r="U33" s="1573">
        <f t="shared" si="13"/>
        <v>100</v>
      </c>
      <c r="V33" s="1572" t="s">
        <v>8</v>
      </c>
      <c r="W33" s="1573">
        <f t="shared" si="14"/>
        <v>100</v>
      </c>
      <c r="X33" s="1566"/>
      <c r="Y33" s="3526"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526"/>
      <c r="Q34" s="1604" t="str">
        <f t="shared" si="11"/>
        <v>项目建筑规模</v>
      </c>
      <c r="R34" s="1576" t="s">
        <v>8</v>
      </c>
      <c r="S34" s="1577" t="e">
        <f t="shared" si="12"/>
        <v>#N/A</v>
      </c>
      <c r="T34" s="1576" t="s">
        <v>8</v>
      </c>
      <c r="U34" s="1577" t="e">
        <f t="shared" si="13"/>
        <v>#N/A</v>
      </c>
      <c r="V34" s="1576" t="s">
        <v>8</v>
      </c>
      <c r="W34" s="1577" t="e">
        <f t="shared" si="14"/>
        <v>#N/A</v>
      </c>
      <c r="X34" s="1578"/>
      <c r="Y34" s="3526"/>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526"/>
      <c r="Q35" s="1571" t="str">
        <f t="shared" si="11"/>
        <v>建筑结构</v>
      </c>
      <c r="R35" s="1572" t="s">
        <v>8</v>
      </c>
      <c r="S35" s="1573">
        <f t="shared" si="12"/>
        <v>100</v>
      </c>
      <c r="T35" s="1572" t="s">
        <v>8</v>
      </c>
      <c r="U35" s="1573">
        <f t="shared" si="13"/>
        <v>100</v>
      </c>
      <c r="V35" s="1572" t="s">
        <v>8</v>
      </c>
      <c r="W35" s="1573">
        <f t="shared" si="14"/>
        <v>100</v>
      </c>
      <c r="X35" s="1566"/>
      <c r="Y35" s="3526"/>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526"/>
      <c r="Q36" s="1571" t="str">
        <f t="shared" si="11"/>
        <v>公共部分装修</v>
      </c>
      <c r="R36" s="1572" t="s">
        <v>8</v>
      </c>
      <c r="S36" s="1573">
        <f t="shared" si="12"/>
        <v>100</v>
      </c>
      <c r="T36" s="1572" t="s">
        <v>8</v>
      </c>
      <c r="U36" s="1573">
        <f t="shared" si="13"/>
        <v>100</v>
      </c>
      <c r="V36" s="1572" t="s">
        <v>8</v>
      </c>
      <c r="W36" s="1573">
        <f t="shared" si="14"/>
        <v>100</v>
      </c>
      <c r="X36" s="1566"/>
      <c r="Y36" s="3526"/>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526"/>
      <c r="Q37" s="1571" t="str">
        <f t="shared" si="11"/>
        <v>成新度</v>
      </c>
      <c r="R37" s="1572" t="s">
        <v>8</v>
      </c>
      <c r="S37" s="1573" t="e">
        <f t="shared" si="12"/>
        <v>#N/A</v>
      </c>
      <c r="T37" s="1572" t="s">
        <v>8</v>
      </c>
      <c r="U37" s="1573" t="e">
        <f t="shared" si="13"/>
        <v>#N/A</v>
      </c>
      <c r="V37" s="1572" t="s">
        <v>8</v>
      </c>
      <c r="W37" s="1573" t="e">
        <f t="shared" si="14"/>
        <v>#N/A</v>
      </c>
      <c r="X37" s="1566"/>
      <c r="Y37" s="3526"/>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526"/>
      <c r="Q38" s="1150" t="str">
        <f t="shared" si="11"/>
        <v>写字楼等级</v>
      </c>
      <c r="R38" s="1567" t="s">
        <v>8</v>
      </c>
      <c r="S38" s="1568">
        <f t="shared" si="12"/>
        <v>100</v>
      </c>
      <c r="T38" s="1567" t="s">
        <v>8</v>
      </c>
      <c r="U38" s="1568">
        <f t="shared" si="13"/>
        <v>100</v>
      </c>
      <c r="V38" s="1567" t="s">
        <v>8</v>
      </c>
      <c r="W38" s="1568">
        <f t="shared" si="14"/>
        <v>100</v>
      </c>
      <c r="X38" s="1569"/>
      <c r="Y38" s="3526"/>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526" t="s">
        <v>549</v>
      </c>
      <c r="Q39" s="1571" t="str">
        <f t="shared" si="11"/>
        <v>物业管理</v>
      </c>
      <c r="R39" s="1572" t="s">
        <v>8</v>
      </c>
      <c r="S39" s="1573">
        <f t="shared" si="12"/>
        <v>100</v>
      </c>
      <c r="T39" s="1572" t="s">
        <v>8</v>
      </c>
      <c r="U39" s="1573">
        <f t="shared" si="13"/>
        <v>100</v>
      </c>
      <c r="V39" s="1572" t="s">
        <v>8</v>
      </c>
      <c r="W39" s="1573">
        <f t="shared" si="14"/>
        <v>100</v>
      </c>
      <c r="X39" s="1566"/>
      <c r="Y39" s="3526"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526"/>
      <c r="Q40" s="1571" t="str">
        <f t="shared" si="11"/>
        <v>市政基础设施</v>
      </c>
      <c r="R40" s="1572" t="s">
        <v>8</v>
      </c>
      <c r="S40" s="1573">
        <f t="shared" si="12"/>
        <v>100</v>
      </c>
      <c r="T40" s="1572" t="s">
        <v>8</v>
      </c>
      <c r="U40" s="1573">
        <f t="shared" si="13"/>
        <v>100</v>
      </c>
      <c r="V40" s="1572" t="s">
        <v>8</v>
      </c>
      <c r="W40" s="1573">
        <f t="shared" si="14"/>
        <v>100</v>
      </c>
      <c r="X40" s="1566"/>
      <c r="Y40" s="3526"/>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526"/>
      <c r="Q41" s="1571" t="str">
        <f t="shared" si="11"/>
        <v>层高</v>
      </c>
      <c r="R41" s="1572" t="s">
        <v>8</v>
      </c>
      <c r="S41" s="1573">
        <f t="shared" si="12"/>
        <v>100</v>
      </c>
      <c r="T41" s="1572" t="s">
        <v>8</v>
      </c>
      <c r="U41" s="1573">
        <f t="shared" si="13"/>
        <v>100</v>
      </c>
      <c r="V41" s="1572" t="s">
        <v>8</v>
      </c>
      <c r="W41" s="1573">
        <f t="shared" si="14"/>
        <v>100</v>
      </c>
      <c r="X41" s="1566"/>
      <c r="Y41" s="3526"/>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526"/>
      <c r="Q42" s="1604" t="str">
        <f t="shared" si="11"/>
        <v>单套建筑面积</v>
      </c>
      <c r="R42" s="1576" t="s">
        <v>8</v>
      </c>
      <c r="S42" s="1577">
        <f t="shared" si="12"/>
        <v>100</v>
      </c>
      <c r="T42" s="1576" t="s">
        <v>8</v>
      </c>
      <c r="U42" s="1577">
        <f t="shared" si="13"/>
        <v>100</v>
      </c>
      <c r="V42" s="1576" t="s">
        <v>8</v>
      </c>
      <c r="W42" s="1577">
        <f t="shared" si="14"/>
        <v>100</v>
      </c>
      <c r="X42" s="1578"/>
      <c r="Y42" s="3526"/>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526"/>
      <c r="Q43" s="1571" t="str">
        <f t="shared" si="11"/>
        <v>内部装修</v>
      </c>
      <c r="R43" s="1572" t="s">
        <v>8</v>
      </c>
      <c r="S43" s="1573">
        <f t="shared" si="12"/>
        <v>100</v>
      </c>
      <c r="T43" s="1572" t="s">
        <v>8</v>
      </c>
      <c r="U43" s="1573">
        <f t="shared" si="13"/>
        <v>100</v>
      </c>
      <c r="V43" s="1572" t="s">
        <v>8</v>
      </c>
      <c r="W43" s="1573">
        <f t="shared" si="14"/>
        <v>100</v>
      </c>
      <c r="X43" s="1566"/>
      <c r="Y43" s="3526"/>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526"/>
      <c r="Q44" s="1571" t="str">
        <f t="shared" si="11"/>
        <v>内部装修维护情况</v>
      </c>
      <c r="R44" s="1572" t="s">
        <v>8</v>
      </c>
      <c r="S44" s="1573">
        <f t="shared" si="12"/>
        <v>100</v>
      </c>
      <c r="T44" s="1572" t="s">
        <v>8</v>
      </c>
      <c r="U44" s="1573">
        <f t="shared" si="13"/>
        <v>100</v>
      </c>
      <c r="V44" s="1572" t="s">
        <v>8</v>
      </c>
      <c r="W44" s="1573">
        <f t="shared" si="14"/>
        <v>100</v>
      </c>
      <c r="X44" s="1566"/>
      <c r="Y44" s="3526"/>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526"/>
      <c r="Q45" s="1150">
        <f t="shared" si="11"/>
        <v>111</v>
      </c>
      <c r="R45" s="1567" t="s">
        <v>8</v>
      </c>
      <c r="S45" s="1568">
        <f t="shared" si="12"/>
        <v>100</v>
      </c>
      <c r="T45" s="1567" t="s">
        <v>8</v>
      </c>
      <c r="U45" s="1568">
        <f t="shared" si="13"/>
        <v>100</v>
      </c>
      <c r="V45" s="1567" t="s">
        <v>8</v>
      </c>
      <c r="W45" s="1568">
        <f t="shared" si="14"/>
        <v>100</v>
      </c>
      <c r="X45" s="1569"/>
      <c r="Y45" s="3526"/>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526"/>
      <c r="Q46" s="1571">
        <f t="shared" si="11"/>
        <v>111</v>
      </c>
      <c r="R46" s="1572" t="s">
        <v>8</v>
      </c>
      <c r="S46" s="1573">
        <f t="shared" si="12"/>
        <v>100</v>
      </c>
      <c r="T46" s="1572" t="s">
        <v>8</v>
      </c>
      <c r="U46" s="1573">
        <f t="shared" si="13"/>
        <v>100</v>
      </c>
      <c r="V46" s="1572" t="s">
        <v>8</v>
      </c>
      <c r="W46" s="1573">
        <f t="shared" si="14"/>
        <v>100</v>
      </c>
      <c r="X46" s="1566"/>
      <c r="Y46" s="3526"/>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09"/>
      <c r="Q47" s="1571">
        <f t="shared" si="11"/>
        <v>111</v>
      </c>
      <c r="R47" s="1572" t="s">
        <v>8</v>
      </c>
      <c r="S47" s="1573">
        <f t="shared" si="12"/>
        <v>100</v>
      </c>
      <c r="T47" s="1572" t="s">
        <v>8</v>
      </c>
      <c r="U47" s="1573">
        <f t="shared" si="13"/>
        <v>100</v>
      </c>
      <c r="V47" s="1572" t="s">
        <v>8</v>
      </c>
      <c r="W47" s="1573">
        <f t="shared" si="14"/>
        <v>100</v>
      </c>
      <c r="X47" s="1566"/>
      <c r="Y47" s="3609"/>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43" t="str">
        <f>A48</f>
        <v>成交单价（元/平方米）</v>
      </c>
      <c r="Q48" s="3521"/>
      <c r="R48" s="3608">
        <f>E48</f>
        <v>0</v>
      </c>
      <c r="S48" s="3608"/>
      <c r="T48" s="3608">
        <f>G48</f>
        <v>0</v>
      </c>
      <c r="U48" s="3608"/>
      <c r="V48" s="3608">
        <f>I48</f>
        <v>0</v>
      </c>
      <c r="W48" s="3608"/>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43" t="str">
        <f>A49</f>
        <v>比较价格（元/平方米）</v>
      </c>
      <c r="Q49" s="3521"/>
      <c r="R49" s="3608" t="e">
        <f>IF(F1="售价",ROUND(PRODUCT(R48,AA7:AA47),0),ROUND(PRODUCT(R48,AA7:AA47),1))</f>
        <v>#DIV/0!</v>
      </c>
      <c r="S49" s="3608"/>
      <c r="T49" s="3608" t="e">
        <f>IF(F1="售价",ROUND(PRODUCT(T48,AB7:AB47),0),ROUND(PRODUCT(T48,AB7:AB47),1))</f>
        <v>#DIV/0!</v>
      </c>
      <c r="U49" s="3608"/>
      <c r="V49" s="3608" t="e">
        <f>IF(F1="售价",ROUND(PRODUCT(V48,AC7:AC47),0),ROUND(PRODUCT(V48,AC7:AC47),1))</f>
        <v>#DIV/0!</v>
      </c>
      <c r="W49" s="3608"/>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29" t="str">
        <f>A50</f>
        <v>估价对象XX用房的比较价格（楼面单价，元/平方米）</v>
      </c>
      <c r="Q50" s="3543"/>
      <c r="R50" s="3607" t="e">
        <f>IF(F1="售价",ROUND(AVERAGE(R49:V49),0),ROUND(AVERAGE(R49:V49),1))</f>
        <v>#DIV/0!</v>
      </c>
      <c r="S50" s="3607"/>
      <c r="T50" s="3607"/>
      <c r="U50" s="3607"/>
      <c r="V50" s="3607"/>
      <c r="W50" s="3607"/>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27" t="s">
        <v>521</v>
      </c>
      <c r="D4" s="3528"/>
      <c r="E4" s="3551" t="s">
        <v>522</v>
      </c>
      <c r="F4" s="3552"/>
      <c r="G4" s="3527" t="s">
        <v>523</v>
      </c>
      <c r="H4" s="3528"/>
      <c r="I4" s="3527" t="s">
        <v>524</v>
      </c>
      <c r="J4" s="3528"/>
      <c r="K4" s="514" t="s">
        <v>525</v>
      </c>
      <c r="L4" s="2132"/>
      <c r="M4" s="2133"/>
      <c r="N4" s="2133"/>
      <c r="O4" s="2133"/>
      <c r="P4" s="3529" t="s">
        <v>526</v>
      </c>
      <c r="Q4" s="3530"/>
      <c r="R4" s="3515" t="s">
        <v>522</v>
      </c>
      <c r="S4" s="3516"/>
      <c r="T4" s="3515" t="s">
        <v>523</v>
      </c>
      <c r="U4" s="3516"/>
      <c r="V4" s="3535" t="s">
        <v>524</v>
      </c>
      <c r="W4" s="3535"/>
      <c r="X4" s="1566"/>
      <c r="Y4" s="3515" t="s">
        <v>526</v>
      </c>
      <c r="Z4" s="3516"/>
      <c r="AA4" s="3510" t="s">
        <v>522</v>
      </c>
      <c r="AB4" s="3511" t="s">
        <v>523</v>
      </c>
      <c r="AC4" s="3510" t="s">
        <v>524</v>
      </c>
    </row>
    <row r="5" spans="1:29" ht="15">
      <c r="A5" s="515"/>
      <c r="B5" s="516"/>
      <c r="C5" s="3538" t="s">
        <v>2925</v>
      </c>
      <c r="D5" s="3539"/>
      <c r="E5" s="3553" t="s">
        <v>2926</v>
      </c>
      <c r="F5" s="3554"/>
      <c r="G5" s="3538" t="s">
        <v>2927</v>
      </c>
      <c r="H5" s="3539"/>
      <c r="I5" s="3538" t="s">
        <v>2928</v>
      </c>
      <c r="J5" s="3539"/>
      <c r="K5" s="514"/>
      <c r="L5" s="2132"/>
      <c r="M5" s="2133"/>
      <c r="N5" s="2133"/>
      <c r="O5" s="2133"/>
      <c r="P5" s="3531"/>
      <c r="Q5" s="3532"/>
      <c r="R5" s="3517"/>
      <c r="S5" s="3518"/>
      <c r="T5" s="3517"/>
      <c r="U5" s="3518"/>
      <c r="V5" s="3535"/>
      <c r="W5" s="3535"/>
      <c r="X5" s="1566"/>
      <c r="Y5" s="3517"/>
      <c r="Z5" s="3518"/>
      <c r="AA5" s="3511"/>
      <c r="AB5" s="3511"/>
      <c r="AC5" s="3511"/>
    </row>
    <row r="6" spans="1:29" ht="15.75" thickBot="1">
      <c r="A6" s="517"/>
      <c r="B6" s="518"/>
      <c r="C6" s="3536" t="s">
        <v>2929</v>
      </c>
      <c r="D6" s="3537"/>
      <c r="E6" s="3555" t="s">
        <v>2929</v>
      </c>
      <c r="F6" s="3556"/>
      <c r="G6" s="3536" t="s">
        <v>2929</v>
      </c>
      <c r="H6" s="3537"/>
      <c r="I6" s="3536" t="s">
        <v>2929</v>
      </c>
      <c r="J6" s="3537"/>
      <c r="K6" s="514" t="s">
        <v>527</v>
      </c>
      <c r="L6" s="2132"/>
      <c r="M6" s="2133"/>
      <c r="N6" s="2133"/>
      <c r="O6" s="2133"/>
      <c r="P6" s="3533"/>
      <c r="Q6" s="3534"/>
      <c r="R6" s="3517"/>
      <c r="S6" s="3518"/>
      <c r="T6" s="3519"/>
      <c r="U6" s="3520"/>
      <c r="V6" s="3535"/>
      <c r="W6" s="3535"/>
      <c r="X6" s="1566"/>
      <c r="Y6" s="3519"/>
      <c r="Z6" s="3520"/>
      <c r="AA6" s="3512"/>
      <c r="AB6" s="3512"/>
      <c r="AC6" s="3512"/>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513" t="s">
        <v>529</v>
      </c>
      <c r="Q7" s="3522"/>
      <c r="R7" s="1567" t="s">
        <v>8</v>
      </c>
      <c r="S7" s="1568">
        <f t="shared" ref="S7:S15" si="0">F7</f>
        <v>0</v>
      </c>
      <c r="T7" s="1567" t="s">
        <v>8</v>
      </c>
      <c r="U7" s="1568">
        <f t="shared" ref="U7:U15" si="1">H7</f>
        <v>0</v>
      </c>
      <c r="V7" s="1567" t="s">
        <v>8</v>
      </c>
      <c r="W7" s="1568">
        <f t="shared" ref="W7:W15" si="2">J7</f>
        <v>0</v>
      </c>
      <c r="X7" s="1569"/>
      <c r="Y7" s="3513" t="s">
        <v>529</v>
      </c>
      <c r="Z7" s="3514"/>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513" t="s">
        <v>532</v>
      </c>
      <c r="Q8" s="3514"/>
      <c r="R8" s="1567" t="s">
        <v>8</v>
      </c>
      <c r="S8" s="1568">
        <f t="shared" si="0"/>
        <v>0</v>
      </c>
      <c r="T8" s="1567" t="s">
        <v>8</v>
      </c>
      <c r="U8" s="1568">
        <f t="shared" si="1"/>
        <v>0</v>
      </c>
      <c r="V8" s="1567" t="s">
        <v>8</v>
      </c>
      <c r="W8" s="1568">
        <f t="shared" si="2"/>
        <v>0</v>
      </c>
      <c r="X8" s="1569"/>
      <c r="Y8" s="3513" t="s">
        <v>532</v>
      </c>
      <c r="Z8" s="3514"/>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21" t="s">
        <v>534</v>
      </c>
      <c r="Q9" s="1150" t="str">
        <f t="shared" ref="Q9:Q15" si="6">B9</f>
        <v>用途</v>
      </c>
      <c r="R9" s="1567" t="s">
        <v>8</v>
      </c>
      <c r="S9" s="1568">
        <f t="shared" si="0"/>
        <v>100</v>
      </c>
      <c r="T9" s="1567" t="s">
        <v>8</v>
      </c>
      <c r="U9" s="1568">
        <f t="shared" si="1"/>
        <v>100</v>
      </c>
      <c r="V9" s="1567" t="s">
        <v>8</v>
      </c>
      <c r="W9" s="1568">
        <f t="shared" si="2"/>
        <v>100</v>
      </c>
      <c r="X9" s="1569"/>
      <c r="Y9" s="340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21"/>
      <c r="Q10" s="1150" t="str">
        <f t="shared" si="6"/>
        <v>土地使用年限（年）</v>
      </c>
      <c r="R10" s="1567" t="s">
        <v>8</v>
      </c>
      <c r="S10" s="1568">
        <f t="shared" si="0"/>
        <v>100</v>
      </c>
      <c r="T10" s="1567" t="s">
        <v>8</v>
      </c>
      <c r="U10" s="1568">
        <f t="shared" si="1"/>
        <v>100</v>
      </c>
      <c r="V10" s="1567" t="s">
        <v>8</v>
      </c>
      <c r="W10" s="1568">
        <f t="shared" si="2"/>
        <v>100</v>
      </c>
      <c r="X10" s="1569"/>
      <c r="Y10" s="340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21"/>
      <c r="Q11" s="1150" t="str">
        <f t="shared" si="6"/>
        <v>容积率</v>
      </c>
      <c r="R11" s="1567" t="s">
        <v>8</v>
      </c>
      <c r="S11" s="1568" t="e">
        <f t="shared" si="0"/>
        <v>#N/A</v>
      </c>
      <c r="T11" s="1567" t="s">
        <v>8</v>
      </c>
      <c r="U11" s="1568" t="e">
        <f t="shared" si="1"/>
        <v>#N/A</v>
      </c>
      <c r="V11" s="1567" t="s">
        <v>8</v>
      </c>
      <c r="W11" s="1568" t="e">
        <f t="shared" si="2"/>
        <v>#N/A</v>
      </c>
      <c r="X11" s="1569"/>
      <c r="Y11" s="340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21"/>
      <c r="Q12" s="1150">
        <f t="shared" si="6"/>
        <v>111</v>
      </c>
      <c r="R12" s="1567" t="s">
        <v>8</v>
      </c>
      <c r="S12" s="1568">
        <f t="shared" si="0"/>
        <v>100</v>
      </c>
      <c r="T12" s="1567" t="s">
        <v>8</v>
      </c>
      <c r="U12" s="1568">
        <f t="shared" si="1"/>
        <v>100</v>
      </c>
      <c r="V12" s="1567" t="s">
        <v>8</v>
      </c>
      <c r="W12" s="1568">
        <f t="shared" si="2"/>
        <v>100</v>
      </c>
      <c r="X12" s="1569"/>
      <c r="Y12" s="3408"/>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21"/>
      <c r="Q13" s="1150">
        <f t="shared" si="6"/>
        <v>111</v>
      </c>
      <c r="R13" s="1567" t="s">
        <v>8</v>
      </c>
      <c r="S13" s="1568">
        <f t="shared" si="0"/>
        <v>100</v>
      </c>
      <c r="T13" s="1567" t="s">
        <v>8</v>
      </c>
      <c r="U13" s="1568">
        <f t="shared" si="1"/>
        <v>100</v>
      </c>
      <c r="V13" s="1567" t="s">
        <v>8</v>
      </c>
      <c r="W13" s="1568">
        <f t="shared" si="2"/>
        <v>100</v>
      </c>
      <c r="X13" s="1569"/>
      <c r="Y13" s="3408"/>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21"/>
      <c r="Q14" s="1150">
        <f t="shared" si="6"/>
        <v>111</v>
      </c>
      <c r="R14" s="1567" t="s">
        <v>8</v>
      </c>
      <c r="S14" s="1568">
        <f t="shared" si="0"/>
        <v>100</v>
      </c>
      <c r="T14" s="1567" t="s">
        <v>8</v>
      </c>
      <c r="U14" s="1568">
        <f t="shared" si="1"/>
        <v>100</v>
      </c>
      <c r="V14" s="1567" t="s">
        <v>8</v>
      </c>
      <c r="W14" s="1568">
        <f t="shared" si="2"/>
        <v>100</v>
      </c>
      <c r="X14" s="1569"/>
      <c r="Y14" s="3408"/>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523" t="s">
        <v>539</v>
      </c>
      <c r="Q15" s="1571" t="str">
        <f t="shared" si="6"/>
        <v>产业集聚程度</v>
      </c>
      <c r="R15" s="1572" t="s">
        <v>8</v>
      </c>
      <c r="S15" s="1573">
        <f t="shared" si="0"/>
        <v>100</v>
      </c>
      <c r="T15" s="1572" t="s">
        <v>8</v>
      </c>
      <c r="U15" s="1573">
        <f t="shared" si="1"/>
        <v>100</v>
      </c>
      <c r="V15" s="1572" t="s">
        <v>8</v>
      </c>
      <c r="W15" s="1573">
        <f t="shared" si="2"/>
        <v>100</v>
      </c>
      <c r="X15" s="1566"/>
      <c r="Y15" s="3523"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524"/>
      <c r="Q16" s="1571"/>
      <c r="R16" s="1572"/>
      <c r="S16" s="1573"/>
      <c r="T16" s="1572"/>
      <c r="U16" s="1573"/>
      <c r="V16" s="1572"/>
      <c r="W16" s="1573"/>
      <c r="X16" s="1566"/>
      <c r="Y16" s="3524"/>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524"/>
      <c r="Q17" s="1571" t="str">
        <f>B17</f>
        <v>交通便捷度</v>
      </c>
      <c r="R17" s="1572" t="s">
        <v>8</v>
      </c>
      <c r="S17" s="1573">
        <f>F17</f>
        <v>100</v>
      </c>
      <c r="T17" s="1572" t="s">
        <v>8</v>
      </c>
      <c r="U17" s="1573">
        <f>H17</f>
        <v>100</v>
      </c>
      <c r="V17" s="1572" t="s">
        <v>8</v>
      </c>
      <c r="W17" s="1573">
        <f>J17</f>
        <v>100</v>
      </c>
      <c r="X17" s="1566"/>
      <c r="Y17" s="352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524"/>
      <c r="Q18" s="1571"/>
      <c r="R18" s="1572"/>
      <c r="S18" s="1573"/>
      <c r="T18" s="1572"/>
      <c r="U18" s="1573"/>
      <c r="V18" s="1572"/>
      <c r="W18" s="1573"/>
      <c r="X18" s="1566"/>
      <c r="Y18" s="3524"/>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524"/>
      <c r="Q19" s="1571" t="str">
        <f>B19</f>
        <v>公共配套设施</v>
      </c>
      <c r="R19" s="1572" t="s">
        <v>8</v>
      </c>
      <c r="S19" s="1573">
        <f>F19</f>
        <v>100</v>
      </c>
      <c r="T19" s="1572" t="s">
        <v>8</v>
      </c>
      <c r="U19" s="1573">
        <f>H19</f>
        <v>100</v>
      </c>
      <c r="V19" s="1572" t="s">
        <v>8</v>
      </c>
      <c r="W19" s="1573">
        <f>J19</f>
        <v>100</v>
      </c>
      <c r="X19" s="1566"/>
      <c r="Y19" s="352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524"/>
      <c r="Q20" s="1571"/>
      <c r="R20" s="1572"/>
      <c r="S20" s="1573"/>
      <c r="T20" s="1572"/>
      <c r="U20" s="1573"/>
      <c r="V20" s="1572"/>
      <c r="W20" s="1573"/>
      <c r="X20" s="1566"/>
      <c r="Y20" s="3524"/>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524"/>
      <c r="Q21" s="2557" t="str">
        <f>B21</f>
        <v>基础设施水平</v>
      </c>
      <c r="R21" s="1572" t="s">
        <v>8</v>
      </c>
      <c r="S21" s="1573">
        <f>F21</f>
        <v>100</v>
      </c>
      <c r="T21" s="1572" t="s">
        <v>8</v>
      </c>
      <c r="U21" s="1573">
        <f>H21</f>
        <v>100</v>
      </c>
      <c r="V21" s="1572" t="s">
        <v>8</v>
      </c>
      <c r="W21" s="1573">
        <f>J21</f>
        <v>100</v>
      </c>
      <c r="X21" s="2559"/>
      <c r="Y21" s="3524"/>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524"/>
      <c r="Q22" s="2557"/>
      <c r="R22" s="1572"/>
      <c r="S22" s="1573"/>
      <c r="T22" s="1572"/>
      <c r="U22" s="1573"/>
      <c r="V22" s="1572"/>
      <c r="W22" s="1573"/>
      <c r="X22" s="2559"/>
      <c r="Y22" s="3524"/>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524"/>
      <c r="Q23" s="1571" t="str">
        <f>B23</f>
        <v>环境质量</v>
      </c>
      <c r="R23" s="1572" t="s">
        <v>8</v>
      </c>
      <c r="S23" s="1573">
        <f>F23</f>
        <v>100</v>
      </c>
      <c r="T23" s="1572" t="s">
        <v>8</v>
      </c>
      <c r="U23" s="1573">
        <f>H23</f>
        <v>100</v>
      </c>
      <c r="V23" s="1572" t="s">
        <v>8</v>
      </c>
      <c r="W23" s="1573">
        <f>J23</f>
        <v>100</v>
      </c>
      <c r="X23" s="1566"/>
      <c r="Y23" s="3524"/>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524"/>
      <c r="Q24" s="1571"/>
      <c r="R24" s="1572"/>
      <c r="S24" s="1573"/>
      <c r="T24" s="1572"/>
      <c r="U24" s="1573"/>
      <c r="V24" s="1572"/>
      <c r="W24" s="1573"/>
      <c r="X24" s="1566"/>
      <c r="Y24" s="352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524"/>
      <c r="Q25" s="1571">
        <f>B25</f>
        <v>111</v>
      </c>
      <c r="R25" s="1572" t="s">
        <v>8</v>
      </c>
      <c r="S25" s="1573">
        <f>F25</f>
        <v>100</v>
      </c>
      <c r="T25" s="1572" t="s">
        <v>8</v>
      </c>
      <c r="U25" s="1573">
        <f>H25</f>
        <v>100</v>
      </c>
      <c r="V25" s="1572" t="s">
        <v>8</v>
      </c>
      <c r="W25" s="1573">
        <f>J25</f>
        <v>100</v>
      </c>
      <c r="X25" s="1566"/>
      <c r="Y25" s="352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524"/>
      <c r="Q26" s="1571">
        <f t="shared" ref="Q26:Q40" si="11">B26</f>
        <v>111</v>
      </c>
      <c r="R26" s="1572" t="s">
        <v>8</v>
      </c>
      <c r="S26" s="1573">
        <f>F26</f>
        <v>100</v>
      </c>
      <c r="T26" s="1572" t="s">
        <v>8</v>
      </c>
      <c r="U26" s="1573">
        <f>H26</f>
        <v>100</v>
      </c>
      <c r="V26" s="1572" t="s">
        <v>8</v>
      </c>
      <c r="W26" s="1573">
        <f>J26</f>
        <v>100</v>
      </c>
      <c r="X26" s="1566"/>
      <c r="Y26" s="352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524"/>
      <c r="Q27" s="1150">
        <f t="shared" si="11"/>
        <v>111</v>
      </c>
      <c r="R27" s="1567" t="s">
        <v>8</v>
      </c>
      <c r="S27" s="1568">
        <f>F27</f>
        <v>100</v>
      </c>
      <c r="T27" s="1567" t="s">
        <v>8</v>
      </c>
      <c r="U27" s="1568">
        <f>H27</f>
        <v>100</v>
      </c>
      <c r="V27" s="1567" t="s">
        <v>8</v>
      </c>
      <c r="W27" s="1568">
        <f>J27</f>
        <v>100</v>
      </c>
      <c r="X27" s="1569"/>
      <c r="Y27" s="352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524"/>
      <c r="Q28" s="1571">
        <f t="shared" si="11"/>
        <v>111</v>
      </c>
      <c r="R28" s="1572" t="s">
        <v>8</v>
      </c>
      <c r="S28" s="1573">
        <f t="shared" ref="S28:S40" si="12">F28</f>
        <v>100</v>
      </c>
      <c r="T28" s="1572" t="s">
        <v>8</v>
      </c>
      <c r="U28" s="1573">
        <f t="shared" ref="U28:U40" si="13">H28</f>
        <v>100</v>
      </c>
      <c r="V28" s="1572" t="s">
        <v>8</v>
      </c>
      <c r="W28" s="1573">
        <f t="shared" ref="W28:W40" si="14">J28</f>
        <v>100</v>
      </c>
      <c r="X28" s="1566"/>
      <c r="Y28" s="3524"/>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525" t="s">
        <v>549</v>
      </c>
      <c r="Q29" s="1571" t="str">
        <f t="shared" si="11"/>
        <v>建筑类型</v>
      </c>
      <c r="R29" s="1572" t="s">
        <v>8</v>
      </c>
      <c r="S29" s="1573">
        <f t="shared" si="12"/>
        <v>100</v>
      </c>
      <c r="T29" s="1572" t="s">
        <v>8</v>
      </c>
      <c r="U29" s="1573">
        <f t="shared" si="13"/>
        <v>100</v>
      </c>
      <c r="V29" s="1572" t="s">
        <v>8</v>
      </c>
      <c r="W29" s="1573">
        <f t="shared" si="14"/>
        <v>100</v>
      </c>
      <c r="X29" s="1566"/>
      <c r="Y29" s="3526"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526"/>
      <c r="Q30" s="1604" t="str">
        <f t="shared" si="11"/>
        <v>项目建筑规模</v>
      </c>
      <c r="R30" s="1576" t="s">
        <v>8</v>
      </c>
      <c r="S30" s="1577" t="e">
        <f t="shared" si="12"/>
        <v>#N/A</v>
      </c>
      <c r="T30" s="1576" t="s">
        <v>8</v>
      </c>
      <c r="U30" s="1577" t="e">
        <f t="shared" si="13"/>
        <v>#N/A</v>
      </c>
      <c r="V30" s="1576" t="s">
        <v>8</v>
      </c>
      <c r="W30" s="1577" t="e">
        <f t="shared" si="14"/>
        <v>#N/A</v>
      </c>
      <c r="X30" s="1578"/>
      <c r="Y30" s="3526"/>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526"/>
      <c r="Q31" s="1571" t="str">
        <f t="shared" si="11"/>
        <v>建筑结构</v>
      </c>
      <c r="R31" s="1572" t="s">
        <v>8</v>
      </c>
      <c r="S31" s="1573">
        <f t="shared" si="12"/>
        <v>100</v>
      </c>
      <c r="T31" s="1572" t="s">
        <v>8</v>
      </c>
      <c r="U31" s="1573">
        <f t="shared" si="13"/>
        <v>100</v>
      </c>
      <c r="V31" s="1572" t="s">
        <v>8</v>
      </c>
      <c r="W31" s="1573">
        <f t="shared" si="14"/>
        <v>100</v>
      </c>
      <c r="X31" s="1566"/>
      <c r="Y31" s="3526"/>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526"/>
      <c r="Q32" s="1571" t="str">
        <f t="shared" si="11"/>
        <v>公共部分装修</v>
      </c>
      <c r="R32" s="1572" t="s">
        <v>8</v>
      </c>
      <c r="S32" s="1573">
        <f t="shared" si="12"/>
        <v>100</v>
      </c>
      <c r="T32" s="1572" t="s">
        <v>8</v>
      </c>
      <c r="U32" s="1573">
        <f t="shared" si="13"/>
        <v>100</v>
      </c>
      <c r="V32" s="1572" t="s">
        <v>8</v>
      </c>
      <c r="W32" s="1573">
        <f t="shared" si="14"/>
        <v>100</v>
      </c>
      <c r="X32" s="1566"/>
      <c r="Y32" s="3526"/>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526"/>
      <c r="Q33" s="1571" t="str">
        <f t="shared" si="11"/>
        <v>成新度</v>
      </c>
      <c r="R33" s="1572" t="s">
        <v>8</v>
      </c>
      <c r="S33" s="1573" t="e">
        <f t="shared" si="12"/>
        <v>#N/A</v>
      </c>
      <c r="T33" s="1572" t="s">
        <v>8</v>
      </c>
      <c r="U33" s="1573" t="e">
        <f t="shared" si="13"/>
        <v>#N/A</v>
      </c>
      <c r="V33" s="1572" t="s">
        <v>8</v>
      </c>
      <c r="W33" s="1573" t="e">
        <f t="shared" si="14"/>
        <v>#N/A</v>
      </c>
      <c r="X33" s="1566"/>
      <c r="Y33" s="3526"/>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526"/>
      <c r="Q34" s="1150" t="str">
        <f t="shared" si="11"/>
        <v>物业管理</v>
      </c>
      <c r="R34" s="1567" t="s">
        <v>8</v>
      </c>
      <c r="S34" s="1568">
        <f t="shared" si="12"/>
        <v>100</v>
      </c>
      <c r="T34" s="1567" t="s">
        <v>8</v>
      </c>
      <c r="U34" s="1568">
        <f t="shared" si="13"/>
        <v>100</v>
      </c>
      <c r="V34" s="1567" t="s">
        <v>8</v>
      </c>
      <c r="W34" s="1568">
        <f t="shared" si="14"/>
        <v>100</v>
      </c>
      <c r="X34" s="1569"/>
      <c r="Y34" s="3526"/>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526" t="s">
        <v>549</v>
      </c>
      <c r="Q35" s="1571" t="str">
        <f t="shared" si="11"/>
        <v>市政基础设施</v>
      </c>
      <c r="R35" s="1572" t="s">
        <v>8</v>
      </c>
      <c r="S35" s="1573">
        <f t="shared" si="12"/>
        <v>100</v>
      </c>
      <c r="T35" s="1572" t="s">
        <v>8</v>
      </c>
      <c r="U35" s="1573">
        <f t="shared" si="13"/>
        <v>100</v>
      </c>
      <c r="V35" s="1572" t="s">
        <v>8</v>
      </c>
      <c r="W35" s="1573">
        <f t="shared" si="14"/>
        <v>100</v>
      </c>
      <c r="X35" s="1566"/>
      <c r="Y35" s="3526"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526"/>
      <c r="Q36" s="1571" t="str">
        <f t="shared" si="11"/>
        <v>内部装修</v>
      </c>
      <c r="R36" s="1572" t="s">
        <v>8</v>
      </c>
      <c r="S36" s="1573">
        <f t="shared" si="12"/>
        <v>100</v>
      </c>
      <c r="T36" s="1572" t="s">
        <v>8</v>
      </c>
      <c r="U36" s="1573">
        <f t="shared" si="13"/>
        <v>100</v>
      </c>
      <c r="V36" s="1572" t="s">
        <v>8</v>
      </c>
      <c r="W36" s="1573">
        <f t="shared" si="14"/>
        <v>100</v>
      </c>
      <c r="X36" s="1566"/>
      <c r="Y36" s="3526"/>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526"/>
      <c r="Q37" s="1571" t="str">
        <f t="shared" si="11"/>
        <v>内部装修状况</v>
      </c>
      <c r="R37" s="1572" t="s">
        <v>8</v>
      </c>
      <c r="S37" s="1573">
        <f t="shared" si="12"/>
        <v>100</v>
      </c>
      <c r="T37" s="1572" t="s">
        <v>8</v>
      </c>
      <c r="U37" s="1573">
        <f t="shared" si="13"/>
        <v>100</v>
      </c>
      <c r="V37" s="1572" t="s">
        <v>8</v>
      </c>
      <c r="W37" s="1573">
        <f t="shared" si="14"/>
        <v>100</v>
      </c>
      <c r="X37" s="1566"/>
      <c r="Y37" s="3526"/>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526"/>
      <c r="Q38" s="1604">
        <f t="shared" si="11"/>
        <v>111</v>
      </c>
      <c r="R38" s="1576" t="s">
        <v>8</v>
      </c>
      <c r="S38" s="1577">
        <f t="shared" si="12"/>
        <v>100</v>
      </c>
      <c r="T38" s="1576" t="s">
        <v>8</v>
      </c>
      <c r="U38" s="1577">
        <f t="shared" si="13"/>
        <v>100</v>
      </c>
      <c r="V38" s="1576" t="s">
        <v>8</v>
      </c>
      <c r="W38" s="1577">
        <f t="shared" si="14"/>
        <v>100</v>
      </c>
      <c r="X38" s="1578"/>
      <c r="Y38" s="3526"/>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526"/>
      <c r="Q39" s="1571">
        <f t="shared" si="11"/>
        <v>111</v>
      </c>
      <c r="R39" s="1572" t="s">
        <v>8</v>
      </c>
      <c r="S39" s="1573">
        <f t="shared" si="12"/>
        <v>100</v>
      </c>
      <c r="T39" s="1572" t="s">
        <v>8</v>
      </c>
      <c r="U39" s="1573">
        <f t="shared" si="13"/>
        <v>100</v>
      </c>
      <c r="V39" s="1572" t="s">
        <v>8</v>
      </c>
      <c r="W39" s="1573">
        <f t="shared" si="14"/>
        <v>100</v>
      </c>
      <c r="X39" s="1566"/>
      <c r="Y39" s="3526"/>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09"/>
      <c r="Q40" s="1571">
        <f t="shared" si="11"/>
        <v>111</v>
      </c>
      <c r="R40" s="1572" t="s">
        <v>8</v>
      </c>
      <c r="S40" s="1573">
        <f t="shared" si="12"/>
        <v>100</v>
      </c>
      <c r="T40" s="1572" t="s">
        <v>8</v>
      </c>
      <c r="U40" s="1573">
        <f t="shared" si="13"/>
        <v>100</v>
      </c>
      <c r="V40" s="1572" t="s">
        <v>8</v>
      </c>
      <c r="W40" s="1573">
        <f t="shared" si="14"/>
        <v>100</v>
      </c>
      <c r="X40" s="1566"/>
      <c r="Y40" s="3609"/>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21" t="str">
        <f>A41</f>
        <v>成交单价（元/平方米）</v>
      </c>
      <c r="Q41" s="3521"/>
      <c r="R41" s="3608">
        <f>E41</f>
        <v>0</v>
      </c>
      <c r="S41" s="3608"/>
      <c r="T41" s="3608">
        <f>G41</f>
        <v>0</v>
      </c>
      <c r="U41" s="3608"/>
      <c r="V41" s="3608">
        <f>I41</f>
        <v>0</v>
      </c>
      <c r="W41" s="3608"/>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21" t="str">
        <f>A42</f>
        <v>比较价格（元/平方米）</v>
      </c>
      <c r="Q42" s="3521"/>
      <c r="R42" s="3608" t="e">
        <f>IF(F1="售价",ROUND(PRODUCT(R41,AA7:AA40),0),ROUND(PRODUCT(R41,AA7:AA40),1))</f>
        <v>#DIV/0!</v>
      </c>
      <c r="S42" s="3608"/>
      <c r="T42" s="3608" t="e">
        <f>IF(F1="售价",ROUND(PRODUCT(T41,AB7:AB40),0),ROUND(PRODUCT(T41,AB7:AB40),1))</f>
        <v>#DIV/0!</v>
      </c>
      <c r="U42" s="3608"/>
      <c r="V42" s="3608" t="e">
        <f>IF(F1="售价",ROUND(PRODUCT(V41,AC7:AC40),0),ROUND(PRODUCT(V41,AC7:AC40),1))</f>
        <v>#DIV/0!</v>
      </c>
      <c r="W42" s="3608"/>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42" t="str">
        <f>A43</f>
        <v>估价对象XX用房的比较价格（楼面单价，元/平方米）</v>
      </c>
      <c r="Q43" s="3543"/>
      <c r="R43" s="3607" t="e">
        <f>IF(F1="售价",ROUND(AVERAGE(R42:V42),0),ROUND(AVERAGE(R42:V42),1))</f>
        <v>#DIV/0!</v>
      </c>
      <c r="S43" s="3607"/>
      <c r="T43" s="3607"/>
      <c r="U43" s="3607"/>
      <c r="V43" s="3607"/>
      <c r="W43" s="3607"/>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27" t="s">
        <v>797</v>
      </c>
      <c r="D4" s="3528"/>
      <c r="E4" s="3527" t="s">
        <v>798</v>
      </c>
      <c r="F4" s="3528"/>
      <c r="G4" s="3527" t="s">
        <v>799</v>
      </c>
      <c r="H4" s="3528"/>
      <c r="I4" s="3527" t="s">
        <v>800</v>
      </c>
      <c r="J4" s="3528"/>
      <c r="K4" s="514" t="s">
        <v>801</v>
      </c>
      <c r="L4" s="2132"/>
      <c r="M4" s="2133"/>
      <c r="N4" s="2133"/>
      <c r="O4" s="2133"/>
      <c r="P4" s="3529" t="s">
        <v>802</v>
      </c>
      <c r="Q4" s="3530"/>
      <c r="R4" s="3515" t="s">
        <v>798</v>
      </c>
      <c r="S4" s="3516"/>
      <c r="T4" s="3515" t="s">
        <v>799</v>
      </c>
      <c r="U4" s="3516"/>
      <c r="V4" s="3535" t="s">
        <v>800</v>
      </c>
      <c r="W4" s="3535"/>
      <c r="X4" s="1566"/>
      <c r="Y4" s="3515" t="s">
        <v>802</v>
      </c>
      <c r="Z4" s="3516"/>
      <c r="AA4" s="3510" t="s">
        <v>798</v>
      </c>
      <c r="AB4" s="3511" t="s">
        <v>799</v>
      </c>
      <c r="AC4" s="3510" t="s">
        <v>800</v>
      </c>
    </row>
    <row r="5" spans="1:29" ht="15">
      <c r="A5" s="515"/>
      <c r="B5" s="516"/>
      <c r="C5" s="3538" t="s">
        <v>2925</v>
      </c>
      <c r="D5" s="3539"/>
      <c r="E5" s="3538" t="s">
        <v>2926</v>
      </c>
      <c r="F5" s="3539"/>
      <c r="G5" s="3538" t="s">
        <v>2927</v>
      </c>
      <c r="H5" s="3539"/>
      <c r="I5" s="3538" t="s">
        <v>2928</v>
      </c>
      <c r="J5" s="3539"/>
      <c r="K5" s="514"/>
      <c r="L5" s="2132"/>
      <c r="M5" s="2133"/>
      <c r="N5" s="2133"/>
      <c r="O5" s="2133"/>
      <c r="P5" s="3531"/>
      <c r="Q5" s="3532"/>
      <c r="R5" s="3517"/>
      <c r="S5" s="3518"/>
      <c r="T5" s="3517"/>
      <c r="U5" s="3518"/>
      <c r="V5" s="3535"/>
      <c r="W5" s="3535"/>
      <c r="X5" s="1566"/>
      <c r="Y5" s="3517"/>
      <c r="Z5" s="3518"/>
      <c r="AA5" s="3511"/>
      <c r="AB5" s="3511"/>
      <c r="AC5" s="3511"/>
    </row>
    <row r="6" spans="1:29" ht="15.75" thickBot="1">
      <c r="A6" s="517"/>
      <c r="B6" s="518"/>
      <c r="C6" s="3536" t="s">
        <v>2929</v>
      </c>
      <c r="D6" s="3537"/>
      <c r="E6" s="3540" t="s">
        <v>2929</v>
      </c>
      <c r="F6" s="3541"/>
      <c r="G6" s="3536" t="s">
        <v>2929</v>
      </c>
      <c r="H6" s="3537"/>
      <c r="I6" s="3536" t="s">
        <v>2929</v>
      </c>
      <c r="J6" s="3537"/>
      <c r="K6" s="514" t="s">
        <v>527</v>
      </c>
      <c r="L6" s="2132"/>
      <c r="M6" s="2133"/>
      <c r="N6" s="2133"/>
      <c r="O6" s="2133"/>
      <c r="P6" s="3533"/>
      <c r="Q6" s="3534"/>
      <c r="R6" s="3517"/>
      <c r="S6" s="3518"/>
      <c r="T6" s="3519"/>
      <c r="U6" s="3520"/>
      <c r="V6" s="3535"/>
      <c r="W6" s="3535"/>
      <c r="X6" s="1566"/>
      <c r="Y6" s="3519"/>
      <c r="Z6" s="3520"/>
      <c r="AA6" s="3512"/>
      <c r="AB6" s="3512"/>
      <c r="AC6" s="3512"/>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513" t="s">
        <v>529</v>
      </c>
      <c r="Q7" s="3522"/>
      <c r="R7" s="1567" t="s">
        <v>8</v>
      </c>
      <c r="S7" s="1568">
        <f t="shared" ref="S7:S14" si="0">F7</f>
        <v>0</v>
      </c>
      <c r="T7" s="1567" t="s">
        <v>8</v>
      </c>
      <c r="U7" s="1568">
        <f t="shared" ref="U7:U14" si="1">H7</f>
        <v>0</v>
      </c>
      <c r="V7" s="1567" t="s">
        <v>8</v>
      </c>
      <c r="W7" s="1568">
        <f t="shared" ref="W7:W14" si="2">J7</f>
        <v>0</v>
      </c>
      <c r="X7" s="1569"/>
      <c r="Y7" s="3513" t="s">
        <v>529</v>
      </c>
      <c r="Z7" s="3514"/>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513" t="s">
        <v>532</v>
      </c>
      <c r="Q8" s="3514"/>
      <c r="R8" s="1567" t="s">
        <v>8</v>
      </c>
      <c r="S8" s="1568">
        <f t="shared" si="0"/>
        <v>0</v>
      </c>
      <c r="T8" s="1567" t="s">
        <v>8</v>
      </c>
      <c r="U8" s="1568">
        <f t="shared" si="1"/>
        <v>0</v>
      </c>
      <c r="V8" s="1567" t="s">
        <v>8</v>
      </c>
      <c r="W8" s="1568">
        <f t="shared" si="2"/>
        <v>0</v>
      </c>
      <c r="X8" s="1569"/>
      <c r="Y8" s="3513" t="s">
        <v>532</v>
      </c>
      <c r="Z8" s="3514"/>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21" t="s">
        <v>534</v>
      </c>
      <c r="Q9" s="1150" t="str">
        <f t="shared" ref="Q9:Q14" si="6">B9</f>
        <v>用途</v>
      </c>
      <c r="R9" s="1567" t="s">
        <v>8</v>
      </c>
      <c r="S9" s="1568">
        <f t="shared" si="0"/>
        <v>100</v>
      </c>
      <c r="T9" s="1567" t="s">
        <v>8</v>
      </c>
      <c r="U9" s="1568">
        <f t="shared" si="1"/>
        <v>100</v>
      </c>
      <c r="V9" s="1567" t="s">
        <v>8</v>
      </c>
      <c r="W9" s="1568">
        <f t="shared" si="2"/>
        <v>100</v>
      </c>
      <c r="X9" s="1569"/>
      <c r="Y9" s="340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21"/>
      <c r="Q10" s="1150" t="str">
        <f t="shared" si="6"/>
        <v>土地使用年限（年）</v>
      </c>
      <c r="R10" s="1567" t="s">
        <v>8</v>
      </c>
      <c r="S10" s="1568">
        <f t="shared" si="0"/>
        <v>100</v>
      </c>
      <c r="T10" s="1567" t="s">
        <v>8</v>
      </c>
      <c r="U10" s="1568">
        <f t="shared" si="1"/>
        <v>100</v>
      </c>
      <c r="V10" s="1567" t="s">
        <v>8</v>
      </c>
      <c r="W10" s="1568">
        <f t="shared" si="2"/>
        <v>100</v>
      </c>
      <c r="X10" s="1569"/>
      <c r="Y10" s="3408"/>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21"/>
      <c r="Q11" s="1150">
        <f t="shared" si="6"/>
        <v>111</v>
      </c>
      <c r="R11" s="1567" t="s">
        <v>8</v>
      </c>
      <c r="S11" s="1568">
        <f t="shared" si="0"/>
        <v>100</v>
      </c>
      <c r="T11" s="1567" t="s">
        <v>8</v>
      </c>
      <c r="U11" s="1568">
        <f t="shared" si="1"/>
        <v>100</v>
      </c>
      <c r="V11" s="1567" t="s">
        <v>8</v>
      </c>
      <c r="W11" s="1568">
        <f t="shared" si="2"/>
        <v>100</v>
      </c>
      <c r="X11" s="1569"/>
      <c r="Y11" s="3408"/>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21"/>
      <c r="Q12" s="1150">
        <f t="shared" si="6"/>
        <v>111</v>
      </c>
      <c r="R12" s="1567" t="s">
        <v>8</v>
      </c>
      <c r="S12" s="1568">
        <f t="shared" si="0"/>
        <v>100</v>
      </c>
      <c r="T12" s="1567" t="s">
        <v>8</v>
      </c>
      <c r="U12" s="1568">
        <f t="shared" si="1"/>
        <v>100</v>
      </c>
      <c r="V12" s="1567" t="s">
        <v>8</v>
      </c>
      <c r="W12" s="1568">
        <f t="shared" si="2"/>
        <v>100</v>
      </c>
      <c r="X12" s="1569"/>
      <c r="Y12" s="3408"/>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21"/>
      <c r="Q13" s="1150">
        <f t="shared" si="6"/>
        <v>111</v>
      </c>
      <c r="R13" s="1567" t="s">
        <v>8</v>
      </c>
      <c r="S13" s="1568">
        <f t="shared" si="0"/>
        <v>100</v>
      </c>
      <c r="T13" s="1567" t="s">
        <v>8</v>
      </c>
      <c r="U13" s="1568">
        <f t="shared" si="1"/>
        <v>100</v>
      </c>
      <c r="V13" s="1567" t="s">
        <v>8</v>
      </c>
      <c r="W13" s="1568">
        <f t="shared" si="2"/>
        <v>100</v>
      </c>
      <c r="X13" s="1569"/>
      <c r="Y13" s="3408"/>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523" t="s">
        <v>539</v>
      </c>
      <c r="Q14" s="1571" t="str">
        <f t="shared" si="6"/>
        <v>交通便捷度</v>
      </c>
      <c r="R14" s="1572" t="s">
        <v>8</v>
      </c>
      <c r="S14" s="1573">
        <f t="shared" si="0"/>
        <v>100</v>
      </c>
      <c r="T14" s="1572" t="s">
        <v>8</v>
      </c>
      <c r="U14" s="1573">
        <f t="shared" si="1"/>
        <v>100</v>
      </c>
      <c r="V14" s="1572" t="s">
        <v>8</v>
      </c>
      <c r="W14" s="1573">
        <f t="shared" si="2"/>
        <v>100</v>
      </c>
      <c r="X14" s="1566"/>
      <c r="Y14" s="3523"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524"/>
      <c r="Q15" s="1571"/>
      <c r="R15" s="1572"/>
      <c r="S15" s="1573"/>
      <c r="T15" s="1572"/>
      <c r="U15" s="1573"/>
      <c r="V15" s="1572"/>
      <c r="W15" s="1573"/>
      <c r="X15" s="1566"/>
      <c r="Y15" s="3524"/>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524"/>
      <c r="Q16" s="1571" t="str">
        <f>B16</f>
        <v>公共配套设施</v>
      </c>
      <c r="R16" s="1572" t="s">
        <v>8</v>
      </c>
      <c r="S16" s="1573">
        <f>F16</f>
        <v>100</v>
      </c>
      <c r="T16" s="1572" t="s">
        <v>8</v>
      </c>
      <c r="U16" s="1573">
        <f>H16</f>
        <v>100</v>
      </c>
      <c r="V16" s="1572" t="s">
        <v>8</v>
      </c>
      <c r="W16" s="1573">
        <f>J16</f>
        <v>100</v>
      </c>
      <c r="X16" s="1566"/>
      <c r="Y16" s="352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524"/>
      <c r="Q17" s="1571"/>
      <c r="R17" s="1572"/>
      <c r="S17" s="1573"/>
      <c r="T17" s="1572"/>
      <c r="U17" s="1573"/>
      <c r="V17" s="1572"/>
      <c r="W17" s="1573"/>
      <c r="X17" s="1566"/>
      <c r="Y17" s="3524"/>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524"/>
      <c r="Q18" s="2557" t="str">
        <f>B18</f>
        <v>基础设施水平</v>
      </c>
      <c r="R18" s="1572" t="s">
        <v>8</v>
      </c>
      <c r="S18" s="1573">
        <f>F18</f>
        <v>100</v>
      </c>
      <c r="T18" s="1572" t="s">
        <v>8</v>
      </c>
      <c r="U18" s="1573">
        <f>H18</f>
        <v>100</v>
      </c>
      <c r="V18" s="1572" t="s">
        <v>8</v>
      </c>
      <c r="W18" s="1573">
        <f>J18</f>
        <v>100</v>
      </c>
      <c r="X18" s="2559"/>
      <c r="Y18" s="3524"/>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524"/>
      <c r="Q19" s="2557"/>
      <c r="R19" s="1572"/>
      <c r="S19" s="1573"/>
      <c r="T19" s="1572"/>
      <c r="U19" s="1573"/>
      <c r="V19" s="1572"/>
      <c r="W19" s="1573"/>
      <c r="X19" s="2559"/>
      <c r="Y19" s="3524"/>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524"/>
      <c r="Q20" s="1571" t="str">
        <f>B20</f>
        <v>自然及人文环境</v>
      </c>
      <c r="R20" s="1572" t="s">
        <v>8</v>
      </c>
      <c r="S20" s="1573">
        <f>F20</f>
        <v>100</v>
      </c>
      <c r="T20" s="1572" t="s">
        <v>8</v>
      </c>
      <c r="U20" s="1573">
        <f>H20</f>
        <v>100</v>
      </c>
      <c r="V20" s="1572" t="s">
        <v>8</v>
      </c>
      <c r="W20" s="1573">
        <f>J20</f>
        <v>100</v>
      </c>
      <c r="X20" s="1566"/>
      <c r="Y20" s="352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524"/>
      <c r="Q21" s="1571"/>
      <c r="R21" s="1572"/>
      <c r="S21" s="1573"/>
      <c r="T21" s="1572"/>
      <c r="U21" s="1573"/>
      <c r="V21" s="1572"/>
      <c r="W21" s="1573"/>
      <c r="X21" s="1566"/>
      <c r="Y21" s="3524"/>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524"/>
      <c r="Q22" s="1571" t="str">
        <f>B22</f>
        <v>楼层</v>
      </c>
      <c r="R22" s="1572" t="s">
        <v>8</v>
      </c>
      <c r="S22" s="1573">
        <f>F22</f>
        <v>100</v>
      </c>
      <c r="T22" s="1572" t="s">
        <v>8</v>
      </c>
      <c r="U22" s="1573">
        <f>H22</f>
        <v>100</v>
      </c>
      <c r="V22" s="1572" t="s">
        <v>8</v>
      </c>
      <c r="W22" s="1573">
        <f>J22</f>
        <v>100</v>
      </c>
      <c r="X22" s="1566"/>
      <c r="Y22" s="3524"/>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524"/>
      <c r="Q23" s="1571">
        <f>B23</f>
        <v>111</v>
      </c>
      <c r="R23" s="1572" t="s">
        <v>8</v>
      </c>
      <c r="S23" s="1573">
        <f>F23</f>
        <v>100</v>
      </c>
      <c r="T23" s="1572" t="s">
        <v>8</v>
      </c>
      <c r="U23" s="1573">
        <f>H23</f>
        <v>100</v>
      </c>
      <c r="V23" s="1572" t="s">
        <v>8</v>
      </c>
      <c r="W23" s="1573">
        <f>J23</f>
        <v>100</v>
      </c>
      <c r="X23" s="1566"/>
      <c r="Y23" s="3524"/>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524"/>
      <c r="Q24" s="1571">
        <f t="shared" ref="Q24:Q36" si="11">B24</f>
        <v>111</v>
      </c>
      <c r="R24" s="1572" t="s">
        <v>8</v>
      </c>
      <c r="S24" s="1573">
        <f>F24</f>
        <v>100</v>
      </c>
      <c r="T24" s="1572" t="s">
        <v>8</v>
      </c>
      <c r="U24" s="1573">
        <f>H24</f>
        <v>100</v>
      </c>
      <c r="V24" s="1572" t="s">
        <v>8</v>
      </c>
      <c r="W24" s="1573">
        <f>J24</f>
        <v>100</v>
      </c>
      <c r="X24" s="1566"/>
      <c r="Y24" s="3524"/>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524"/>
      <c r="Q25" s="1150">
        <f t="shared" si="11"/>
        <v>111</v>
      </c>
      <c r="R25" s="1567" t="s">
        <v>8</v>
      </c>
      <c r="S25" s="1568">
        <f>F25</f>
        <v>100</v>
      </c>
      <c r="T25" s="1567" t="s">
        <v>8</v>
      </c>
      <c r="U25" s="1568">
        <f>H25</f>
        <v>100</v>
      </c>
      <c r="V25" s="1567" t="s">
        <v>8</v>
      </c>
      <c r="W25" s="1568">
        <f>J25</f>
        <v>100</v>
      </c>
      <c r="X25" s="1569"/>
      <c r="Y25" s="3524"/>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525"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26"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526"/>
      <c r="Q27" s="1604" t="str">
        <f t="shared" si="11"/>
        <v>项目停车位配比</v>
      </c>
      <c r="R27" s="1576" t="s">
        <v>8</v>
      </c>
      <c r="S27" s="1577">
        <f t="shared" si="12"/>
        <v>100</v>
      </c>
      <c r="T27" s="1576" t="s">
        <v>8</v>
      </c>
      <c r="U27" s="1577">
        <f t="shared" si="13"/>
        <v>100</v>
      </c>
      <c r="V27" s="1576" t="s">
        <v>8</v>
      </c>
      <c r="W27" s="1577">
        <f t="shared" si="14"/>
        <v>100</v>
      </c>
      <c r="X27" s="1578"/>
      <c r="Y27" s="3526"/>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526"/>
      <c r="Q28" s="1571" t="str">
        <f t="shared" si="11"/>
        <v>公共部分装修</v>
      </c>
      <c r="R28" s="1572" t="s">
        <v>8</v>
      </c>
      <c r="S28" s="1573">
        <f t="shared" si="12"/>
        <v>100</v>
      </c>
      <c r="T28" s="1572" t="s">
        <v>8</v>
      </c>
      <c r="U28" s="1573">
        <f t="shared" si="13"/>
        <v>100</v>
      </c>
      <c r="V28" s="1572" t="s">
        <v>8</v>
      </c>
      <c r="W28" s="1573">
        <f t="shared" si="14"/>
        <v>100</v>
      </c>
      <c r="X28" s="1566"/>
      <c r="Y28" s="3526"/>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526"/>
      <c r="Q29" s="1571" t="str">
        <f t="shared" si="11"/>
        <v>成新率</v>
      </c>
      <c r="R29" s="1572" t="s">
        <v>8</v>
      </c>
      <c r="S29" s="1573" t="e">
        <f t="shared" si="12"/>
        <v>#N/A</v>
      </c>
      <c r="T29" s="1572" t="s">
        <v>8</v>
      </c>
      <c r="U29" s="1573" t="e">
        <f t="shared" si="13"/>
        <v>#N/A</v>
      </c>
      <c r="V29" s="1572" t="s">
        <v>8</v>
      </c>
      <c r="W29" s="1573" t="e">
        <f t="shared" si="14"/>
        <v>#N/A</v>
      </c>
      <c r="X29" s="1566"/>
      <c r="Y29" s="3526"/>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526"/>
      <c r="Q30" s="1571" t="str">
        <f t="shared" si="11"/>
        <v>物业等级</v>
      </c>
      <c r="R30" s="1572" t="s">
        <v>8</v>
      </c>
      <c r="S30" s="1573">
        <f t="shared" si="12"/>
        <v>100</v>
      </c>
      <c r="T30" s="1572" t="s">
        <v>8</v>
      </c>
      <c r="U30" s="1573">
        <f t="shared" si="13"/>
        <v>100</v>
      </c>
      <c r="V30" s="1572" t="s">
        <v>8</v>
      </c>
      <c r="W30" s="1573">
        <f t="shared" si="14"/>
        <v>100</v>
      </c>
      <c r="X30" s="1566"/>
      <c r="Y30" s="3526"/>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526"/>
      <c r="Q31" s="1150" t="str">
        <f t="shared" si="11"/>
        <v>停车位面积</v>
      </c>
      <c r="R31" s="1567" t="s">
        <v>8</v>
      </c>
      <c r="S31" s="1568" t="e">
        <f t="shared" si="12"/>
        <v>#N/A</v>
      </c>
      <c r="T31" s="1567" t="s">
        <v>8</v>
      </c>
      <c r="U31" s="1568" t="e">
        <f t="shared" si="13"/>
        <v>#N/A</v>
      </c>
      <c r="V31" s="1567" t="s">
        <v>8</v>
      </c>
      <c r="W31" s="1568" t="e">
        <f t="shared" si="14"/>
        <v>#N/A</v>
      </c>
      <c r="X31" s="1569"/>
      <c r="Y31" s="3526"/>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526" t="s">
        <v>549</v>
      </c>
      <c r="Q32" s="1571" t="str">
        <f t="shared" si="11"/>
        <v>车位类型</v>
      </c>
      <c r="R32" s="1572" t="s">
        <v>8</v>
      </c>
      <c r="S32" s="1573">
        <f t="shared" si="12"/>
        <v>100</v>
      </c>
      <c r="T32" s="1572" t="s">
        <v>8</v>
      </c>
      <c r="U32" s="1573">
        <f t="shared" si="13"/>
        <v>100</v>
      </c>
      <c r="V32" s="1572" t="s">
        <v>8</v>
      </c>
      <c r="W32" s="1573">
        <f t="shared" si="14"/>
        <v>100</v>
      </c>
      <c r="X32" s="1566"/>
      <c r="Y32" s="3526"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526"/>
      <c r="Q33" s="1571" t="str">
        <f t="shared" si="11"/>
        <v>是否直接入户</v>
      </c>
      <c r="R33" s="1572" t="s">
        <v>8</v>
      </c>
      <c r="S33" s="1573">
        <f t="shared" si="12"/>
        <v>100</v>
      </c>
      <c r="T33" s="1572" t="s">
        <v>8</v>
      </c>
      <c r="U33" s="1573">
        <f t="shared" si="13"/>
        <v>100</v>
      </c>
      <c r="V33" s="1572" t="s">
        <v>8</v>
      </c>
      <c r="W33" s="1573">
        <f t="shared" si="14"/>
        <v>100</v>
      </c>
      <c r="X33" s="1566"/>
      <c r="Y33" s="3526"/>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526"/>
      <c r="Q34" s="1571">
        <f t="shared" si="11"/>
        <v>111</v>
      </c>
      <c r="R34" s="1572" t="s">
        <v>8</v>
      </c>
      <c r="S34" s="1573">
        <f t="shared" si="12"/>
        <v>100</v>
      </c>
      <c r="T34" s="1572" t="s">
        <v>8</v>
      </c>
      <c r="U34" s="1573">
        <f t="shared" si="13"/>
        <v>100</v>
      </c>
      <c r="V34" s="1572" t="s">
        <v>8</v>
      </c>
      <c r="W34" s="1573">
        <f t="shared" si="14"/>
        <v>100</v>
      </c>
      <c r="X34" s="1566"/>
      <c r="Y34" s="3526"/>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526"/>
      <c r="Q35" s="1604">
        <f t="shared" si="11"/>
        <v>111</v>
      </c>
      <c r="R35" s="1576" t="s">
        <v>8</v>
      </c>
      <c r="S35" s="1577">
        <f t="shared" si="12"/>
        <v>100</v>
      </c>
      <c r="T35" s="1576" t="s">
        <v>8</v>
      </c>
      <c r="U35" s="1577">
        <f t="shared" si="13"/>
        <v>100</v>
      </c>
      <c r="V35" s="1576" t="s">
        <v>8</v>
      </c>
      <c r="W35" s="1577">
        <f t="shared" si="14"/>
        <v>100</v>
      </c>
      <c r="X35" s="1578"/>
      <c r="Y35" s="3526"/>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526"/>
      <c r="Q36" s="1571">
        <f t="shared" si="11"/>
        <v>111</v>
      </c>
      <c r="R36" s="1572" t="s">
        <v>8</v>
      </c>
      <c r="S36" s="1573">
        <f t="shared" si="12"/>
        <v>100</v>
      </c>
      <c r="T36" s="1572" t="s">
        <v>8</v>
      </c>
      <c r="U36" s="1573">
        <f t="shared" si="13"/>
        <v>100</v>
      </c>
      <c r="V36" s="1572" t="s">
        <v>8</v>
      </c>
      <c r="W36" s="1573">
        <f t="shared" si="14"/>
        <v>100</v>
      </c>
      <c r="X36" s="1566"/>
      <c r="Y36" s="3526"/>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21" t="str">
        <f>A37</f>
        <v>成交单价</v>
      </c>
      <c r="Q37" s="3521"/>
      <c r="R37" s="3608">
        <f>E37</f>
        <v>0</v>
      </c>
      <c r="S37" s="3608"/>
      <c r="T37" s="3608">
        <f>G37</f>
        <v>0</v>
      </c>
      <c r="U37" s="3608"/>
      <c r="V37" s="3608">
        <f>I37</f>
        <v>0</v>
      </c>
      <c r="W37" s="3608"/>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21" t="str">
        <f>A38</f>
        <v>比较价格（元/平方米）</v>
      </c>
      <c r="Q38" s="3521"/>
      <c r="R38" s="3608" t="e">
        <f>IF(F1="售价",ROUND(PRODUCT(R37,AA7:AA36),0),ROUND(PRODUCT(R37,AA7:AA36),1))</f>
        <v>#DIV/0!</v>
      </c>
      <c r="S38" s="3608"/>
      <c r="T38" s="3608" t="e">
        <f>IF(F1="售价",ROUND(PRODUCT(T37,AB7:AB36),0),ROUND(PRODUCT(T37,AB7:AB36),1))</f>
        <v>#DIV/0!</v>
      </c>
      <c r="U38" s="3608"/>
      <c r="V38" s="3608" t="e">
        <f>IF(F1="售价",ROUND(PRODUCT(V37,AC7:AC36),0),ROUND(PRODUCT(V37,AC7:AC36),1))</f>
        <v>#DIV/0!</v>
      </c>
      <c r="W38" s="3608"/>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42" t="str">
        <f>A39</f>
        <v>估价对象XX用房的比较价格（楼面单价，元/平方米）</v>
      </c>
      <c r="Q39" s="3543"/>
      <c r="R39" s="3607" t="e">
        <f>IF(F1="售价",ROUND(AVERAGE(R38:V38),0),ROUND(AVERAGE(R38:V38),1))</f>
        <v>#DIV/0!</v>
      </c>
      <c r="S39" s="3607"/>
      <c r="T39" s="3607"/>
      <c r="U39" s="3607"/>
      <c r="V39" s="3607"/>
      <c r="W39" s="3607"/>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27" t="s">
        <v>797</v>
      </c>
      <c r="D4" s="3528"/>
      <c r="E4" s="3551" t="s">
        <v>798</v>
      </c>
      <c r="F4" s="3552"/>
      <c r="G4" s="3527" t="s">
        <v>799</v>
      </c>
      <c r="H4" s="3528"/>
      <c r="I4" s="3527" t="s">
        <v>800</v>
      </c>
      <c r="J4" s="3528"/>
      <c r="K4" s="514" t="s">
        <v>801</v>
      </c>
      <c r="L4" s="2132"/>
      <c r="M4" s="2133"/>
      <c r="N4" s="2133"/>
      <c r="O4" s="2133"/>
      <c r="P4" s="3529" t="s">
        <v>802</v>
      </c>
      <c r="Q4" s="3530"/>
      <c r="R4" s="3515" t="s">
        <v>798</v>
      </c>
      <c r="S4" s="3516"/>
      <c r="T4" s="3515" t="s">
        <v>799</v>
      </c>
      <c r="U4" s="3516"/>
      <c r="V4" s="3535" t="s">
        <v>800</v>
      </c>
      <c r="W4" s="3535"/>
      <c r="X4" s="1566"/>
      <c r="Y4" s="3515" t="s">
        <v>802</v>
      </c>
      <c r="Z4" s="3516"/>
      <c r="AA4" s="3510" t="s">
        <v>798</v>
      </c>
      <c r="AB4" s="3511" t="s">
        <v>799</v>
      </c>
      <c r="AC4" s="3510" t="s">
        <v>800</v>
      </c>
    </row>
    <row r="5" spans="1:29" ht="15">
      <c r="A5" s="515"/>
      <c r="B5" s="516"/>
      <c r="C5" s="3538" t="s">
        <v>2925</v>
      </c>
      <c r="D5" s="3539"/>
      <c r="E5" s="3553" t="s">
        <v>2926</v>
      </c>
      <c r="F5" s="3554"/>
      <c r="G5" s="3538" t="s">
        <v>2927</v>
      </c>
      <c r="H5" s="3539"/>
      <c r="I5" s="3538" t="s">
        <v>2928</v>
      </c>
      <c r="J5" s="3539"/>
      <c r="K5" s="514"/>
      <c r="L5" s="2132"/>
      <c r="M5" s="2133"/>
      <c r="N5" s="2133"/>
      <c r="O5" s="2133"/>
      <c r="P5" s="3531"/>
      <c r="Q5" s="3532"/>
      <c r="R5" s="3517"/>
      <c r="S5" s="3518"/>
      <c r="T5" s="3517"/>
      <c r="U5" s="3518"/>
      <c r="V5" s="3535"/>
      <c r="W5" s="3535"/>
      <c r="X5" s="1566"/>
      <c r="Y5" s="3517"/>
      <c r="Z5" s="3518"/>
      <c r="AA5" s="3511"/>
      <c r="AB5" s="3511"/>
      <c r="AC5" s="3511"/>
    </row>
    <row r="6" spans="1:29" ht="15.75" thickBot="1">
      <c r="A6" s="517"/>
      <c r="B6" s="518"/>
      <c r="C6" s="3536" t="s">
        <v>2929</v>
      </c>
      <c r="D6" s="3537"/>
      <c r="E6" s="3555" t="s">
        <v>2929</v>
      </c>
      <c r="F6" s="3556"/>
      <c r="G6" s="3536" t="s">
        <v>2929</v>
      </c>
      <c r="H6" s="3537"/>
      <c r="I6" s="3536" t="s">
        <v>2929</v>
      </c>
      <c r="J6" s="3537"/>
      <c r="K6" s="514" t="s">
        <v>527</v>
      </c>
      <c r="L6" s="2132"/>
      <c r="M6" s="2133"/>
      <c r="N6" s="2133"/>
      <c r="O6" s="2133"/>
      <c r="P6" s="3533"/>
      <c r="Q6" s="3534"/>
      <c r="R6" s="3517"/>
      <c r="S6" s="3518"/>
      <c r="T6" s="3519"/>
      <c r="U6" s="3520"/>
      <c r="V6" s="3535"/>
      <c r="W6" s="3535"/>
      <c r="X6" s="1566"/>
      <c r="Y6" s="3519"/>
      <c r="Z6" s="3520"/>
      <c r="AA6" s="3512"/>
      <c r="AB6" s="3512"/>
      <c r="AC6" s="3512"/>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513" t="s">
        <v>529</v>
      </c>
      <c r="Q7" s="3522"/>
      <c r="R7" s="1567" t="s">
        <v>8</v>
      </c>
      <c r="S7" s="1568">
        <f t="shared" ref="S7:S14" si="0">F7</f>
        <v>0</v>
      </c>
      <c r="T7" s="1567" t="s">
        <v>8</v>
      </c>
      <c r="U7" s="1568">
        <f t="shared" ref="U7:U14" si="1">H7</f>
        <v>0</v>
      </c>
      <c r="V7" s="1567" t="s">
        <v>8</v>
      </c>
      <c r="W7" s="1568">
        <f t="shared" ref="W7:W14" si="2">J7</f>
        <v>0</v>
      </c>
      <c r="X7" s="1569"/>
      <c r="Y7" s="3513" t="s">
        <v>529</v>
      </c>
      <c r="Z7" s="3514"/>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513" t="s">
        <v>532</v>
      </c>
      <c r="Q8" s="3514"/>
      <c r="R8" s="1567" t="s">
        <v>8</v>
      </c>
      <c r="S8" s="1568">
        <f t="shared" si="0"/>
        <v>0</v>
      </c>
      <c r="T8" s="1567" t="s">
        <v>8</v>
      </c>
      <c r="U8" s="1568">
        <f t="shared" si="1"/>
        <v>0</v>
      </c>
      <c r="V8" s="1567" t="s">
        <v>8</v>
      </c>
      <c r="W8" s="1568">
        <f t="shared" si="2"/>
        <v>0</v>
      </c>
      <c r="X8" s="1569"/>
      <c r="Y8" s="3513" t="s">
        <v>532</v>
      </c>
      <c r="Z8" s="3514"/>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21" t="s">
        <v>534</v>
      </c>
      <c r="Q9" s="1150" t="str">
        <f t="shared" ref="Q9:Q14" si="6">B9</f>
        <v>用途</v>
      </c>
      <c r="R9" s="1567" t="s">
        <v>8</v>
      </c>
      <c r="S9" s="1568">
        <f t="shared" si="0"/>
        <v>100</v>
      </c>
      <c r="T9" s="1567" t="s">
        <v>8</v>
      </c>
      <c r="U9" s="1568">
        <f t="shared" si="1"/>
        <v>100</v>
      </c>
      <c r="V9" s="1567" t="s">
        <v>8</v>
      </c>
      <c r="W9" s="1568">
        <f t="shared" si="2"/>
        <v>100</v>
      </c>
      <c r="X9" s="1569"/>
      <c r="Y9" s="340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21"/>
      <c r="Q10" s="1150" t="str">
        <f t="shared" si="6"/>
        <v>土地使用年限（年）</v>
      </c>
      <c r="R10" s="1567" t="s">
        <v>8</v>
      </c>
      <c r="S10" s="1568">
        <f t="shared" si="0"/>
        <v>100</v>
      </c>
      <c r="T10" s="1567" t="s">
        <v>8</v>
      </c>
      <c r="U10" s="1568">
        <f t="shared" si="1"/>
        <v>100</v>
      </c>
      <c r="V10" s="1567" t="s">
        <v>8</v>
      </c>
      <c r="W10" s="1568">
        <f t="shared" si="2"/>
        <v>100</v>
      </c>
      <c r="X10" s="1569"/>
      <c r="Y10" s="3408"/>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21"/>
      <c r="Q11" s="1150">
        <f t="shared" si="6"/>
        <v>111</v>
      </c>
      <c r="R11" s="1567" t="s">
        <v>8</v>
      </c>
      <c r="S11" s="1568">
        <f t="shared" si="0"/>
        <v>100</v>
      </c>
      <c r="T11" s="1567" t="s">
        <v>8</v>
      </c>
      <c r="U11" s="1568">
        <f t="shared" si="1"/>
        <v>100</v>
      </c>
      <c r="V11" s="1567" t="s">
        <v>8</v>
      </c>
      <c r="W11" s="1568">
        <f t="shared" si="2"/>
        <v>100</v>
      </c>
      <c r="X11" s="1569"/>
      <c r="Y11" s="3408"/>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21"/>
      <c r="Q12" s="1150">
        <f t="shared" si="6"/>
        <v>111</v>
      </c>
      <c r="R12" s="1567" t="s">
        <v>8</v>
      </c>
      <c r="S12" s="1568">
        <f t="shared" si="0"/>
        <v>100</v>
      </c>
      <c r="T12" s="1567" t="s">
        <v>8</v>
      </c>
      <c r="U12" s="1568">
        <f t="shared" si="1"/>
        <v>100</v>
      </c>
      <c r="V12" s="1567" t="s">
        <v>8</v>
      </c>
      <c r="W12" s="1568">
        <f t="shared" si="2"/>
        <v>100</v>
      </c>
      <c r="X12" s="1569"/>
      <c r="Y12" s="3408"/>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21"/>
      <c r="Q13" s="1150">
        <f t="shared" si="6"/>
        <v>111</v>
      </c>
      <c r="R13" s="1567" t="s">
        <v>8</v>
      </c>
      <c r="S13" s="1568">
        <f t="shared" si="0"/>
        <v>100</v>
      </c>
      <c r="T13" s="1567" t="s">
        <v>8</v>
      </c>
      <c r="U13" s="1568">
        <f t="shared" si="1"/>
        <v>100</v>
      </c>
      <c r="V13" s="1567" t="s">
        <v>8</v>
      </c>
      <c r="W13" s="1568">
        <f t="shared" si="2"/>
        <v>100</v>
      </c>
      <c r="X13" s="1569"/>
      <c r="Y13" s="3408"/>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523" t="s">
        <v>539</v>
      </c>
      <c r="Q14" s="1571" t="str">
        <f t="shared" si="6"/>
        <v>交通便捷度</v>
      </c>
      <c r="R14" s="1572" t="s">
        <v>8</v>
      </c>
      <c r="S14" s="1573">
        <f t="shared" si="0"/>
        <v>100</v>
      </c>
      <c r="T14" s="1572" t="s">
        <v>8</v>
      </c>
      <c r="U14" s="1573">
        <f t="shared" si="1"/>
        <v>100</v>
      </c>
      <c r="V14" s="1572" t="s">
        <v>8</v>
      </c>
      <c r="W14" s="1573">
        <f t="shared" si="2"/>
        <v>100</v>
      </c>
      <c r="X14" s="1566"/>
      <c r="Y14" s="3523"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524"/>
      <c r="Q15" s="1571"/>
      <c r="R15" s="1572"/>
      <c r="S15" s="1573"/>
      <c r="T15" s="1572"/>
      <c r="U15" s="1573"/>
      <c r="V15" s="1572"/>
      <c r="W15" s="1573"/>
      <c r="X15" s="1566"/>
      <c r="Y15" s="3524"/>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524"/>
      <c r="Q16" s="1571" t="str">
        <f>B16</f>
        <v>公共配套设施</v>
      </c>
      <c r="R16" s="1572" t="s">
        <v>8</v>
      </c>
      <c r="S16" s="1573">
        <f>F16</f>
        <v>100</v>
      </c>
      <c r="T16" s="1572" t="s">
        <v>8</v>
      </c>
      <c r="U16" s="1573">
        <f>H16</f>
        <v>100</v>
      </c>
      <c r="V16" s="1572" t="s">
        <v>8</v>
      </c>
      <c r="W16" s="1573">
        <f>J16</f>
        <v>100</v>
      </c>
      <c r="X16" s="1566"/>
      <c r="Y16" s="352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524"/>
      <c r="Q17" s="1571"/>
      <c r="R17" s="1572"/>
      <c r="S17" s="1573"/>
      <c r="T17" s="1572"/>
      <c r="U17" s="1573"/>
      <c r="V17" s="1572"/>
      <c r="W17" s="1573"/>
      <c r="X17" s="1566"/>
      <c r="Y17" s="3524"/>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524"/>
      <c r="Q18" s="2557" t="str">
        <f>B18</f>
        <v>基础设施水平</v>
      </c>
      <c r="R18" s="1572" t="s">
        <v>8</v>
      </c>
      <c r="S18" s="1573">
        <f>F18</f>
        <v>100</v>
      </c>
      <c r="T18" s="1572" t="s">
        <v>8</v>
      </c>
      <c r="U18" s="1573">
        <f>H18</f>
        <v>100</v>
      </c>
      <c r="V18" s="1572" t="s">
        <v>8</v>
      </c>
      <c r="W18" s="1573">
        <f>J18</f>
        <v>100</v>
      </c>
      <c r="X18" s="2559"/>
      <c r="Y18" s="3524"/>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524"/>
      <c r="Q19" s="2557"/>
      <c r="R19" s="1572"/>
      <c r="S19" s="1573"/>
      <c r="T19" s="1572"/>
      <c r="U19" s="1573"/>
      <c r="V19" s="1572"/>
      <c r="W19" s="1573"/>
      <c r="X19" s="2559"/>
      <c r="Y19" s="3524"/>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524"/>
      <c r="Q20" s="1571" t="str">
        <f>B20</f>
        <v>自然及人文环境</v>
      </c>
      <c r="R20" s="1572" t="s">
        <v>8</v>
      </c>
      <c r="S20" s="1573">
        <f>F20</f>
        <v>100</v>
      </c>
      <c r="T20" s="1572" t="s">
        <v>8</v>
      </c>
      <c r="U20" s="1573">
        <f>H20</f>
        <v>100</v>
      </c>
      <c r="V20" s="1572" t="s">
        <v>8</v>
      </c>
      <c r="W20" s="1573">
        <f>J20</f>
        <v>100</v>
      </c>
      <c r="X20" s="1566"/>
      <c r="Y20" s="352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524"/>
      <c r="Q21" s="1571"/>
      <c r="R21" s="1572"/>
      <c r="S21" s="1573"/>
      <c r="T21" s="1572"/>
      <c r="U21" s="1573"/>
      <c r="V21" s="1572"/>
      <c r="W21" s="1573"/>
      <c r="X21" s="1566"/>
      <c r="Y21" s="3524"/>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524"/>
      <c r="Q22" s="1571" t="str">
        <f>B22</f>
        <v>楼层</v>
      </c>
      <c r="R22" s="1572" t="s">
        <v>8</v>
      </c>
      <c r="S22" s="1573">
        <f>F22</f>
        <v>100</v>
      </c>
      <c r="T22" s="1572" t="s">
        <v>8</v>
      </c>
      <c r="U22" s="1573">
        <f>H22</f>
        <v>100</v>
      </c>
      <c r="V22" s="1572" t="s">
        <v>8</v>
      </c>
      <c r="W22" s="1573">
        <f>J22</f>
        <v>100</v>
      </c>
      <c r="X22" s="1566"/>
      <c r="Y22" s="352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524"/>
      <c r="Q23" s="1571">
        <f>B23</f>
        <v>111</v>
      </c>
      <c r="R23" s="1572" t="s">
        <v>8</v>
      </c>
      <c r="S23" s="1573">
        <f>F23</f>
        <v>100</v>
      </c>
      <c r="T23" s="1572" t="s">
        <v>8</v>
      </c>
      <c r="U23" s="1573">
        <f>H23</f>
        <v>100</v>
      </c>
      <c r="V23" s="1572" t="s">
        <v>8</v>
      </c>
      <c r="W23" s="1573">
        <f>J23</f>
        <v>100</v>
      </c>
      <c r="X23" s="1566"/>
      <c r="Y23" s="352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524"/>
      <c r="Q24" s="1571">
        <f t="shared" ref="Q24:Q34" si="11">B24</f>
        <v>111</v>
      </c>
      <c r="R24" s="1572" t="s">
        <v>8</v>
      </c>
      <c r="S24" s="1573">
        <f>F24</f>
        <v>100</v>
      </c>
      <c r="T24" s="1572" t="s">
        <v>8</v>
      </c>
      <c r="U24" s="1573">
        <f>H24</f>
        <v>100</v>
      </c>
      <c r="V24" s="1572" t="s">
        <v>8</v>
      </c>
      <c r="W24" s="1573">
        <f>J24</f>
        <v>100</v>
      </c>
      <c r="X24" s="1566"/>
      <c r="Y24" s="3524"/>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524"/>
      <c r="Q25" s="1150">
        <f t="shared" si="11"/>
        <v>111</v>
      </c>
      <c r="R25" s="1567" t="s">
        <v>8</v>
      </c>
      <c r="S25" s="1568">
        <f>F25</f>
        <v>100</v>
      </c>
      <c r="T25" s="1567" t="s">
        <v>8</v>
      </c>
      <c r="U25" s="1568">
        <f>H25</f>
        <v>100</v>
      </c>
      <c r="V25" s="1567" t="s">
        <v>8</v>
      </c>
      <c r="W25" s="1568">
        <f>J25</f>
        <v>100</v>
      </c>
      <c r="X25" s="1569"/>
      <c r="Y25" s="3524"/>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525"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26"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526"/>
      <c r="Q27" s="1604" t="str">
        <f t="shared" si="11"/>
        <v>成新率</v>
      </c>
      <c r="R27" s="1576" t="s">
        <v>8</v>
      </c>
      <c r="S27" s="1577" t="e">
        <f t="shared" si="12"/>
        <v>#N/A</v>
      </c>
      <c r="T27" s="1576" t="s">
        <v>8</v>
      </c>
      <c r="U27" s="1577" t="e">
        <f t="shared" si="13"/>
        <v>#N/A</v>
      </c>
      <c r="V27" s="1576" t="s">
        <v>8</v>
      </c>
      <c r="W27" s="1577" t="e">
        <f t="shared" si="14"/>
        <v>#N/A</v>
      </c>
      <c r="X27" s="1578"/>
      <c r="Y27" s="3526"/>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526"/>
      <c r="Q28" s="1571" t="str">
        <f t="shared" si="11"/>
        <v>物业等级</v>
      </c>
      <c r="R28" s="1572" t="s">
        <v>8</v>
      </c>
      <c r="S28" s="1573">
        <f t="shared" si="12"/>
        <v>100</v>
      </c>
      <c r="T28" s="1572" t="s">
        <v>8</v>
      </c>
      <c r="U28" s="1573">
        <f t="shared" si="13"/>
        <v>100</v>
      </c>
      <c r="V28" s="1572" t="s">
        <v>8</v>
      </c>
      <c r="W28" s="1573">
        <f t="shared" si="14"/>
        <v>100</v>
      </c>
      <c r="X28" s="1566"/>
      <c r="Y28" s="3526"/>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526"/>
      <c r="Q29" s="1571" t="str">
        <f t="shared" si="11"/>
        <v>有无电梯</v>
      </c>
      <c r="R29" s="1572" t="s">
        <v>8</v>
      </c>
      <c r="S29" s="1573">
        <f t="shared" si="12"/>
        <v>100</v>
      </c>
      <c r="T29" s="1572" t="s">
        <v>8</v>
      </c>
      <c r="U29" s="1573">
        <f t="shared" si="13"/>
        <v>100</v>
      </c>
      <c r="V29" s="1572" t="s">
        <v>8</v>
      </c>
      <c r="W29" s="1573">
        <f t="shared" si="14"/>
        <v>100</v>
      </c>
      <c r="X29" s="1566"/>
      <c r="Y29" s="3526"/>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526"/>
      <c r="Q30" s="1571" t="str">
        <f t="shared" si="11"/>
        <v>建筑面积</v>
      </c>
      <c r="R30" s="1572" t="s">
        <v>8</v>
      </c>
      <c r="S30" s="1573" t="e">
        <f t="shared" si="12"/>
        <v>#N/A</v>
      </c>
      <c r="T30" s="1572" t="s">
        <v>8</v>
      </c>
      <c r="U30" s="1573" t="e">
        <f t="shared" si="13"/>
        <v>#N/A</v>
      </c>
      <c r="V30" s="1572" t="s">
        <v>8</v>
      </c>
      <c r="W30" s="1573" t="e">
        <f t="shared" si="14"/>
        <v>#N/A</v>
      </c>
      <c r="X30" s="1566"/>
      <c r="Y30" s="3526"/>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526"/>
      <c r="Q31" s="1150" t="str">
        <f t="shared" si="11"/>
        <v>是否封闭</v>
      </c>
      <c r="R31" s="1567" t="s">
        <v>8</v>
      </c>
      <c r="S31" s="1568">
        <f t="shared" si="12"/>
        <v>100</v>
      </c>
      <c r="T31" s="1567" t="s">
        <v>8</v>
      </c>
      <c r="U31" s="1568">
        <f t="shared" si="13"/>
        <v>100</v>
      </c>
      <c r="V31" s="1567" t="s">
        <v>8</v>
      </c>
      <c r="W31" s="1568">
        <f t="shared" si="14"/>
        <v>100</v>
      </c>
      <c r="X31" s="1569"/>
      <c r="Y31" s="3526"/>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526" t="s">
        <v>549</v>
      </c>
      <c r="Q32" s="1571">
        <f t="shared" si="11"/>
        <v>111</v>
      </c>
      <c r="R32" s="1572" t="s">
        <v>8</v>
      </c>
      <c r="S32" s="1573">
        <f t="shared" si="12"/>
        <v>100</v>
      </c>
      <c r="T32" s="1572" t="s">
        <v>8</v>
      </c>
      <c r="U32" s="1573">
        <f t="shared" si="13"/>
        <v>100</v>
      </c>
      <c r="V32" s="1572" t="s">
        <v>8</v>
      </c>
      <c r="W32" s="1573">
        <f t="shared" si="14"/>
        <v>100</v>
      </c>
      <c r="X32" s="1566"/>
      <c r="Y32" s="3526"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526"/>
      <c r="Q33" s="1571">
        <f t="shared" si="11"/>
        <v>111</v>
      </c>
      <c r="R33" s="1572" t="s">
        <v>8</v>
      </c>
      <c r="S33" s="1573">
        <f t="shared" si="12"/>
        <v>100</v>
      </c>
      <c r="T33" s="1572" t="s">
        <v>8</v>
      </c>
      <c r="U33" s="1573">
        <f t="shared" si="13"/>
        <v>100</v>
      </c>
      <c r="V33" s="1572" t="s">
        <v>8</v>
      </c>
      <c r="W33" s="1573">
        <f t="shared" si="14"/>
        <v>100</v>
      </c>
      <c r="X33" s="1566"/>
      <c r="Y33" s="3526"/>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526"/>
      <c r="Q34" s="1571">
        <f t="shared" si="11"/>
        <v>111</v>
      </c>
      <c r="R34" s="1572" t="s">
        <v>8</v>
      </c>
      <c r="S34" s="1573">
        <f t="shared" si="12"/>
        <v>100</v>
      </c>
      <c r="T34" s="1572" t="s">
        <v>8</v>
      </c>
      <c r="U34" s="1573">
        <f t="shared" si="13"/>
        <v>100</v>
      </c>
      <c r="V34" s="1572" t="s">
        <v>8</v>
      </c>
      <c r="W34" s="1573">
        <f t="shared" si="14"/>
        <v>100</v>
      </c>
      <c r="X34" s="1566"/>
      <c r="Y34" s="3526"/>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21" t="str">
        <f>A35</f>
        <v>成交单价（元/平方米）</v>
      </c>
      <c r="Q35" s="3521"/>
      <c r="R35" s="3608">
        <f>E35</f>
        <v>0</v>
      </c>
      <c r="S35" s="3608"/>
      <c r="T35" s="3608">
        <f>G35</f>
        <v>0</v>
      </c>
      <c r="U35" s="3608"/>
      <c r="V35" s="3608">
        <f>I35</f>
        <v>0</v>
      </c>
      <c r="W35" s="3608"/>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21" t="str">
        <f>A36</f>
        <v>比较价格（元/平方米）</v>
      </c>
      <c r="Q36" s="3521"/>
      <c r="R36" s="3608" t="e">
        <f>IF(F1="售价",ROUND(PRODUCT(R35,AA7:AA34),0),ROUND(PRODUCT(R35,AA7:AA34),1))</f>
        <v>#DIV/0!</v>
      </c>
      <c r="S36" s="3608"/>
      <c r="T36" s="3608" t="e">
        <f>IF(F1="售价",ROUND(PRODUCT(T35,AB7:AB34),0),ROUND(PRODUCT(T35,AB7:AB34),1))</f>
        <v>#DIV/0!</v>
      </c>
      <c r="U36" s="3608"/>
      <c r="V36" s="3608" t="e">
        <f>IF(F1="售价",ROUND(PRODUCT(V35,AC7:AC34),0),ROUND(PRODUCT(V35,AC7:AC34),1))</f>
        <v>#DIV/0!</v>
      </c>
      <c r="W36" s="3608"/>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42" t="str">
        <f>A37</f>
        <v>估价对象XX用房的比较价格（楼面单价，元/平方米）</v>
      </c>
      <c r="Q37" s="3543"/>
      <c r="R37" s="3607" t="e">
        <f>IF(F1="售价",ROUND(AVERAGE(R36:V36),0),ROUND(AVERAGE(R36:V36),1))</f>
        <v>#DIV/0!</v>
      </c>
      <c r="S37" s="3607"/>
      <c r="T37" s="3607"/>
      <c r="U37" s="3607"/>
      <c r="V37" s="3607"/>
      <c r="W37" s="3607"/>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633" t="s">
        <v>2304</v>
      </c>
      <c r="D1" s="3634"/>
      <c r="E1" s="3634"/>
      <c r="F1" s="3634"/>
      <c r="G1" s="3634"/>
      <c r="H1" s="3634"/>
      <c r="I1" s="3634"/>
      <c r="J1" s="3634"/>
      <c r="K1" s="3634"/>
      <c r="L1" s="3634"/>
      <c r="M1" s="3634"/>
      <c r="N1" s="3634"/>
      <c r="O1" s="3634"/>
      <c r="P1" s="3634"/>
      <c r="Q1" s="3634"/>
      <c r="R1" s="3634"/>
      <c r="S1" s="3635"/>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30" t="s">
        <v>20</v>
      </c>
      <c r="D22" s="3631"/>
      <c r="E22" s="3631"/>
      <c r="F22" s="3631"/>
      <c r="G22" s="3631"/>
      <c r="H22" s="3631"/>
      <c r="I22" s="3631"/>
      <c r="J22" s="3631"/>
      <c r="K22" s="3631"/>
      <c r="L22" s="3631"/>
      <c r="M22" s="3631"/>
      <c r="N22" s="3631"/>
      <c r="O22" s="3631"/>
      <c r="P22" s="3631"/>
      <c r="Q22" s="3632"/>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6" t="s">
        <v>1663</v>
      </c>
      <c r="B1" s="3637"/>
      <c r="C1" s="3637"/>
      <c r="D1" s="3637"/>
      <c r="E1" s="3637"/>
      <c r="F1" s="3637"/>
      <c r="G1" s="3637"/>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J10"/>
  <sheetViews>
    <sheetView tabSelected="1"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638" t="s">
        <v>3164</v>
      </c>
      <c r="E1" s="3638" t="s">
        <v>3165</v>
      </c>
      <c r="F1" s="3183" t="s">
        <v>3172</v>
      </c>
      <c r="G1" s="3640" t="s">
        <v>3170</v>
      </c>
      <c r="H1" s="3640" t="s">
        <v>3171</v>
      </c>
      <c r="I1" s="3641" t="s">
        <v>3176</v>
      </c>
      <c r="J1" s="3641" t="s">
        <v>3177</v>
      </c>
    </row>
    <row r="2" spans="1:10" ht="40.5" customHeight="1">
      <c r="C2" s="3183" t="s">
        <v>3175</v>
      </c>
      <c r="D2" s="3184">
        <f>'[3]基准地价-住宅'!$C$29</f>
        <v>21622</v>
      </c>
      <c r="E2" s="3184">
        <f ca="1">'[4]基准地价-住宅'!$C$29</f>
        <v>21588</v>
      </c>
      <c r="F2" s="3184">
        <f ca="1">D2-E2</f>
        <v>34</v>
      </c>
      <c r="G2" s="3184">
        <f>[5]结果表一!$C$2</f>
        <v>83247.820000000007</v>
      </c>
      <c r="H2" s="3184">
        <f>[5]结果表一!$G$2</f>
        <v>83884.960000000006</v>
      </c>
      <c r="I2" s="3184">
        <f>D2*G2/10000</f>
        <v>179998.43640400001</v>
      </c>
      <c r="J2" s="3184">
        <f ca="1">E2*H2/10000</f>
        <v>181090.85164800001</v>
      </c>
    </row>
    <row r="3" spans="1:10" ht="20.25" customHeight="1">
      <c r="C3" s="3184" t="s">
        <v>3166</v>
      </c>
      <c r="D3" s="3184">
        <f ca="1">'基准地价-商业'!$C$29</f>
        <v>14769</v>
      </c>
      <c r="E3" s="3184">
        <f ca="1">'[5]基准地价-原商业 '!$C$29</f>
        <v>14731</v>
      </c>
      <c r="F3" s="3184">
        <f ca="1">D3-E3</f>
        <v>38</v>
      </c>
      <c r="G3" s="3184">
        <f>[5]结果表一!$C$3</f>
        <v>15426.7</v>
      </c>
      <c r="H3" s="3184">
        <f>[5]结果表一!$G$3</f>
        <v>15502</v>
      </c>
      <c r="I3" s="3184">
        <f ca="1">D3*G3/10000</f>
        <v>22783.693230000001</v>
      </c>
      <c r="J3" s="3184">
        <f ca="1">E3*H3/10000</f>
        <v>22835.996200000001</v>
      </c>
    </row>
    <row r="4" spans="1:10">
      <c r="A4" s="2"/>
    </row>
    <row r="5" spans="1:10">
      <c r="A5" s="2"/>
    </row>
    <row r="6" spans="1:10">
      <c r="A6" s="2"/>
    </row>
    <row r="7" spans="1:10" ht="45" customHeight="1">
      <c r="A7" s="2" t="s">
        <v>3167</v>
      </c>
    </row>
    <row r="8" spans="1:10">
      <c r="A8" s="3639">
        <f ca="1">ROUND((D2*(G2-H2)+(D2-E2)*H2)/10000,4)</f>
        <v>-1092.4151999999999</v>
      </c>
      <c r="B8" s="3184" t="s">
        <v>3168</v>
      </c>
    </row>
    <row r="9" spans="1:10">
      <c r="A9" s="3639">
        <f ca="1">ROUND((D3*(G3-H3)+(D3-E3)*H3)/10000,4)</f>
        <v>-52.302999999999997</v>
      </c>
      <c r="B9" s="3184" t="s">
        <v>3166</v>
      </c>
    </row>
    <row r="10" spans="1:10">
      <c r="A10" s="3639">
        <f ca="1">SUM(A8:A9)</f>
        <v>-1144.7181999999998</v>
      </c>
      <c r="B10" s="3184" t="s">
        <v>3169</v>
      </c>
    </row>
  </sheetData>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3" t="s">
        <v>2038</v>
      </c>
      <c r="B1" s="3273"/>
      <c r="C1" s="3273"/>
      <c r="D1" s="3273"/>
      <c r="E1" s="3273"/>
      <c r="F1" s="3273"/>
      <c r="G1" s="3273"/>
      <c r="H1" s="3273"/>
      <c r="I1" s="3273"/>
      <c r="J1" s="3273"/>
      <c r="K1" s="3273"/>
      <c r="L1" s="3273"/>
      <c r="M1" s="3273"/>
      <c r="N1" s="3273"/>
      <c r="O1" s="3273"/>
      <c r="P1" s="3273"/>
      <c r="Q1" s="3273"/>
      <c r="R1" s="3273"/>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74" t="s">
        <v>2029</v>
      </c>
      <c r="B3" s="3274" t="s">
        <v>2731</v>
      </c>
      <c r="C3" s="3275" t="s">
        <v>2030</v>
      </c>
      <c r="D3" s="3274" t="s">
        <v>2735</v>
      </c>
      <c r="E3" s="3277" t="s">
        <v>2031</v>
      </c>
      <c r="F3" s="3277"/>
      <c r="G3" s="3277"/>
      <c r="H3" s="3277" t="s">
        <v>2032</v>
      </c>
      <c r="I3" s="3277"/>
      <c r="J3" s="3277"/>
      <c r="K3" s="3275" t="s">
        <v>2033</v>
      </c>
      <c r="L3" s="3275" t="s">
        <v>2034</v>
      </c>
      <c r="M3" s="3274" t="s">
        <v>2732</v>
      </c>
      <c r="N3" s="3276" t="str">
        <f>"（分摊）"&amp;项目基本情况!B16&amp;"国有建设用地使用权面积/㎡"</f>
        <v>（分摊）出让国有建设用地使用权面积/㎡</v>
      </c>
      <c r="O3" s="3274" t="s">
        <v>2063</v>
      </c>
      <c r="P3" s="3275" t="s">
        <v>2043</v>
      </c>
      <c r="Q3" s="3275" t="s">
        <v>2064</v>
      </c>
      <c r="R3" s="3275" t="s">
        <v>2035</v>
      </c>
    </row>
    <row r="4" spans="1:18" ht="36.75" customHeight="1">
      <c r="A4" s="3274"/>
      <c r="B4" s="3274"/>
      <c r="C4" s="3275"/>
      <c r="D4" s="3274"/>
      <c r="E4" s="2627" t="s">
        <v>2042</v>
      </c>
      <c r="F4" s="2627" t="s">
        <v>2744</v>
      </c>
      <c r="G4" s="2627" t="s">
        <v>2036</v>
      </c>
      <c r="H4" s="2627" t="s">
        <v>2037</v>
      </c>
      <c r="I4" s="2627" t="s">
        <v>2745</v>
      </c>
      <c r="J4" s="2627" t="s">
        <v>2036</v>
      </c>
      <c r="K4" s="3275"/>
      <c r="L4" s="3275"/>
      <c r="M4" s="3274"/>
      <c r="N4" s="3276"/>
      <c r="O4" s="3274"/>
      <c r="P4" s="3275"/>
      <c r="Q4" s="3275"/>
      <c r="R4" s="3275"/>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31781</v>
      </c>
      <c r="Q5" s="1809">
        <f ca="1">结果表!D42</f>
        <v>19875</v>
      </c>
      <c r="R5" s="1810">
        <f ca="1">结果表!C42</f>
        <v>218470</v>
      </c>
    </row>
    <row r="6" spans="1:18">
      <c r="A6" s="3278" t="str">
        <f>IF(项目基本情况!B9="市场价格","——","抵押价格")</f>
        <v>抵押价格</v>
      </c>
      <c r="B6" s="3279"/>
      <c r="C6" s="3279"/>
      <c r="D6" s="3279"/>
      <c r="E6" s="3279"/>
      <c r="F6" s="3279"/>
      <c r="G6" s="3279"/>
      <c r="H6" s="3279"/>
      <c r="I6" s="3279"/>
      <c r="J6" s="3279"/>
      <c r="K6" s="3279"/>
      <c r="L6" s="3279"/>
      <c r="M6" s="3279"/>
      <c r="N6" s="3279"/>
      <c r="O6" s="3279"/>
      <c r="P6" s="3279"/>
      <c r="Q6" s="3280"/>
      <c r="R6" s="1811" t="str">
        <f>结果表!O39</f>
        <v>——</v>
      </c>
    </row>
    <row r="7" spans="1:18">
      <c r="A7" s="3278" t="str">
        <f>IF(项目基本情况!B9="市场价格","——",IF(项目基本情况!E8="已注销及未注销","抵押担保权已注销时的抵押价格","——"))</f>
        <v>——</v>
      </c>
      <c r="B7" s="3279"/>
      <c r="C7" s="3279"/>
      <c r="D7" s="3279"/>
      <c r="E7" s="3279"/>
      <c r="F7" s="3279"/>
      <c r="G7" s="3279"/>
      <c r="H7" s="3279"/>
      <c r="I7" s="3279"/>
      <c r="J7" s="3279"/>
      <c r="K7" s="3279"/>
      <c r="L7" s="3279"/>
      <c r="M7" s="3279"/>
      <c r="N7" s="3279"/>
      <c r="O7" s="3279"/>
      <c r="P7" s="3279"/>
      <c r="Q7" s="3280"/>
      <c r="R7" s="1811" t="str">
        <f>结果表!O40</f>
        <v>——</v>
      </c>
    </row>
    <row r="8" spans="1:18">
      <c r="A8" s="3278">
        <f>IF(项目基本情况!B9="市场价格","——",项目基本情况!E9)</f>
        <v>0</v>
      </c>
      <c r="B8" s="3279"/>
      <c r="C8" s="3279"/>
      <c r="D8" s="3279"/>
      <c r="E8" s="3279"/>
      <c r="F8" s="3279"/>
      <c r="G8" s="3279"/>
      <c r="H8" s="3279"/>
      <c r="I8" s="3279"/>
      <c r="J8" s="3279"/>
      <c r="K8" s="3279"/>
      <c r="L8" s="3279"/>
      <c r="M8" s="3279"/>
      <c r="N8" s="3279"/>
      <c r="O8" s="3279"/>
      <c r="P8" s="3279"/>
      <c r="Q8" s="3280"/>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81" t="s">
        <v>2065</v>
      </c>
      <c r="B1" s="3281"/>
      <c r="C1" s="3281"/>
      <c r="D1" s="3281"/>
    </row>
    <row r="2" spans="1:4" ht="47.25" customHeight="1">
      <c r="A2" s="3285" t="str">
        <f>"1.权利限制："&amp;项目基本情况!L24&amp;"未设定租赁等其他他项权利。"</f>
        <v>1.权利限制：根据估价对象《不动产权证书》原件、《国有土地使用权》复印件，截至估价期日，估价对象抵押权未见登记。未设定租赁等其他他项权利。</v>
      </c>
      <c r="B2" s="3285"/>
      <c r="C2" s="3285"/>
      <c r="D2" s="3285"/>
    </row>
    <row r="3" spans="1:4" ht="48" customHeight="1">
      <c r="A3" s="32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1"/>
      <c r="C3" s="3281"/>
      <c r="D3" s="3281"/>
    </row>
    <row r="4" spans="1:4" ht="36.75" customHeight="1">
      <c r="A4" s="3281" t="str">
        <f>"3.估价规划限制条件：详见"&amp;项目基本情况!E21&amp;"。"</f>
        <v>3.估价规划限制条件：详见《建设工程规划许可证》[]、《出让合同》[]。</v>
      </c>
      <c r="B4" s="3281"/>
      <c r="C4" s="3281"/>
      <c r="D4" s="3281"/>
    </row>
    <row r="5" spans="1:4">
      <c r="A5" s="3284" t="s">
        <v>2066</v>
      </c>
      <c r="B5" s="3284"/>
      <c r="C5" s="3284"/>
      <c r="D5" s="3284"/>
    </row>
    <row r="6" spans="1:4">
      <c r="A6" s="3281" t="s">
        <v>2044</v>
      </c>
      <c r="B6" s="3281"/>
      <c r="C6" s="3281"/>
      <c r="D6" s="3281"/>
    </row>
    <row r="7" spans="1:4" ht="33" customHeight="1">
      <c r="A7" s="3281" t="s">
        <v>2575</v>
      </c>
      <c r="B7" s="3281"/>
      <c r="C7" s="3281"/>
      <c r="D7" s="3281"/>
    </row>
    <row r="8" spans="1:4" ht="32.25" customHeight="1">
      <c r="A8" s="32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1"/>
      <c r="C8" s="3281"/>
      <c r="D8" s="3281"/>
    </row>
    <row r="9" spans="1:4" ht="33.75" customHeight="1">
      <c r="A9" s="3281" t="str">
        <f>IF(项目基本情况!B8="抵押","3.抵押双方在办理抵押登记手续时，应使用本公司出具的正式《土地估价报告》，特提请报告使用者注意。","——")</f>
        <v>——</v>
      </c>
      <c r="B9" s="3281"/>
      <c r="C9" s="3281"/>
      <c r="D9" s="3281"/>
    </row>
    <row r="10" spans="1:4">
      <c r="A10" s="3281" t="str">
        <f>IF(项目基本情况!B8="抵押","4.估价师所知悉的法定优先受偿款情况为：","——")</f>
        <v>——</v>
      </c>
      <c r="B10" s="3281"/>
      <c r="C10" s="3281"/>
      <c r="D10" s="3281"/>
    </row>
    <row r="11" spans="1:4" ht="37.5" customHeight="1">
      <c r="A11" s="3283" t="str">
        <f>IF(项目基本情况!B8="抵押","（1）"&amp;CONCATENATE(项目基本情况!L24,项目基本情况!L25,项目基本情况!L26),"——")</f>
        <v>——</v>
      </c>
      <c r="B11" s="3283"/>
      <c r="C11" s="3283"/>
      <c r="D11" s="3283"/>
    </row>
    <row r="12" spans="1:4" ht="168" customHeight="1">
      <c r="A12" s="3284" t="s">
        <v>2068</v>
      </c>
      <c r="B12" s="3284"/>
      <c r="C12" s="3284"/>
      <c r="D12" s="3284"/>
    </row>
    <row r="13" spans="1:4">
      <c r="A13" s="3282" t="s">
        <v>2746</v>
      </c>
      <c r="B13" s="3282"/>
      <c r="C13" s="3282"/>
      <c r="D13" s="3282"/>
    </row>
    <row r="14" spans="1:4">
      <c r="A14" s="3283" t="str">
        <f>IF(项目基本情况!B8="抵押","综上，"&amp;结果表!K47,"——")</f>
        <v>——</v>
      </c>
      <c r="B14" s="3283"/>
      <c r="C14" s="3283"/>
      <c r="D14" s="3283"/>
    </row>
    <row r="15" spans="1:4" ht="58.5" customHeight="1">
      <c r="A15" s="32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1"/>
      <c r="C15" s="3281"/>
      <c r="D15" s="3281"/>
    </row>
    <row r="16" spans="1:4" ht="70.5" customHeight="1">
      <c r="A16" s="32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1"/>
      <c r="C16" s="3281"/>
      <c r="D16" s="3281"/>
    </row>
    <row r="17" spans="1:4">
      <c r="A17" s="3281" t="s">
        <v>2702</v>
      </c>
      <c r="B17" s="3281"/>
      <c r="C17" s="3281"/>
      <c r="D17" s="3281"/>
    </row>
    <row r="18" spans="1:4">
      <c r="A18" s="3281" t="s">
        <v>2694</v>
      </c>
      <c r="B18" s="3281"/>
      <c r="C18" s="3281"/>
      <c r="D18" s="3281"/>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81" t="s">
        <v>2699</v>
      </c>
      <c r="B23" s="3281"/>
      <c r="C23" s="3281"/>
      <c r="D23" s="3281"/>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93" t="s">
        <v>53</v>
      </c>
      <c r="B15" s="3294" t="s">
        <v>845</v>
      </c>
      <c r="C15" s="3290"/>
    </row>
    <row r="16" spans="1:7" ht="14.25">
      <c r="A16" s="3293"/>
      <c r="B16" s="3291" t="s">
        <v>54</v>
      </c>
      <c r="C16" s="1171" t="s">
        <v>53</v>
      </c>
    </row>
    <row r="17" spans="1:3" ht="14.25">
      <c r="A17" s="3293"/>
      <c r="B17" s="3291"/>
      <c r="C17" s="1171" t="s">
        <v>55</v>
      </c>
    </row>
    <row r="18" spans="1:3" ht="14.25">
      <c r="A18" s="3293"/>
      <c r="B18" s="3291"/>
      <c r="C18" s="1171" t="s">
        <v>56</v>
      </c>
    </row>
    <row r="19" spans="1:3" ht="14.25">
      <c r="A19" s="3293"/>
      <c r="B19" s="3289" t="s">
        <v>57</v>
      </c>
      <c r="C19" s="3290"/>
    </row>
    <row r="20" spans="1:3" ht="14.25">
      <c r="A20" s="1172" t="s">
        <v>58</v>
      </c>
      <c r="B20" s="1173"/>
      <c r="C20" s="1174"/>
    </row>
    <row r="21" spans="1:3" ht="14.25">
      <c r="A21" s="3292" t="s">
        <v>59</v>
      </c>
      <c r="B21" s="3289" t="s">
        <v>60</v>
      </c>
      <c r="C21" s="3290"/>
    </row>
    <row r="22" spans="1:3" ht="14.25">
      <c r="A22" s="3292"/>
      <c r="B22" s="3289" t="s">
        <v>61</v>
      </c>
      <c r="C22" s="3290"/>
    </row>
    <row r="23" spans="1:3" ht="14.25">
      <c r="A23" s="3292"/>
      <c r="B23" s="3289" t="s">
        <v>62</v>
      </c>
      <c r="C23" s="3290"/>
    </row>
    <row r="24" spans="1:3" ht="14.25">
      <c r="A24" s="3292"/>
      <c r="B24" s="3295" t="s">
        <v>63</v>
      </c>
      <c r="C24" s="1175" t="s">
        <v>836</v>
      </c>
    </row>
    <row r="25" spans="1:3" ht="14.25">
      <c r="A25" s="3292"/>
      <c r="B25" s="3296"/>
      <c r="C25" s="1175" t="s">
        <v>837</v>
      </c>
    </row>
    <row r="26" spans="1:3" ht="14.25">
      <c r="A26" s="3292"/>
      <c r="B26" s="3296"/>
      <c r="C26" s="1175" t="s">
        <v>838</v>
      </c>
    </row>
    <row r="27" spans="1:3" ht="14.25">
      <c r="A27" s="3292"/>
      <c r="B27" s="3296"/>
      <c r="C27" s="1175" t="s">
        <v>839</v>
      </c>
    </row>
    <row r="28" spans="1:3" ht="14.25">
      <c r="A28" s="3292"/>
      <c r="B28" s="3296"/>
      <c r="C28" s="1175" t="s">
        <v>840</v>
      </c>
    </row>
    <row r="29" spans="1:3" ht="14.25">
      <c r="A29" s="3292"/>
      <c r="B29" s="3296"/>
      <c r="C29" s="1175" t="s">
        <v>841</v>
      </c>
    </row>
    <row r="30" spans="1:3" ht="14.25">
      <c r="A30" s="3292"/>
      <c r="B30" s="3296"/>
      <c r="C30" s="1175" t="s">
        <v>842</v>
      </c>
    </row>
    <row r="31" spans="1:3" ht="14.25">
      <c r="A31" s="3292"/>
      <c r="B31" s="3296"/>
      <c r="C31" s="1175" t="s">
        <v>843</v>
      </c>
    </row>
    <row r="32" spans="1:3" ht="14.25">
      <c r="A32" s="3292"/>
      <c r="B32" s="3296"/>
      <c r="C32" s="1175" t="s">
        <v>1646</v>
      </c>
    </row>
    <row r="33" spans="1:3" ht="14.25">
      <c r="A33" s="3292"/>
      <c r="B33" s="3286" t="s">
        <v>1652</v>
      </c>
      <c r="C33" s="1175" t="s">
        <v>1647</v>
      </c>
    </row>
    <row r="34" spans="1:3" ht="14.25">
      <c r="A34" s="3292"/>
      <c r="B34" s="3287"/>
      <c r="C34" s="1180" t="s">
        <v>1648</v>
      </c>
    </row>
    <row r="35" spans="1:3" ht="14.25">
      <c r="A35" s="3292"/>
      <c r="B35" s="3287"/>
      <c r="C35" s="1181" t="s">
        <v>1649</v>
      </c>
    </row>
    <row r="36" spans="1:3" ht="14.25">
      <c r="A36" s="3292"/>
      <c r="B36" s="3287"/>
      <c r="C36" s="1181" t="s">
        <v>1650</v>
      </c>
    </row>
    <row r="37" spans="1:3" ht="14.25">
      <c r="A37" s="3292"/>
      <c r="B37" s="328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43546</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97" t="s">
        <v>1926</v>
      </c>
      <c r="B25" s="3297"/>
      <c r="C25" s="3297"/>
      <c r="D25" s="3297"/>
      <c r="E25" s="3297"/>
      <c r="F25" s="3297"/>
      <c r="G25" s="3297"/>
    </row>
    <row r="26" spans="1:7" ht="20.25" customHeight="1">
      <c r="A26" s="3298" t="s">
        <v>1927</v>
      </c>
      <c r="B26" s="3298"/>
      <c r="C26" s="3298"/>
      <c r="D26" s="3298" t="s">
        <v>1928</v>
      </c>
      <c r="E26" s="3298"/>
      <c r="F26" s="3298"/>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99"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299"/>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99"/>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99"/>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99"/>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结果表一!Print_Area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2019-03-11T01:17:25Z</cp:lastPrinted>
  <dcterms:created xsi:type="dcterms:W3CDTF">2015-07-13T07:17:23Z</dcterms:created>
  <dcterms:modified xsi:type="dcterms:W3CDTF">2019-03-22T03:26:08Z</dcterms:modified>
</cp:coreProperties>
</file>