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E:\2025\进行中\2025-1-0217-F01中海国际中心-吴琼-招商银行-项目-1,2-郑，王\"/>
    </mc:Choice>
  </mc:AlternateContent>
  <xr:revisionPtr revIDLastSave="0" documentId="13_ncr:1_{624DEDF7-F958-46D7-BB80-379D723B5585}"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Z21" i="1"/>
  <c r="AF6" i="1"/>
  <c r="U6" i="1"/>
  <c r="W19" i="1"/>
  <c r="N21" i="1"/>
  <c r="H13" i="4"/>
  <c r="C13" i="4"/>
  <c r="G39" i="6"/>
  <c r="H41" i="6" s="1"/>
  <c r="I41" i="6" s="1"/>
  <c r="W22" i="1"/>
  <c r="U7" i="1" s="1"/>
  <c r="M5" i="91"/>
  <c r="M3" i="91"/>
  <c r="M8" i="91"/>
  <c r="M4" i="91" l="1"/>
  <c r="N19" i="1"/>
  <c r="N14" i="1"/>
  <c r="L14" i="1"/>
  <c r="AJ27" i="1"/>
  <c r="AK7" i="1" l="1"/>
  <c r="AH9" i="1"/>
  <c r="Q59" i="9"/>
  <c r="Q57" i="9"/>
  <c r="Q54" i="9"/>
  <c r="Q53" i="9"/>
  <c r="Q52" i="9"/>
  <c r="M6" i="91"/>
  <c r="I8" i="91"/>
  <c r="I11" i="91"/>
  <c r="I16" i="91"/>
  <c r="I19" i="91"/>
  <c r="I23" i="91"/>
  <c r="I27" i="91"/>
  <c r="I28" i="91"/>
  <c r="I30" i="91"/>
  <c r="I4" i="91"/>
  <c r="C31" i="91"/>
  <c r="F30" i="91"/>
  <c r="D30" i="91"/>
  <c r="F29" i="91"/>
  <c r="I29" i="91" s="1"/>
  <c r="D29" i="91"/>
  <c r="E28" i="91"/>
  <c r="F28" i="91" s="1"/>
  <c r="F27" i="91"/>
  <c r="D27" i="91"/>
  <c r="F26" i="91"/>
  <c r="I26" i="91" s="1"/>
  <c r="D26" i="91"/>
  <c r="F25" i="91"/>
  <c r="I25" i="91" s="1"/>
  <c r="D25" i="91"/>
  <c r="F24" i="91"/>
  <c r="I24" i="91" s="1"/>
  <c r="D24" i="91"/>
  <c r="F23" i="91"/>
  <c r="D23" i="91"/>
  <c r="F22" i="91"/>
  <c r="I22" i="91" s="1"/>
  <c r="D22" i="91"/>
  <c r="F21" i="91"/>
  <c r="I21" i="91" s="1"/>
  <c r="D21" i="91"/>
  <c r="E20" i="91"/>
  <c r="F20" i="91" s="1"/>
  <c r="I20" i="91" s="1"/>
  <c r="F19" i="91"/>
  <c r="D19" i="91"/>
  <c r="F18" i="91"/>
  <c r="I18" i="91" s="1"/>
  <c r="D18" i="91"/>
  <c r="F17" i="91"/>
  <c r="I17" i="91" s="1"/>
  <c r="D17" i="91"/>
  <c r="F16" i="91"/>
  <c r="F15" i="91"/>
  <c r="I15" i="91" s="1"/>
  <c r="F14" i="91"/>
  <c r="I14" i="91" s="1"/>
  <c r="F13" i="91"/>
  <c r="I13" i="91" s="1"/>
  <c r="D13" i="91"/>
  <c r="F12" i="91"/>
  <c r="N5" i="91" s="1"/>
  <c r="F11" i="91"/>
  <c r="D11" i="91"/>
  <c r="F10" i="91"/>
  <c r="N8" i="91" s="1"/>
  <c r="O8" i="91" s="1"/>
  <c r="D10" i="91"/>
  <c r="E9" i="91"/>
  <c r="F8" i="91"/>
  <c r="F7" i="91"/>
  <c r="I7" i="91" s="1"/>
  <c r="D7" i="91"/>
  <c r="F6" i="91"/>
  <c r="I6" i="91" s="1"/>
  <c r="D6" i="91"/>
  <c r="F5" i="91"/>
  <c r="I5" i="91" s="1"/>
  <c r="D5" i="91"/>
  <c r="F4" i="91"/>
  <c r="D4" i="91"/>
  <c r="N11" i="34"/>
  <c r="O5" i="91" l="1"/>
  <c r="N6" i="91"/>
  <c r="O6" i="91" s="1"/>
  <c r="I12" i="91"/>
  <c r="I10" i="91"/>
  <c r="E31" i="91"/>
  <c r="F31" i="91" s="1"/>
  <c r="F32" i="91" s="1"/>
  <c r="F9" i="91"/>
  <c r="I9" i="91" s="1"/>
  <c r="X23" i="1"/>
  <c r="X22" i="1"/>
  <c r="X20" i="1"/>
  <c r="X19" i="1"/>
  <c r="X18" i="1"/>
  <c r="U9" i="1"/>
  <c r="C78" i="90"/>
  <c r="E77" i="90"/>
  <c r="F77" i="90" s="1"/>
  <c r="H76" i="90"/>
  <c r="F76" i="90"/>
  <c r="H74" i="90"/>
  <c r="H73" i="90"/>
  <c r="H72" i="90"/>
  <c r="H70" i="90"/>
  <c r="H69" i="90"/>
  <c r="H68" i="90"/>
  <c r="H67" i="90"/>
  <c r="H66" i="90"/>
  <c r="H65" i="90"/>
  <c r="H63" i="90"/>
  <c r="H60" i="90"/>
  <c r="H59" i="90"/>
  <c r="H58" i="90"/>
  <c r="H57" i="90"/>
  <c r="H56" i="90"/>
  <c r="H55" i="90"/>
  <c r="H53" i="90"/>
  <c r="F78" i="90"/>
  <c r="F79" i="90" s="1"/>
  <c r="K51" i="90"/>
  <c r="H51" i="90"/>
  <c r="H50" i="90"/>
  <c r="C32" i="90"/>
  <c r="E31" i="90"/>
  <c r="F31" i="90" s="1"/>
  <c r="H31" i="90" s="1"/>
  <c r="F30" i="90"/>
  <c r="H30" i="90" s="1"/>
  <c r="H29" i="90"/>
  <c r="H28" i="90"/>
  <c r="H27" i="90"/>
  <c r="H26" i="90"/>
  <c r="H25" i="90"/>
  <c r="H24" i="90"/>
  <c r="H23" i="90"/>
  <c r="H22" i="90"/>
  <c r="H21" i="90"/>
  <c r="H20" i="90"/>
  <c r="H19" i="90"/>
  <c r="H18" i="90"/>
  <c r="H17" i="90"/>
  <c r="H16" i="90"/>
  <c r="H15" i="90"/>
  <c r="H14" i="90"/>
  <c r="H13" i="90"/>
  <c r="H12" i="90"/>
  <c r="H11" i="90"/>
  <c r="H10" i="90"/>
  <c r="K5" i="90" s="1"/>
  <c r="H9" i="90"/>
  <c r="H8" i="90"/>
  <c r="H7" i="90"/>
  <c r="F6" i="90"/>
  <c r="K4" i="90" s="1"/>
  <c r="H5" i="90"/>
  <c r="H4" i="90"/>
  <c r="L4" i="80"/>
  <c r="E67" i="34"/>
  <c r="D67" i="34" s="1"/>
  <c r="C67" i="34" s="1"/>
  <c r="F67" i="34"/>
  <c r="E34" i="34"/>
  <c r="E7" i="34"/>
  <c r="M42" i="89"/>
  <c r="L42" i="89"/>
  <c r="I10" i="34"/>
  <c r="I7" i="34"/>
  <c r="G7" i="34"/>
  <c r="N83" i="88"/>
  <c r="M83" i="88"/>
  <c r="I34" i="34" s="1"/>
  <c r="G34" i="34"/>
  <c r="M141" i="87"/>
  <c r="N141" i="87" s="1"/>
  <c r="G48" i="34" s="1"/>
  <c r="L141" i="87"/>
  <c r="K6" i="90" l="1"/>
  <c r="N42" i="89"/>
  <c r="E48" i="34" s="1"/>
  <c r="N3" i="91"/>
  <c r="O83" i="88"/>
  <c r="I48" i="34" s="1"/>
  <c r="F32" i="90"/>
  <c r="F33" i="90" s="1"/>
  <c r="X21" i="1"/>
  <c r="N4" i="91"/>
  <c r="Y18" i="1"/>
  <c r="Y19" i="1"/>
  <c r="W20" i="1"/>
  <c r="Y20" i="1" s="1"/>
  <c r="H77" i="90"/>
  <c r="K52" i="90"/>
  <c r="E78" i="90"/>
  <c r="K50" i="90"/>
  <c r="E32" i="90"/>
  <c r="H6" i="90"/>
  <c r="G37" i="34"/>
  <c r="M8" i="85"/>
  <c r="J8" i="85"/>
  <c r="K8" i="85" s="1"/>
  <c r="Q3" i="91" l="1"/>
  <c r="O3" i="91"/>
  <c r="N8" i="85"/>
  <c r="Y21" i="1"/>
  <c r="D105" i="34"/>
  <c r="E105" i="34" s="1"/>
  <c r="F105" i="34" s="1"/>
  <c r="G105" i="34" s="1"/>
  <c r="H105" i="34" s="1"/>
  <c r="I105" i="34" s="1"/>
  <c r="J105" i="34" s="1"/>
  <c r="D38" i="43"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s="1"/>
  <c r="D98" i="84"/>
  <c r="M97" i="84"/>
  <c r="N97" i="84" s="1"/>
  <c r="K97" i="84"/>
  <c r="J97" i="84" s="1"/>
  <c r="D97" i="84"/>
  <c r="M96" i="84"/>
  <c r="N96" i="84" s="1"/>
  <c r="K96" i="84"/>
  <c r="J96" i="84" s="1"/>
  <c r="D96" i="84"/>
  <c r="N95" i="84"/>
  <c r="M95" i="84"/>
  <c r="K95" i="84"/>
  <c r="J95" i="84" s="1"/>
  <c r="D95" i="84"/>
  <c r="B95" i="84"/>
  <c r="N94" i="84"/>
  <c r="M94" i="84"/>
  <c r="K94" i="84"/>
  <c r="J94" i="84" s="1"/>
  <c r="D94" i="84"/>
  <c r="M93" i="84"/>
  <c r="N93" i="84" s="1"/>
  <c r="K93" i="84"/>
  <c r="J93" i="84" s="1"/>
  <c r="F93" i="84"/>
  <c r="H94" i="84" s="1"/>
  <c r="D93" i="84"/>
  <c r="N90" i="84"/>
  <c r="M90" i="84"/>
  <c r="K90" i="84"/>
  <c r="J90" i="84" s="1"/>
  <c r="D90" i="84"/>
  <c r="M89" i="84"/>
  <c r="N89" i="84" s="1"/>
  <c r="K89" i="84"/>
  <c r="J89" i="84" s="1"/>
  <c r="D89" i="84"/>
  <c r="N88" i="84"/>
  <c r="M88" i="84"/>
  <c r="K88" i="84"/>
  <c r="J88" i="84"/>
  <c r="D88" i="84"/>
  <c r="M87" i="84"/>
  <c r="N87" i="84" s="1"/>
  <c r="K87" i="84"/>
  <c r="J87" i="84" s="1"/>
  <c r="D87" i="84"/>
  <c r="M86" i="84"/>
  <c r="N86" i="84" s="1"/>
  <c r="K86" i="84"/>
  <c r="J86" i="84" s="1"/>
  <c r="D86" i="84"/>
  <c r="B86" i="84"/>
  <c r="M85" i="84"/>
  <c r="N85" i="84" s="1"/>
  <c r="K85" i="84"/>
  <c r="J85" i="84" s="1"/>
  <c r="D85" i="84"/>
  <c r="B85" i="84"/>
  <c r="N84" i="84"/>
  <c r="M84" i="84"/>
  <c r="K84" i="84"/>
  <c r="J84" i="84"/>
  <c r="D84" i="84"/>
  <c r="M83" i="84"/>
  <c r="N83" i="84" s="1"/>
  <c r="K83" i="84"/>
  <c r="J83" i="84" s="1"/>
  <c r="F83" i="84"/>
  <c r="H88" i="84" s="1"/>
  <c r="D83" i="84"/>
  <c r="N80" i="84"/>
  <c r="M80" i="84"/>
  <c r="K80" i="84"/>
  <c r="J80" i="84" s="1"/>
  <c r="D80" i="84"/>
  <c r="N79" i="84"/>
  <c r="M79" i="84"/>
  <c r="K79" i="84"/>
  <c r="J79" i="84" s="1"/>
  <c r="D79" i="84"/>
  <c r="M78" i="84"/>
  <c r="N78" i="84" s="1"/>
  <c r="K78" i="84"/>
  <c r="J78" i="84" s="1"/>
  <c r="D78" i="84"/>
  <c r="M77" i="84"/>
  <c r="N77" i="84" s="1"/>
  <c r="K77" i="84"/>
  <c r="J77" i="84"/>
  <c r="D77" i="84"/>
  <c r="N76" i="84"/>
  <c r="M76" i="84"/>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N67" i="84"/>
  <c r="M67" i="84"/>
  <c r="K67" i="84"/>
  <c r="J67" i="84" s="1"/>
  <c r="M66" i="84"/>
  <c r="N66" i="84" s="1"/>
  <c r="K66" i="84"/>
  <c r="J66" i="84" s="1"/>
  <c r="M65" i="84"/>
  <c r="N65" i="84" s="1"/>
  <c r="K65" i="84"/>
  <c r="J65" i="84" s="1"/>
  <c r="D65" i="84" s="1"/>
  <c r="M64" i="84"/>
  <c r="N64" i="84" s="1"/>
  <c r="K64" i="84"/>
  <c r="J64" i="84" s="1"/>
  <c r="M63" i="84"/>
  <c r="N63" i="84" s="1"/>
  <c r="K63" i="84"/>
  <c r="J63" i="84" s="1"/>
  <c r="B63" i="84"/>
  <c r="M62" i="84"/>
  <c r="N62" i="84" s="1"/>
  <c r="K62" i="84"/>
  <c r="J62" i="84" s="1"/>
  <c r="D62" i="84"/>
  <c r="M61" i="84"/>
  <c r="N61" i="84" s="1"/>
  <c r="K61" i="84"/>
  <c r="J61" i="84" s="1"/>
  <c r="D61" i="84"/>
  <c r="M58" i="84"/>
  <c r="N58" i="84" s="1"/>
  <c r="K58" i="84"/>
  <c r="M57" i="84"/>
  <c r="N57" i="84" s="1"/>
  <c r="K57" i="84"/>
  <c r="J57" i="84"/>
  <c r="D57" i="84" s="1"/>
  <c r="M56" i="84"/>
  <c r="N56" i="84" s="1"/>
  <c r="K56" i="84"/>
  <c r="D56" i="84" s="1"/>
  <c r="M55" i="84"/>
  <c r="N55" i="84" s="1"/>
  <c r="K55" i="84"/>
  <c r="J55" i="84"/>
  <c r="D55" i="84"/>
  <c r="M54" i="84"/>
  <c r="N54" i="84" s="1"/>
  <c r="K54" i="84"/>
  <c r="J54" i="84"/>
  <c r="D54" i="84" s="1"/>
  <c r="M53" i="84"/>
  <c r="N53" i="84" s="1"/>
  <c r="K53" i="84"/>
  <c r="D53" i="84" s="1"/>
  <c r="M52" i="84"/>
  <c r="N52" i="84" s="1"/>
  <c r="K52" i="84"/>
  <c r="B52" i="84"/>
  <c r="M51" i="84"/>
  <c r="N51" i="84" s="1"/>
  <c r="K51" i="84"/>
  <c r="D51" i="84" s="1"/>
  <c r="J51" i="84"/>
  <c r="M50" i="84"/>
  <c r="N50" i="84" s="1"/>
  <c r="K50" i="84"/>
  <c r="J50" i="84" s="1"/>
  <c r="B50" i="84"/>
  <c r="H40" i="84"/>
  <c r="H39" i="84"/>
  <c r="H38" i="84"/>
  <c r="H37" i="84"/>
  <c r="N32" i="84"/>
  <c r="J24" i="84"/>
  <c r="G24" i="84"/>
  <c r="E44" i="84" s="1"/>
  <c r="E24" i="84"/>
  <c r="Q32" i="84" s="1"/>
  <c r="I23" i="84"/>
  <c r="C22" i="84"/>
  <c r="G17" i="84"/>
  <c r="C17" i="84"/>
  <c r="C13" i="84"/>
  <c r="AE10" i="84"/>
  <c r="AD10" i="84"/>
  <c r="AA10" i="84"/>
  <c r="Y10" i="84"/>
  <c r="C10" i="84"/>
  <c r="C11" i="84" s="1"/>
  <c r="AJ9" i="84"/>
  <c r="AJ10" i="84" s="1"/>
  <c r="AI9" i="84"/>
  <c r="AI10" i="84" s="1"/>
  <c r="AH9" i="84"/>
  <c r="AH10" i="84" s="1"/>
  <c r="AG9" i="84"/>
  <c r="AG10" i="84" s="1"/>
  <c r="AF9" i="84"/>
  <c r="AF10" i="84" s="1"/>
  <c r="AE9" i="84"/>
  <c r="AD9" i="84"/>
  <c r="AC9" i="84"/>
  <c r="AC10" i="84" s="1"/>
  <c r="AB9" i="84"/>
  <c r="AB10" i="84" s="1"/>
  <c r="AA9" i="84"/>
  <c r="Z9" i="84"/>
  <c r="Z10" i="84" s="1"/>
  <c r="C9" i="84"/>
  <c r="C7" i="84"/>
  <c r="U4" i="84"/>
  <c r="U3" i="84"/>
  <c r="U2" i="84"/>
  <c r="I2" i="84"/>
  <c r="M12" i="84" s="1"/>
  <c r="G2" i="84"/>
  <c r="U4" i="43"/>
  <c r="U3" i="43"/>
  <c r="U2" i="43"/>
  <c r="J49" i="83"/>
  <c r="J49" i="81"/>
  <c r="J49" i="82"/>
  <c r="J49" i="15"/>
  <c r="L7" i="1"/>
  <c r="L8" i="1" s="1"/>
  <c r="L9" i="1" s="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AK8" i="1"/>
  <c r="AM7" i="1"/>
  <c r="AM8" i="1" s="1"/>
  <c r="AL7" i="1"/>
  <c r="AL8" i="1" s="1"/>
  <c r="AL9" i="1" s="1"/>
  <c r="I26" i="1"/>
  <c r="I38" i="1" s="1"/>
  <c r="I36" i="1"/>
  <c r="I37" i="1"/>
  <c r="J26" i="1"/>
  <c r="J38" i="1" s="1"/>
  <c r="J36" i="1"/>
  <c r="J37" i="1"/>
  <c r="Q7" i="1"/>
  <c r="Q8" i="1" s="1"/>
  <c r="E72" i="84" l="1"/>
  <c r="B70" i="84" s="1"/>
  <c r="D66" i="84"/>
  <c r="D69" i="84"/>
  <c r="E83" i="84"/>
  <c r="B81" i="84" s="1"/>
  <c r="C37" i="34"/>
  <c r="I37" i="34" s="1"/>
  <c r="Y6" i="1"/>
  <c r="N8" i="1"/>
  <c r="Y8" i="1" s="1"/>
  <c r="N9" i="1"/>
  <c r="Y9" i="1" s="1"/>
  <c r="N7" i="1"/>
  <c r="Y7" i="1" s="1"/>
  <c r="D22" i="83"/>
  <c r="D23" i="83"/>
  <c r="I18" i="84"/>
  <c r="D22" i="82"/>
  <c r="H83" i="84"/>
  <c r="H90" i="84"/>
  <c r="H87" i="84"/>
  <c r="D23" i="82"/>
  <c r="D67" i="84"/>
  <c r="D63" i="84"/>
  <c r="E61" i="84" s="1"/>
  <c r="B59" i="84" s="1"/>
  <c r="D64" i="84"/>
  <c r="H72" i="84"/>
  <c r="H79" i="84"/>
  <c r="N2" i="84"/>
  <c r="N6" i="84"/>
  <c r="N8" i="84"/>
  <c r="M1" i="84"/>
  <c r="M4" i="84"/>
  <c r="G18" i="84"/>
  <c r="E17" i="84" s="1"/>
  <c r="H76" i="84"/>
  <c r="N3" i="84"/>
  <c r="M5" i="84"/>
  <c r="M8" i="84"/>
  <c r="M7" i="84"/>
  <c r="N10" i="84"/>
  <c r="E8" i="84"/>
  <c r="E11" i="84"/>
  <c r="E10" i="84"/>
  <c r="E9" i="84"/>
  <c r="H116" i="84"/>
  <c r="F50" i="84"/>
  <c r="F41" i="84"/>
  <c r="F39" i="84"/>
  <c r="N21" i="84"/>
  <c r="J21" i="84"/>
  <c r="S2" i="84"/>
  <c r="S3" i="84"/>
  <c r="S6" i="84"/>
  <c r="M21" i="84"/>
  <c r="N5" i="84"/>
  <c r="M9" i="84"/>
  <c r="O21" i="84"/>
  <c r="F37" i="84"/>
  <c r="F38" i="84"/>
  <c r="F40" i="84"/>
  <c r="F42" i="84"/>
  <c r="J58" i="84"/>
  <c r="D58" i="84"/>
  <c r="X7" i="84"/>
  <c r="H21" i="84"/>
  <c r="J52" i="84"/>
  <c r="D52" i="84"/>
  <c r="H101" i="84"/>
  <c r="H95" i="84"/>
  <c r="H98" i="84"/>
  <c r="H99" i="84"/>
  <c r="H96" i="84"/>
  <c r="H93" i="84"/>
  <c r="H97" i="84"/>
  <c r="N12" i="84"/>
  <c r="N11" i="84"/>
  <c r="N4" i="84"/>
  <c r="N7" i="84"/>
  <c r="C21" i="84"/>
  <c r="I21" i="84"/>
  <c r="N1" i="84"/>
  <c r="F61" i="84" s="1"/>
  <c r="M2" i="84"/>
  <c r="C6" i="84" s="1"/>
  <c r="M3" i="84"/>
  <c r="S4" i="84"/>
  <c r="S5" i="84"/>
  <c r="M6" i="84"/>
  <c r="N9" i="84"/>
  <c r="M10" i="84"/>
  <c r="M11" i="84"/>
  <c r="D21" i="84"/>
  <c r="K21" i="84"/>
  <c r="L21" i="84"/>
  <c r="C27" i="84"/>
  <c r="E93" i="84"/>
  <c r="B91" i="84" s="1"/>
  <c r="H100" i="84"/>
  <c r="O32" i="84"/>
  <c r="D50" i="84"/>
  <c r="J53" i="84"/>
  <c r="J56" i="84"/>
  <c r="H75" i="84"/>
  <c r="H78" i="84"/>
  <c r="H86" i="84"/>
  <c r="H89" i="84"/>
  <c r="P32" i="84"/>
  <c r="H74" i="84"/>
  <c r="H80" i="84"/>
  <c r="H85" i="84"/>
  <c r="M32" i="84"/>
  <c r="H73" i="84"/>
  <c r="H84" i="84"/>
  <c r="P61" i="83"/>
  <c r="P61" i="82"/>
  <c r="P61" i="81"/>
  <c r="D22" i="81"/>
  <c r="D23" i="81"/>
  <c r="B55" i="1"/>
  <c r="B21" i="1"/>
  <c r="J8" i="1"/>
  <c r="J9" i="1" s="1"/>
  <c r="J7" i="1"/>
  <c r="I7" i="1"/>
  <c r="I8" i="1" s="1"/>
  <c r="I9" i="1" s="1"/>
  <c r="H7" i="1"/>
  <c r="H8" i="1" s="1"/>
  <c r="H9" i="1" s="1"/>
  <c r="A3" i="3"/>
  <c r="C17" i="3"/>
  <c r="C14" i="3"/>
  <c r="C20" i="6" s="1"/>
  <c r="C15" i="3"/>
  <c r="C21" i="6" s="1"/>
  <c r="C16" i="3"/>
  <c r="C22" i="6" s="1"/>
  <c r="C13" i="3"/>
  <c r="C19" i="6" s="1"/>
  <c r="L6" i="80"/>
  <c r="L5" i="80"/>
  <c r="L7" i="80"/>
  <c r="O16" i="3" s="1"/>
  <c r="L8" i="80"/>
  <c r="AL17" i="3" s="1"/>
  <c r="E50" i="84" l="1"/>
  <c r="B48" i="84" s="1"/>
  <c r="K14" i="3"/>
  <c r="L12" i="80"/>
  <c r="M15" i="3"/>
  <c r="L11" i="80"/>
  <c r="C28" i="84"/>
  <c r="H68" i="84"/>
  <c r="H67" i="84"/>
  <c r="H64" i="84"/>
  <c r="H61" i="84"/>
  <c r="H66" i="84"/>
  <c r="H62" i="84"/>
  <c r="H63" i="84"/>
  <c r="H65" i="84"/>
  <c r="H69" i="84"/>
  <c r="H57" i="84"/>
  <c r="H54" i="84"/>
  <c r="H51" i="84"/>
  <c r="H58" i="84"/>
  <c r="H52" i="84"/>
  <c r="H55" i="84"/>
  <c r="H53" i="84"/>
  <c r="H50" i="84"/>
  <c r="H56" i="84"/>
  <c r="G21" i="84"/>
  <c r="L9" i="80"/>
  <c r="I13" i="3"/>
  <c r="M12" i="80" l="1"/>
  <c r="M11" i="80"/>
  <c r="F13" i="4" l="1"/>
  <c r="G13" i="4" s="1"/>
  <c r="H49" i="80"/>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4" l="1"/>
  <c r="C20" i="84" s="1"/>
  <c r="Z3" i="79"/>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4" l="1"/>
  <c r="D5" i="84"/>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s="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E34" i="71"/>
  <c r="C34" i="71"/>
  <c r="D34" i="71" s="1"/>
  <c r="Y27" i="71"/>
  <c r="Z27" i="71" s="1"/>
  <c r="D50" i="71"/>
  <c r="P28" i="71"/>
  <c r="E28" i="71" s="1"/>
  <c r="U68" i="71"/>
  <c r="E67" i="71"/>
  <c r="E66" i="71" s="1"/>
  <c r="Q28" i="71"/>
  <c r="D58" i="71"/>
  <c r="C63" i="71"/>
  <c r="C64" i="71" s="1"/>
  <c r="D62" i="71"/>
  <c r="T68" i="71"/>
  <c r="O68" i="71"/>
  <c r="D68" i="71"/>
  <c r="C67" i="71"/>
  <c r="D67" i="71" s="1"/>
  <c r="E71" i="71"/>
  <c r="E70" i="71" s="1"/>
  <c r="D72" i="71"/>
  <c r="D76" i="71"/>
  <c r="E79" i="71"/>
  <c r="E78" i="71" s="1"/>
  <c r="C87" i="71"/>
  <c r="C86" i="71" s="1"/>
  <c r="D86" i="71" s="1"/>
  <c r="F28" i="71"/>
  <c r="F27" i="71" s="1"/>
  <c r="F26" i="71" s="1"/>
  <c r="AB28" i="71"/>
  <c r="D63" i="71"/>
  <c r="P67" i="71"/>
  <c r="O27" i="6"/>
  <c r="P20" i="6"/>
  <c r="P21" i="6"/>
  <c r="P22"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29" i="39"/>
  <c r="U21" i="37"/>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s="1"/>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6" i="4" s="1"/>
  <c r="A18" i="51" s="1"/>
  <c r="B13" i="72"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D114"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AC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D71" i="37"/>
  <c r="H15" i="37"/>
  <c r="AB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H29" i="36"/>
  <c r="AB29" i="36" s="1"/>
  <c r="D81" i="36"/>
  <c r="E81" i="36" s="1"/>
  <c r="F81" i="36" s="1"/>
  <c r="G81" i="36" s="1"/>
  <c r="H81" i="36" s="1"/>
  <c r="I81" i="36" s="1"/>
  <c r="J81" i="36" s="1"/>
  <c r="K81" i="36" s="1"/>
  <c r="L81" i="36" s="1"/>
  <c r="M81" i="36" s="1"/>
  <c r="F79" i="36"/>
  <c r="E79" i="36"/>
  <c r="D79" i="36"/>
  <c r="C79" i="36"/>
  <c r="B93" i="36"/>
  <c r="B91" i="36"/>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J12" i="36"/>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H12" i="35" s="1"/>
  <c r="B131" i="34"/>
  <c r="B129" i="34"/>
  <c r="J46" i="34" s="1"/>
  <c r="B127" i="34"/>
  <c r="B99" i="34"/>
  <c r="B97" i="34"/>
  <c r="B95" i="34"/>
  <c r="H30" i="34" s="1"/>
  <c r="B93" i="34"/>
  <c r="B75" i="34"/>
  <c r="J14" i="34" s="1"/>
  <c r="W14" i="34" s="1"/>
  <c r="B73" i="34"/>
  <c r="B71" i="34"/>
  <c r="B130" i="33"/>
  <c r="B128" i="33"/>
  <c r="F45" i="33" s="1"/>
  <c r="S45" i="33" s="1"/>
  <c r="B126" i="33"/>
  <c r="B98" i="33"/>
  <c r="F31" i="33" s="1"/>
  <c r="S31" i="33" s="1"/>
  <c r="B96" i="33"/>
  <c r="B94" i="33"/>
  <c r="J29" i="33" s="1"/>
  <c r="B74" i="33"/>
  <c r="B72" i="33"/>
  <c r="H13" i="33" s="1"/>
  <c r="U13" i="33" s="1"/>
  <c r="B70" i="33"/>
  <c r="H12" i="33" s="1"/>
  <c r="U12" i="33" s="1"/>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H9" i="35" s="1"/>
  <c r="U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D82" i="34"/>
  <c r="E82" i="34"/>
  <c r="F82" i="34" s="1"/>
  <c r="G82" i="34" s="1"/>
  <c r="D80" i="34"/>
  <c r="E80" i="34" s="1"/>
  <c r="F80" i="34" s="1"/>
  <c r="G80" i="34" s="1"/>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B75" i="43" s="1"/>
  <c r="C21" i="20"/>
  <c r="B56" i="43" s="1"/>
  <c r="C20" i="20"/>
  <c r="C18" i="20"/>
  <c r="C17" i="20"/>
  <c r="B61" i="84" s="1"/>
  <c r="C16" i="20"/>
  <c r="C17" i="39" s="1"/>
  <c r="C15" i="20"/>
  <c r="B72" i="84"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J44" i="21" s="1"/>
  <c r="AC44" i="21" s="1"/>
  <c r="B98" i="21"/>
  <c r="H31" i="21" s="1"/>
  <c r="B96" i="21"/>
  <c r="B94" i="21"/>
  <c r="J29" i="21" s="1"/>
  <c r="W29" i="21" s="1"/>
  <c r="AC29" i="21"/>
  <c r="B92" i="21"/>
  <c r="B90" i="21"/>
  <c r="B74" i="21"/>
  <c r="F14" i="21" s="1"/>
  <c r="S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c r="F43" i="21"/>
  <c r="S43" i="21" s="1"/>
  <c r="H38" i="21"/>
  <c r="U38" i="21" s="1"/>
  <c r="H43" i="21"/>
  <c r="F38" i="21"/>
  <c r="S38" i="21"/>
  <c r="F36" i="21"/>
  <c r="S36" i="21" s="1"/>
  <c r="F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AC44" i="39" s="1"/>
  <c r="F36" i="39"/>
  <c r="S36" i="39" s="1"/>
  <c r="H36" i="39"/>
  <c r="AB36" i="39" s="1"/>
  <c r="J35" i="39"/>
  <c r="AC35" i="39" s="1"/>
  <c r="F35" i="39"/>
  <c r="AA35" i="39" s="1"/>
  <c r="J36" i="39"/>
  <c r="AC36" i="39" s="1"/>
  <c r="W25" i="37"/>
  <c r="F103" i="37"/>
  <c r="G103" i="37" s="1"/>
  <c r="H103" i="37" s="1"/>
  <c r="I103" i="37" s="1"/>
  <c r="J103" i="37" s="1"/>
  <c r="K103" i="37" s="1"/>
  <c r="L103" i="37" s="1"/>
  <c r="M103" i="37" s="1"/>
  <c r="F29" i="36"/>
  <c r="AA29" i="36" s="1"/>
  <c r="F16" i="36"/>
  <c r="AA16" i="36" s="1"/>
  <c r="W28" i="36"/>
  <c r="J33" i="36"/>
  <c r="AC33" i="36" s="1"/>
  <c r="H22" i="35"/>
  <c r="AB22" i="35" s="1"/>
  <c r="W28" i="35"/>
  <c r="U31" i="35"/>
  <c r="S31" i="35"/>
  <c r="F36" i="34"/>
  <c r="AA36" i="34" s="1"/>
  <c r="J35" i="34"/>
  <c r="W35" i="34" s="1"/>
  <c r="H39" i="33"/>
  <c r="AB39" i="33"/>
  <c r="U35" i="33"/>
  <c r="S40" i="33"/>
  <c r="W39" i="33"/>
  <c r="S27" i="35"/>
  <c r="F11" i="40"/>
  <c r="AA11" i="40"/>
  <c r="H11" i="40"/>
  <c r="AB11" i="40"/>
  <c r="U9"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6"/>
  <c r="U30" i="36"/>
  <c r="J30" i="35"/>
  <c r="W30" i="35" s="1"/>
  <c r="H30" i="35"/>
  <c r="AB30" i="35" s="1"/>
  <c r="F22" i="35"/>
  <c r="AA22" i="35" s="1"/>
  <c r="H10" i="35"/>
  <c r="U10" i="35" s="1"/>
  <c r="W30" i="36"/>
  <c r="H16" i="36"/>
  <c r="AB16" i="36" s="1"/>
  <c r="J85" i="36"/>
  <c r="K85" i="36" s="1"/>
  <c r="L85" i="36" s="1"/>
  <c r="M85" i="36" s="1"/>
  <c r="J29" i="36"/>
  <c r="AC29" i="36" s="1"/>
  <c r="F12" i="36"/>
  <c r="S12" i="36" s="1"/>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AA28" i="34" s="1"/>
  <c r="H23" i="34"/>
  <c r="F19" i="34"/>
  <c r="AA19" i="34" s="1"/>
  <c r="H17" i="34"/>
  <c r="F15" i="34"/>
  <c r="AA15" i="34" s="1"/>
  <c r="H15" i="34"/>
  <c r="AB15" i="34" s="1"/>
  <c r="J28" i="34"/>
  <c r="W28" i="34" s="1"/>
  <c r="F41" i="33"/>
  <c r="AA41" i="33" s="1"/>
  <c r="S38" i="33"/>
  <c r="E113" i="33"/>
  <c r="F113" i="33" s="1"/>
  <c r="G113" i="33" s="1"/>
  <c r="H113" i="33" s="1"/>
  <c r="I113" i="33" s="1"/>
  <c r="J113" i="33" s="1"/>
  <c r="K113" i="33" s="1"/>
  <c r="L113" i="33" s="1"/>
  <c r="M113" i="33" s="1"/>
  <c r="F32" i="33"/>
  <c r="AA32" i="33" s="1"/>
  <c r="J19" i="33"/>
  <c r="F11" i="33"/>
  <c r="AA11" i="33" s="1"/>
  <c r="U40" i="33"/>
  <c r="F37" i="40"/>
  <c r="AA37" i="40" s="1"/>
  <c r="F36" i="40"/>
  <c r="AA36" i="40" s="1"/>
  <c r="H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0" i="34"/>
  <c r="W40" i="34" s="1"/>
  <c r="J36" i="34"/>
  <c r="W36" i="34" s="1"/>
  <c r="J25" i="34"/>
  <c r="AC25" i="34" s="1"/>
  <c r="F23" i="34"/>
  <c r="AA23" i="34" s="1"/>
  <c r="J19" i="34"/>
  <c r="AC19" i="34" s="1"/>
  <c r="F17" i="34"/>
  <c r="AA17" i="34" s="1"/>
  <c r="J17" i="34"/>
  <c r="W17" i="34" s="1"/>
  <c r="H37" i="33"/>
  <c r="AB37" i="33" s="1"/>
  <c r="H11" i="33"/>
  <c r="AB11" i="33" s="1"/>
  <c r="F28" i="40"/>
  <c r="AA28" i="40" s="1"/>
  <c r="J11" i="33"/>
  <c r="W11" i="33" s="1"/>
  <c r="J42" i="21"/>
  <c r="AC42" i="21"/>
  <c r="H42" i="21"/>
  <c r="U42" i="21" s="1"/>
  <c r="J10" i="35"/>
  <c r="AC10" i="35" s="1"/>
  <c r="J14" i="21"/>
  <c r="W14" i="21"/>
  <c r="H14" i="21"/>
  <c r="U14" i="21" s="1"/>
  <c r="H28" i="21"/>
  <c r="AB28" i="21" s="1"/>
  <c r="F28" i="21"/>
  <c r="AA28" i="21"/>
  <c r="J28" i="21"/>
  <c r="W28" i="21" s="1"/>
  <c r="H30" i="21"/>
  <c r="U30" i="21" s="1"/>
  <c r="F30" i="21"/>
  <c r="S30" i="21" s="1"/>
  <c r="J30" i="21"/>
  <c r="AC30" i="21" s="1"/>
  <c r="H46" i="21"/>
  <c r="U46" i="21" s="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31" i="21"/>
  <c r="AC31" i="21" s="1"/>
  <c r="F31" i="21"/>
  <c r="S31" i="21"/>
  <c r="J13" i="33"/>
  <c r="AC13" i="33" s="1"/>
  <c r="F13" i="33"/>
  <c r="S13" i="33" s="1"/>
  <c r="J31" i="33"/>
  <c r="W31" i="33" s="1"/>
  <c r="H31" i="33"/>
  <c r="AA45" i="33"/>
  <c r="J30" i="34"/>
  <c r="F32" i="34"/>
  <c r="H11" i="35"/>
  <c r="AB11" i="35" s="1"/>
  <c r="J26" i="36"/>
  <c r="W26" i="36" s="1"/>
  <c r="H28" i="36"/>
  <c r="U28" i="36" s="1"/>
  <c r="J32" i="36"/>
  <c r="W32" i="36" s="1"/>
  <c r="H13" i="36"/>
  <c r="AB13" i="36" s="1"/>
  <c r="J13" i="36"/>
  <c r="J29" i="37"/>
  <c r="W29" i="37" s="1"/>
  <c r="F29" i="37"/>
  <c r="S29" i="37"/>
  <c r="H36" i="37"/>
  <c r="AB36" i="37" s="1"/>
  <c r="F107" i="37"/>
  <c r="G107" i="37" s="1"/>
  <c r="J37" i="37"/>
  <c r="AC37" i="37" s="1"/>
  <c r="H37" i="37"/>
  <c r="U37" i="37" s="1"/>
  <c r="H40" i="37"/>
  <c r="U40" i="37" s="1"/>
  <c r="J40" i="37"/>
  <c r="W40" i="37" s="1"/>
  <c r="F40" i="37"/>
  <c r="AA40" i="37" s="1"/>
  <c r="H14" i="33"/>
  <c r="U14" i="33" s="1"/>
  <c r="F14" i="33"/>
  <c r="S14" i="33"/>
  <c r="J14" i="33"/>
  <c r="AC14" i="33" s="1"/>
  <c r="H30" i="33"/>
  <c r="F30" i="33"/>
  <c r="J30" i="33"/>
  <c r="W30" i="33" s="1"/>
  <c r="H44" i="33"/>
  <c r="U44" i="33" s="1"/>
  <c r="J44" i="33"/>
  <c r="AC44" i="33" s="1"/>
  <c r="F44" i="33"/>
  <c r="S44" i="33" s="1"/>
  <c r="J46" i="33"/>
  <c r="AC46" i="33" s="1"/>
  <c r="F46" i="33"/>
  <c r="H46" i="33"/>
  <c r="AB46" i="33"/>
  <c r="H13" i="34"/>
  <c r="U13" i="34" s="1"/>
  <c r="J13" i="34"/>
  <c r="F13" i="34"/>
  <c r="AA13" i="34" s="1"/>
  <c r="J29" i="34"/>
  <c r="W29" i="34" s="1"/>
  <c r="F29" i="34"/>
  <c r="S29" i="34" s="1"/>
  <c r="H29" i="34"/>
  <c r="AB29" i="34" s="1"/>
  <c r="J31" i="34"/>
  <c r="AC31" i="34"/>
  <c r="H31" i="34"/>
  <c r="F31" i="34"/>
  <c r="S31" i="34" s="1"/>
  <c r="H45" i="34"/>
  <c r="U45" i="34" s="1"/>
  <c r="J45" i="34"/>
  <c r="W45" i="34" s="1"/>
  <c r="F45" i="34"/>
  <c r="S45" i="34" s="1"/>
  <c r="H47" i="34"/>
  <c r="U47" i="34" s="1"/>
  <c r="F47" i="34"/>
  <c r="S47" i="34" s="1"/>
  <c r="J47" i="34"/>
  <c r="W47" i="34" s="1"/>
  <c r="F13" i="35"/>
  <c r="J13" i="35"/>
  <c r="AC13" i="35" s="1"/>
  <c r="H13" i="35"/>
  <c r="U13" i="35" s="1"/>
  <c r="J25" i="35"/>
  <c r="W25" i="35" s="1"/>
  <c r="F25" i="35"/>
  <c r="S25" i="35" s="1"/>
  <c r="H25" i="35"/>
  <c r="U25" i="35" s="1"/>
  <c r="AB25" i="35"/>
  <c r="J35" i="35"/>
  <c r="F35" i="35"/>
  <c r="AA35" i="35" s="1"/>
  <c r="H35" i="35"/>
  <c r="J25" i="36"/>
  <c r="H25" i="36"/>
  <c r="U25" i="36" s="1"/>
  <c r="F13" i="37"/>
  <c r="J13" i="37"/>
  <c r="W13" i="37" s="1"/>
  <c r="F28" i="37"/>
  <c r="AA28" i="37" s="1"/>
  <c r="J28" i="37"/>
  <c r="AC28" i="37" s="1"/>
  <c r="H28" i="37"/>
  <c r="J38" i="37"/>
  <c r="AC38" i="37" s="1"/>
  <c r="F43" i="39"/>
  <c r="AA43" i="39" s="1"/>
  <c r="H43" i="39"/>
  <c r="AB43" i="39" s="1"/>
  <c r="J14" i="39"/>
  <c r="AC14" i="39" s="1"/>
  <c r="H14" i="39"/>
  <c r="AB14" i="39"/>
  <c r="F12" i="40"/>
  <c r="S12" i="40" s="1"/>
  <c r="H12" i="40"/>
  <c r="AB12" i="40" s="1"/>
  <c r="H30" i="40"/>
  <c r="AB30" i="40" s="1"/>
  <c r="F33" i="40"/>
  <c r="AA33" i="40" s="1"/>
  <c r="H33" i="40"/>
  <c r="U33" i="40" s="1"/>
  <c r="J35" i="40"/>
  <c r="AC35" i="40"/>
  <c r="J37" i="40"/>
  <c r="AC37" i="40" s="1"/>
  <c r="H13" i="40"/>
  <c r="U13" i="40" s="1"/>
  <c r="J13" i="40"/>
  <c r="W13" i="40" s="1"/>
  <c r="F13" i="40"/>
  <c r="F27" i="37"/>
  <c r="S27" i="37" s="1"/>
  <c r="F13" i="39"/>
  <c r="J13" i="39"/>
  <c r="W13" i="39" s="1"/>
  <c r="H13" i="39"/>
  <c r="U13" i="39" s="1"/>
  <c r="H14" i="40"/>
  <c r="J14" i="40"/>
  <c r="W14" i="40" s="1"/>
  <c r="F14" i="40"/>
  <c r="AA14" i="40"/>
  <c r="U46" i="33"/>
  <c r="AA14" i="33"/>
  <c r="J36" i="37"/>
  <c r="AC36" i="37" s="1"/>
  <c r="J10" i="36"/>
  <c r="AC10" i="36" s="1"/>
  <c r="W31" i="34"/>
  <c r="AC28" i="21"/>
  <c r="F17" i="21"/>
  <c r="AA17" i="21" s="1"/>
  <c r="H17" i="21"/>
  <c r="AB17" i="21" s="1"/>
  <c r="F15" i="21"/>
  <c r="S15" i="21" s="1"/>
  <c r="J41" i="39"/>
  <c r="W41" i="39" s="1"/>
  <c r="U36" i="39"/>
  <c r="S35" i="39"/>
  <c r="G536" i="3"/>
  <c r="G535" i="3"/>
  <c r="G528" i="3"/>
  <c r="G527" i="3"/>
  <c r="G514" i="3"/>
  <c r="G504" i="3"/>
  <c r="G500" i="3"/>
  <c r="G584" i="3"/>
  <c r="G576" i="3"/>
  <c r="G564" i="3"/>
  <c r="G560" i="3"/>
  <c r="BL584" i="3"/>
  <c r="BL568" i="3"/>
  <c r="BL564" i="3"/>
  <c r="BL560" i="3"/>
  <c r="BL546" i="3"/>
  <c r="BL502" i="3"/>
  <c r="BL582" i="3"/>
  <c r="BL578" i="3"/>
  <c r="BL570" i="3"/>
  <c r="BL562" i="3"/>
  <c r="BL556" i="3"/>
  <c r="BL532" i="3"/>
  <c r="G529" i="3"/>
  <c r="BL500" i="3"/>
  <c r="G493" i="3"/>
  <c r="BA584" i="3"/>
  <c r="BA582" i="3"/>
  <c r="AZ582" i="3" s="1"/>
  <c r="BA578" i="3"/>
  <c r="BA576" i="3"/>
  <c r="BA568" i="3"/>
  <c r="BA566" i="3"/>
  <c r="BA564" i="3"/>
  <c r="BA562" i="3"/>
  <c r="BA560" i="3"/>
  <c r="AZ560" i="3" s="1"/>
  <c r="BA558" i="3"/>
  <c r="BA556" i="3"/>
  <c r="AZ556" i="3" s="1"/>
  <c r="BA544" i="3"/>
  <c r="BA528" i="3"/>
  <c r="BA512" i="3"/>
  <c r="BA502" i="3"/>
  <c r="BA583" i="3"/>
  <c r="BA577" i="3"/>
  <c r="BA575" i="3"/>
  <c r="BA569" i="3"/>
  <c r="BA567" i="3"/>
  <c r="BA565" i="3"/>
  <c r="AZ565" i="3" s="1"/>
  <c r="BA563" i="3"/>
  <c r="BA561" i="3"/>
  <c r="BA559" i="3"/>
  <c r="AZ559" i="3" s="1"/>
  <c r="BA553" i="3"/>
  <c r="BA539" i="3"/>
  <c r="BA523" i="3"/>
  <c r="BA503" i="3"/>
  <c r="G583" i="3"/>
  <c r="G581" i="3"/>
  <c r="G577" i="3"/>
  <c r="G575" i="3"/>
  <c r="G573" i="3"/>
  <c r="G569" i="3"/>
  <c r="G567" i="3"/>
  <c r="G565" i="3"/>
  <c r="G563" i="3"/>
  <c r="G561" i="3"/>
  <c r="BL558" i="3"/>
  <c r="BA557" i="3"/>
  <c r="AC557" i="3"/>
  <c r="G557" i="3" s="1"/>
  <c r="BQ557" i="3"/>
  <c r="BL557" i="3" s="1"/>
  <c r="BQ583" i="3"/>
  <c r="BL583" i="3" s="1"/>
  <c r="BQ581" i="3"/>
  <c r="BQ579" i="3"/>
  <c r="BL579" i="3"/>
  <c r="BQ577" i="3"/>
  <c r="BL577" i="3" s="1"/>
  <c r="BQ575" i="3"/>
  <c r="BQ573" i="3"/>
  <c r="BL573" i="3" s="1"/>
  <c r="BQ571" i="3"/>
  <c r="BQ569" i="3"/>
  <c r="BQ567" i="3"/>
  <c r="BL567" i="3" s="1"/>
  <c r="BQ565" i="3"/>
  <c r="BL565" i="3" s="1"/>
  <c r="BQ563" i="3"/>
  <c r="BL563" i="3" s="1"/>
  <c r="BQ561" i="3"/>
  <c r="BL561" i="3" s="1"/>
  <c r="BQ559" i="3"/>
  <c r="BL559" i="3" s="1"/>
  <c r="G559" i="3"/>
  <c r="G553" i="3"/>
  <c r="G545" i="3"/>
  <c r="G543" i="3"/>
  <c r="G537" i="3"/>
  <c r="BQ555" i="3"/>
  <c r="BL555" i="3" s="1"/>
  <c r="BQ553" i="3"/>
  <c r="BQ551" i="3"/>
  <c r="BQ549" i="3"/>
  <c r="BQ547" i="3"/>
  <c r="BQ545" i="3"/>
  <c r="BQ543" i="3"/>
  <c r="BQ541" i="3"/>
  <c r="BQ539" i="3"/>
  <c r="BQ537" i="3"/>
  <c r="BL537" i="3"/>
  <c r="BQ535" i="3"/>
  <c r="BQ533" i="3"/>
  <c r="BQ531" i="3"/>
  <c r="BQ529" i="3"/>
  <c r="BQ527" i="3"/>
  <c r="BQ525" i="3"/>
  <c r="BQ523" i="3"/>
  <c r="BA521" i="3"/>
  <c r="AC521" i="3"/>
  <c r="G521" i="3" s="1"/>
  <c r="BQ521" i="3"/>
  <c r="BL520" i="3"/>
  <c r="G515" i="3"/>
  <c r="G513" i="3"/>
  <c r="BQ519" i="3"/>
  <c r="BL519" i="3" s="1"/>
  <c r="BQ517" i="3"/>
  <c r="BQ515" i="3"/>
  <c r="BQ513" i="3"/>
  <c r="BL513" i="3"/>
  <c r="BQ511" i="3"/>
  <c r="AC509" i="3"/>
  <c r="BQ509" i="3"/>
  <c r="G507" i="3"/>
  <c r="G501" i="3"/>
  <c r="G499" i="3"/>
  <c r="BQ507" i="3"/>
  <c r="BQ505" i="3"/>
  <c r="BQ503" i="3"/>
  <c r="BQ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E123" i="33"/>
  <c r="F42" i="33"/>
  <c r="AA42" i="33" s="1"/>
  <c r="H28" i="34"/>
  <c r="AB28" i="34" s="1"/>
  <c r="F14" i="36"/>
  <c r="AA14" i="36" s="1"/>
  <c r="F22" i="36"/>
  <c r="F26" i="36"/>
  <c r="S26" i="36" s="1"/>
  <c r="H27" i="34"/>
  <c r="AB27" i="34" s="1"/>
  <c r="H35" i="34"/>
  <c r="U35" i="34" s="1"/>
  <c r="F41" i="34"/>
  <c r="H41" i="34"/>
  <c r="U41" i="34" s="1"/>
  <c r="J41" i="34"/>
  <c r="AC41" i="34" s="1"/>
  <c r="F10" i="35"/>
  <c r="S10" i="35" s="1"/>
  <c r="H23" i="37"/>
  <c r="J32" i="37"/>
  <c r="AC32" i="37" s="1"/>
  <c r="F36" i="37"/>
  <c r="AA36" i="37" s="1"/>
  <c r="F37" i="37"/>
  <c r="AA37" i="37"/>
  <c r="F31" i="40"/>
  <c r="H31" i="40"/>
  <c r="U31" i="40" s="1"/>
  <c r="F32" i="40"/>
  <c r="S32" i="40" s="1"/>
  <c r="H32" i="40"/>
  <c r="AB32" i="40"/>
  <c r="J36" i="40"/>
  <c r="H19" i="37"/>
  <c r="AB19" i="37" s="1"/>
  <c r="F123" i="33"/>
  <c r="G123" i="33" s="1"/>
  <c r="H123" i="33" s="1"/>
  <c r="I123" i="33" s="1"/>
  <c r="J123" i="33" s="1"/>
  <c r="K123" i="33" s="1"/>
  <c r="L123" i="33" s="1"/>
  <c r="M123" i="33" s="1"/>
  <c r="H42" i="33"/>
  <c r="J43" i="33"/>
  <c r="AC43" i="33"/>
  <c r="S28" i="31"/>
  <c r="S27" i="31"/>
  <c r="S26" i="31"/>
  <c r="U26" i="37"/>
  <c r="AA13" i="33"/>
  <c r="W44" i="33"/>
  <c r="U11" i="33"/>
  <c r="U19" i="21"/>
  <c r="AB38" i="21"/>
  <c r="F43" i="33"/>
  <c r="AA43" i="33" s="1"/>
  <c r="H107" i="37"/>
  <c r="I107" i="37" s="1"/>
  <c r="J107" i="37" s="1"/>
  <c r="K107" i="37" s="1"/>
  <c r="L107" i="37" s="1"/>
  <c r="M107" i="37" s="1"/>
  <c r="H37" i="21"/>
  <c r="U37" i="21" s="1"/>
  <c r="S42" i="21"/>
  <c r="H19" i="34"/>
  <c r="AB19" i="34" s="1"/>
  <c r="F36" i="35"/>
  <c r="J12" i="37"/>
  <c r="H12" i="37"/>
  <c r="AB12" i="37" s="1"/>
  <c r="F12" i="37"/>
  <c r="S12" i="37" s="1"/>
  <c r="E71" i="37"/>
  <c r="F71" i="37" s="1"/>
  <c r="G71" i="37" s="1"/>
  <c r="F15" i="37"/>
  <c r="S15" i="37" s="1"/>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H37" i="39"/>
  <c r="AB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22" i="6" s="1"/>
  <c r="E22" i="6" s="1"/>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G538" i="3"/>
  <c r="G520" i="3"/>
  <c r="BG5" i="3"/>
  <c r="BA17" i="3"/>
  <c r="AZ392" i="3"/>
  <c r="G509" i="3"/>
  <c r="U36" i="40"/>
  <c r="F83" i="43"/>
  <c r="H85" i="43" s="1"/>
  <c r="F50" i="43"/>
  <c r="H54" i="43" s="1"/>
  <c r="F72" i="43"/>
  <c r="H75" i="43" s="1"/>
  <c r="U17" i="39"/>
  <c r="S14" i="35"/>
  <c r="AC35" i="21"/>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W29" i="35"/>
  <c r="H35" i="37"/>
  <c r="AC14" i="35"/>
  <c r="H20" i="35"/>
  <c r="U20" i="35"/>
  <c r="F20" i="35"/>
  <c r="H32" i="37"/>
  <c r="AB32" i="37" s="1"/>
  <c r="F96" i="37"/>
  <c r="H27" i="40"/>
  <c r="AB27" i="40" s="1"/>
  <c r="J27" i="40"/>
  <c r="AC27" i="40"/>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F39" i="39"/>
  <c r="S39" i="39" s="1"/>
  <c r="J39" i="39"/>
  <c r="AC39" i="39" s="1"/>
  <c r="E96" i="39"/>
  <c r="F96" i="39" s="1"/>
  <c r="G96" i="39" s="1"/>
  <c r="C40" i="11"/>
  <c r="AZ235" i="3"/>
  <c r="AZ256" i="3"/>
  <c r="AZ271" i="3"/>
  <c r="F23" i="39"/>
  <c r="H27" i="36"/>
  <c r="U27" i="36" s="1"/>
  <c r="F27" i="36"/>
  <c r="AA27" i="36" s="1"/>
  <c r="H33" i="34"/>
  <c r="F32" i="37"/>
  <c r="S32" i="37" s="1"/>
  <c r="G96" i="37"/>
  <c r="H96" i="37" s="1"/>
  <c r="I96" i="37" s="1"/>
  <c r="J96" i="37" s="1"/>
  <c r="K96" i="37" s="1"/>
  <c r="L96" i="37" s="1"/>
  <c r="M96" i="37" s="1"/>
  <c r="F20" i="36"/>
  <c r="AA20" i="36" s="1"/>
  <c r="J33" i="34"/>
  <c r="H23" i="39"/>
  <c r="U23" i="39" s="1"/>
  <c r="AC27" i="34"/>
  <c r="W12" i="39"/>
  <c r="AC39" i="40"/>
  <c r="W39" i="40"/>
  <c r="W12" i="33"/>
  <c r="BL14" i="3"/>
  <c r="AA47" i="34"/>
  <c r="W28" i="37"/>
  <c r="S19" i="39"/>
  <c r="F12" i="33"/>
  <c r="S12" i="33" s="1"/>
  <c r="H12" i="39"/>
  <c r="U12" i="39" s="1"/>
  <c r="F39" i="40"/>
  <c r="AA39" i="40" s="1"/>
  <c r="BA14" i="3"/>
  <c r="AZ286" i="3"/>
  <c r="B12" i="1"/>
  <c r="E12" i="1" s="1"/>
  <c r="B10" i="1"/>
  <c r="E10" i="1" s="1"/>
  <c r="K12" i="1"/>
  <c r="M12" i="1" s="1"/>
  <c r="S13" i="1"/>
  <c r="AR13" i="1" s="1"/>
  <c r="R13" i="1"/>
  <c r="J51" i="67"/>
  <c r="C42" i="1"/>
  <c r="C24" i="12" s="1"/>
  <c r="AC34" i="33"/>
  <c r="B41" i="1"/>
  <c r="AB37" i="40"/>
  <c r="S35" i="40"/>
  <c r="U35" i="40"/>
  <c r="W38" i="40"/>
  <c r="AA32" i="40"/>
  <c r="S23" i="40"/>
  <c r="AC17" i="40"/>
  <c r="AC15" i="40"/>
  <c r="AA19" i="40"/>
  <c r="U21" i="40"/>
  <c r="U37" i="39"/>
  <c r="F32" i="39"/>
  <c r="AA32" i="39" s="1"/>
  <c r="F106" i="39"/>
  <c r="G106" i="39" s="1"/>
  <c r="H106" i="39" s="1"/>
  <c r="I106" i="39" s="1"/>
  <c r="J106" i="39" s="1"/>
  <c r="K106" i="39" s="1"/>
  <c r="L106" i="39" s="1"/>
  <c r="M106" i="39" s="1"/>
  <c r="U25" i="39"/>
  <c r="AB27" i="39"/>
  <c r="J21" i="39"/>
  <c r="W21" i="39" s="1"/>
  <c r="F21" i="39"/>
  <c r="G94" i="39"/>
  <c r="H21" i="39"/>
  <c r="S17" i="39"/>
  <c r="S15" i="39"/>
  <c r="U14" i="39"/>
  <c r="AC13" i="39"/>
  <c r="U26" i="36"/>
  <c r="AA26" i="36"/>
  <c r="AC26" i="36"/>
  <c r="W14" i="36"/>
  <c r="AB14" i="36"/>
  <c r="U22" i="36"/>
  <c r="S16" i="36"/>
  <c r="U23" i="36"/>
  <c r="AB20" i="36"/>
  <c r="U16" i="36"/>
  <c r="S14" i="36"/>
  <c r="AA25" i="35"/>
  <c r="AB13" i="35"/>
  <c r="U29" i="35"/>
  <c r="U28" i="35"/>
  <c r="U36" i="35"/>
  <c r="AA33" i="35"/>
  <c r="AC30" i="35"/>
  <c r="S28" i="35"/>
  <c r="AB16" i="35"/>
  <c r="U22" i="35"/>
  <c r="AC20" i="35"/>
  <c r="S22" i="35"/>
  <c r="U14" i="35"/>
  <c r="W13" i="35"/>
  <c r="AB40" i="37"/>
  <c r="AC29" i="37"/>
  <c r="U29" i="37"/>
  <c r="AB31" i="37"/>
  <c r="W30" i="37"/>
  <c r="W38" i="37"/>
  <c r="AC35" i="37"/>
  <c r="W39" i="37"/>
  <c r="S30" i="37"/>
  <c r="S37" i="37"/>
  <c r="AC15" i="37"/>
  <c r="J17" i="37"/>
  <c r="W17" i="37" s="1"/>
  <c r="G73" i="37"/>
  <c r="F17" i="37"/>
  <c r="F19" i="37"/>
  <c r="F23" i="37"/>
  <c r="S23" i="37" s="1"/>
  <c r="AC13" i="37"/>
  <c r="H10" i="37"/>
  <c r="AB10" i="37" s="1"/>
  <c r="F11" i="37"/>
  <c r="S11" i="37" s="1"/>
  <c r="AC42" i="34"/>
  <c r="AB41" i="34"/>
  <c r="AA29" i="34"/>
  <c r="H10" i="34"/>
  <c r="AB10" i="34" s="1"/>
  <c r="F11" i="34"/>
  <c r="S11" i="34" s="1"/>
  <c r="W42" i="33"/>
  <c r="S32" i="33"/>
  <c r="W38" i="33"/>
  <c r="H41" i="33"/>
  <c r="F121" i="33"/>
  <c r="G121" i="33" s="1"/>
  <c r="H121" i="33" s="1"/>
  <c r="I121" i="33" s="1"/>
  <c r="J121" i="33" s="1"/>
  <c r="K121" i="33" s="1"/>
  <c r="L121" i="33" s="1"/>
  <c r="M121" i="33" s="1"/>
  <c r="S42" i="33"/>
  <c r="F36" i="33"/>
  <c r="G111" i="33"/>
  <c r="J35" i="33"/>
  <c r="W35" i="33" s="1"/>
  <c r="S37" i="33"/>
  <c r="AA37" i="33"/>
  <c r="F101" i="33"/>
  <c r="G101" i="33"/>
  <c r="H101" i="33" s="1"/>
  <c r="I101" i="33" s="1"/>
  <c r="J101" i="33" s="1"/>
  <c r="K101" i="33" s="1"/>
  <c r="L101" i="33" s="1"/>
  <c r="M101" i="33" s="1"/>
  <c r="J32" i="33"/>
  <c r="W43" i="33"/>
  <c r="F91" i="33"/>
  <c r="G91" i="33" s="1"/>
  <c r="H91" i="33" s="1"/>
  <c r="I91" i="33" s="1"/>
  <c r="J91" i="33" s="1"/>
  <c r="K91" i="33" s="1"/>
  <c r="L91" i="33" s="1"/>
  <c r="M91" i="33" s="1"/>
  <c r="F87" i="33"/>
  <c r="H25" i="33"/>
  <c r="AB25" i="33" s="1"/>
  <c r="F25" i="33"/>
  <c r="S25" i="33" s="1"/>
  <c r="J23" i="33"/>
  <c r="AC23" i="33" s="1"/>
  <c r="F85" i="33"/>
  <c r="G85" i="33" s="1"/>
  <c r="H23" i="33"/>
  <c r="U23" i="33" s="1"/>
  <c r="F81" i="33"/>
  <c r="G81" i="33" s="1"/>
  <c r="F19" i="33"/>
  <c r="S19" i="33" s="1"/>
  <c r="J17" i="33"/>
  <c r="F79" i="33"/>
  <c r="G79" i="33" s="1"/>
  <c r="U9" i="33"/>
  <c r="J10" i="33"/>
  <c r="W10" i="33" s="1"/>
  <c r="H10" i="33"/>
  <c r="U10" i="33" s="1"/>
  <c r="AC11" i="33"/>
  <c r="AB14" i="33"/>
  <c r="W43" i="21"/>
  <c r="W36" i="21"/>
  <c r="W41" i="21"/>
  <c r="AB39" i="21"/>
  <c r="AA38" i="21"/>
  <c r="AA36" i="21"/>
  <c r="AC40" i="21"/>
  <c r="J15" i="21"/>
  <c r="W15" i="21"/>
  <c r="F77" i="21"/>
  <c r="G77" i="21"/>
  <c r="F23" i="21"/>
  <c r="S23" i="21"/>
  <c r="E85" i="21"/>
  <c r="AA14" i="21"/>
  <c r="BL17" i="3"/>
  <c r="BL13"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U32" i="40"/>
  <c r="S37" i="40"/>
  <c r="W28" i="40"/>
  <c r="W34" i="40"/>
  <c r="W19" i="40"/>
  <c r="W27" i="40"/>
  <c r="S36" i="40"/>
  <c r="W37" i="40"/>
  <c r="AC14" i="40"/>
  <c r="S33" i="40"/>
  <c r="AA15" i="40"/>
  <c r="U11" i="40"/>
  <c r="U15" i="40"/>
  <c r="U8" i="40"/>
  <c r="S8" i="40"/>
  <c r="AA39" i="39"/>
  <c r="AC41" i="39"/>
  <c r="U42" i="39"/>
  <c r="W25" i="39"/>
  <c r="AA13" i="39"/>
  <c r="S13" i="39"/>
  <c r="S14" i="39"/>
  <c r="AA14" i="39"/>
  <c r="U43" i="39"/>
  <c r="AB11" i="39"/>
  <c r="U11" i="39"/>
  <c r="AA27" i="39"/>
  <c r="S27" i="39"/>
  <c r="AC17" i="39"/>
  <c r="AB39" i="39"/>
  <c r="U38" i="39"/>
  <c r="S8" i="39"/>
  <c r="S20" i="36"/>
  <c r="W29" i="36"/>
  <c r="AB28" i="36"/>
  <c r="AA13" i="36"/>
  <c r="W9" i="36"/>
  <c r="W22" i="36"/>
  <c r="W23" i="36"/>
  <c r="AB20" i="35"/>
  <c r="S35" i="35"/>
  <c r="AA16" i="35"/>
  <c r="AA35" i="37"/>
  <c r="S28" i="37"/>
  <c r="W32" i="37"/>
  <c r="U36" i="37"/>
  <c r="AB37" i="37"/>
  <c r="AC34" i="37"/>
  <c r="U19" i="37"/>
  <c r="AA29" i="37"/>
  <c r="U8" i="37"/>
  <c r="AA31" i="34"/>
  <c r="AC29" i="34"/>
  <c r="W46" i="34"/>
  <c r="AC46" i="34"/>
  <c r="U30" i="34"/>
  <c r="AB30" i="34"/>
  <c r="AB28" i="33"/>
  <c r="AC37" i="33"/>
  <c r="U39" i="33"/>
  <c r="U38" i="33"/>
  <c r="S33" i="33"/>
  <c r="AB44" i="33"/>
  <c r="S30" i="33"/>
  <c r="AA30" i="33"/>
  <c r="W14" i="33"/>
  <c r="AA31" i="33"/>
  <c r="W13" i="33"/>
  <c r="S11" i="33"/>
  <c r="AC28" i="33"/>
  <c r="S28" i="33"/>
  <c r="W8" i="33"/>
  <c r="AB42" i="21"/>
  <c r="U28" i="21"/>
  <c r="I101" i="21"/>
  <c r="J101" i="21" s="1"/>
  <c r="K101" i="21" s="1"/>
  <c r="L101" i="21" s="1"/>
  <c r="M101" i="21" s="1"/>
  <c r="F33" i="21"/>
  <c r="AA33" i="21" s="1"/>
  <c r="J33" i="21"/>
  <c r="AC33" i="21" s="1"/>
  <c r="H33" i="21"/>
  <c r="AB33" i="21" s="1"/>
  <c r="F37" i="21"/>
  <c r="AA37" i="21" s="1"/>
  <c r="AA26" i="21"/>
  <c r="AB14" i="21"/>
  <c r="U40" i="21"/>
  <c r="AB31" i="21"/>
  <c r="U31" i="21"/>
  <c r="AC15" i="21"/>
  <c r="U13" i="21"/>
  <c r="S35" i="21"/>
  <c r="J37" i="21"/>
  <c r="W37" i="21" s="1"/>
  <c r="H15" i="21"/>
  <c r="U15" i="21" s="1"/>
  <c r="J17" i="21"/>
  <c r="W17" i="21" s="1"/>
  <c r="AC19" i="21"/>
  <c r="AC14" i="21"/>
  <c r="H45" i="21"/>
  <c r="U45" i="21" s="1"/>
  <c r="F29" i="21"/>
  <c r="AA29" i="21" s="1"/>
  <c r="AC38" i="21"/>
  <c r="H32" i="21"/>
  <c r="H9" i="21"/>
  <c r="J9" i="21"/>
  <c r="J32" i="21"/>
  <c r="W32" i="21" s="1"/>
  <c r="F32" i="21"/>
  <c r="AA32" i="21" s="1"/>
  <c r="AA31" i="21"/>
  <c r="S19" i="21"/>
  <c r="S9" i="21"/>
  <c r="AA9" i="21"/>
  <c r="K141" i="21"/>
  <c r="K144" i="21"/>
  <c r="K143" i="21"/>
  <c r="AB25" i="21"/>
  <c r="AA30" i="21"/>
  <c r="W42" i="21"/>
  <c r="F10" i="21"/>
  <c r="AA10" i="21" s="1"/>
  <c r="K145" i="21"/>
  <c r="W31" i="21"/>
  <c r="AA15" i="21"/>
  <c r="AC26" i="21"/>
  <c r="S28" i="21"/>
  <c r="AC34" i="21"/>
  <c r="AB36" i="21"/>
  <c r="W30" i="40"/>
  <c r="C19" i="39"/>
  <c r="C15" i="40"/>
  <c r="C17" i="40"/>
  <c r="C23" i="40"/>
  <c r="C21" i="40"/>
  <c r="U30" i="40"/>
  <c r="B67" i="43"/>
  <c r="B54" i="43"/>
  <c r="B58" i="43"/>
  <c r="B65" i="43"/>
  <c r="B69" i="43"/>
  <c r="D23" i="15"/>
  <c r="D22" i="15"/>
  <c r="E4" i="4"/>
  <c r="B5" i="62" s="1"/>
  <c r="B73" i="72" s="1"/>
  <c r="C4" i="4"/>
  <c r="S39" i="40"/>
  <c r="AA12" i="33"/>
  <c r="J32" i="39"/>
  <c r="AC32" i="39" s="1"/>
  <c r="H32" i="39"/>
  <c r="AB32" i="39" s="1"/>
  <c r="S32" i="39"/>
  <c r="AA21" i="39"/>
  <c r="S21" i="39"/>
  <c r="J19" i="37"/>
  <c r="W19" i="37" s="1"/>
  <c r="G75" i="37"/>
  <c r="AA23" i="37"/>
  <c r="J23" i="37"/>
  <c r="J10" i="37"/>
  <c r="W10" i="37" s="1"/>
  <c r="H11" i="37"/>
  <c r="AB11" i="37" s="1"/>
  <c r="H11" i="34"/>
  <c r="U11" i="34" s="1"/>
  <c r="J10" i="34"/>
  <c r="AC10" i="34" s="1"/>
  <c r="AB41" i="33"/>
  <c r="U41" i="33"/>
  <c r="H111" i="33"/>
  <c r="I111" i="33" s="1"/>
  <c r="J111" i="33" s="1"/>
  <c r="K111" i="33" s="1"/>
  <c r="L111" i="33" s="1"/>
  <c r="M111" i="33" s="1"/>
  <c r="J36" i="33"/>
  <c r="W36" i="33" s="1"/>
  <c r="H36" i="33"/>
  <c r="U36" i="33" s="1"/>
  <c r="AC32" i="33"/>
  <c r="W32" i="33"/>
  <c r="J27" i="33"/>
  <c r="U25" i="33"/>
  <c r="G87" i="33"/>
  <c r="H87" i="33" s="1"/>
  <c r="I87" i="33" s="1"/>
  <c r="J87" i="33" s="1"/>
  <c r="K87" i="33" s="1"/>
  <c r="L87" i="33" s="1"/>
  <c r="M87" i="33" s="1"/>
  <c r="J25" i="33"/>
  <c r="AC25" i="33" s="1"/>
  <c r="F23" i="33"/>
  <c r="H19" i="33"/>
  <c r="AB19" i="33" s="1"/>
  <c r="H17" i="33"/>
  <c r="U17" i="33" s="1"/>
  <c r="F17" i="33"/>
  <c r="S17" i="33" s="1"/>
  <c r="AA23" i="21"/>
  <c r="J23" i="21"/>
  <c r="AC23" i="21" s="1"/>
  <c r="F85" i="21"/>
  <c r="G85" i="21" s="1"/>
  <c r="H23" i="21"/>
  <c r="AB23" i="21" s="1"/>
  <c r="AP7" i="1"/>
  <c r="AB45" i="21"/>
  <c r="S32" i="21"/>
  <c r="AB32" i="21"/>
  <c r="U32" i="21"/>
  <c r="U32" i="39"/>
  <c r="J11" i="37"/>
  <c r="AC11" i="37" s="1"/>
  <c r="J11" i="34"/>
  <c r="W11" i="34" s="1"/>
  <c r="W25"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8" i="15"/>
  <c r="F4" i="73"/>
  <c r="F3" i="73"/>
  <c r="AO13" i="1"/>
  <c r="E2" i="68"/>
  <c r="E9" i="76"/>
  <c r="F6" i="73"/>
  <c r="M9" i="15"/>
  <c r="E10" i="76"/>
  <c r="E13" i="76"/>
  <c r="M23" i="15"/>
  <c r="E8" i="76"/>
  <c r="E11" i="76"/>
  <c r="M6" i="15"/>
  <c r="B13" i="76"/>
  <c r="B12" i="76"/>
  <c r="F6" i="15"/>
  <c r="B9" i="76"/>
  <c r="E7" i="76"/>
  <c r="B10" i="76"/>
  <c r="E2" i="69"/>
  <c r="E12" i="76"/>
  <c r="B8" i="76"/>
  <c r="F7" i="73"/>
  <c r="D6" i="73"/>
  <c r="B7" i="76"/>
  <c r="M26" i="15"/>
  <c r="B11" i="76"/>
  <c r="F5" i="73"/>
  <c r="F13" i="15"/>
  <c r="F20" i="31"/>
  <c r="AZ554" i="3" l="1"/>
  <c r="AZ541" i="3"/>
  <c r="AZ494" i="3"/>
  <c r="AZ159" i="3"/>
  <c r="W23" i="21"/>
  <c r="AC33" i="33"/>
  <c r="W33" i="33"/>
  <c r="F38" i="34"/>
  <c r="E114" i="34"/>
  <c r="F114" i="34" s="1"/>
  <c r="G114" i="34" s="1"/>
  <c r="H114" i="34" s="1"/>
  <c r="I114" i="34" s="1"/>
  <c r="J114" i="34" s="1"/>
  <c r="K114" i="34" s="1"/>
  <c r="L114" i="34" s="1"/>
  <c r="M114" i="34" s="1"/>
  <c r="BL494" i="3"/>
  <c r="BA493" i="3"/>
  <c r="AA17" i="33"/>
  <c r="AB36" i="33"/>
  <c r="W32" i="39"/>
  <c r="AB15" i="21"/>
  <c r="AC17" i="21"/>
  <c r="AB46" i="21"/>
  <c r="AC14" i="34"/>
  <c r="S40" i="37"/>
  <c r="W36" i="37"/>
  <c r="AC20" i="36"/>
  <c r="U41" i="39"/>
  <c r="AB13" i="40"/>
  <c r="AB31" i="40"/>
  <c r="U15" i="37"/>
  <c r="S32" i="35"/>
  <c r="AB27" i="35"/>
  <c r="W24" i="35"/>
  <c r="U13" i="36"/>
  <c r="AB19" i="40"/>
  <c r="U29" i="36"/>
  <c r="W24" i="36"/>
  <c r="AZ357" i="3"/>
  <c r="AZ356" i="3"/>
  <c r="AZ347" i="3"/>
  <c r="AZ304" i="3"/>
  <c r="AZ195" i="3"/>
  <c r="AZ325" i="3"/>
  <c r="AA15" i="37"/>
  <c r="W16" i="35"/>
  <c r="H24" i="35"/>
  <c r="BL531" i="3"/>
  <c r="AZ531" i="3" s="1"/>
  <c r="BL551" i="3"/>
  <c r="W44" i="39"/>
  <c r="AB25" i="36"/>
  <c r="AC40" i="37"/>
  <c r="F11" i="36"/>
  <c r="AA11" i="36" s="1"/>
  <c r="J45" i="33"/>
  <c r="F44" i="21"/>
  <c r="H38" i="34"/>
  <c r="AB38" i="34" s="1"/>
  <c r="H39" i="37"/>
  <c r="U9" i="39"/>
  <c r="B90" i="84"/>
  <c r="B90" i="43"/>
  <c r="H24" i="36"/>
  <c r="F24" i="36"/>
  <c r="AA38" i="40"/>
  <c r="S38" i="40"/>
  <c r="J38" i="34"/>
  <c r="W38" i="34" s="1"/>
  <c r="AZ358" i="3"/>
  <c r="AZ563" i="3"/>
  <c r="AZ502" i="3"/>
  <c r="E77" i="33"/>
  <c r="F77" i="33" s="1"/>
  <c r="G77" i="33" s="1"/>
  <c r="F15" i="33"/>
  <c r="AA15" i="33" s="1"/>
  <c r="J15" i="33"/>
  <c r="AC15" i="33" s="1"/>
  <c r="J26" i="33"/>
  <c r="F26" i="33"/>
  <c r="BA506" i="3"/>
  <c r="AZ506" i="3" s="1"/>
  <c r="BL504" i="3"/>
  <c r="BA504" i="3"/>
  <c r="AZ504" i="3" s="1"/>
  <c r="BA500" i="3"/>
  <c r="AZ500" i="3" s="1"/>
  <c r="W34" i="39"/>
  <c r="BL493" i="3"/>
  <c r="BM5" i="3"/>
  <c r="AZ204" i="3"/>
  <c r="AZ123" i="3"/>
  <c r="AB33" i="40"/>
  <c r="F24" i="35"/>
  <c r="BL545" i="3"/>
  <c r="AZ557" i="3"/>
  <c r="H11" i="36"/>
  <c r="U11" i="36" s="1"/>
  <c r="H14" i="34"/>
  <c r="H45" i="33"/>
  <c r="H44" i="21"/>
  <c r="U44" i="21" s="1"/>
  <c r="H15" i="33"/>
  <c r="AB15" i="33" s="1"/>
  <c r="F39" i="37"/>
  <c r="S39" i="37" s="1"/>
  <c r="BA587" i="3"/>
  <c r="BA586" i="3"/>
  <c r="B83" i="43"/>
  <c r="B83" i="84"/>
  <c r="E78" i="34"/>
  <c r="F78" i="34" s="1"/>
  <c r="G78" i="34" s="1"/>
  <c r="J15" i="34"/>
  <c r="W15" i="34" s="1"/>
  <c r="E86" i="34"/>
  <c r="F86" i="34" s="1"/>
  <c r="G86" i="34" s="1"/>
  <c r="J23" i="34"/>
  <c r="AC23" i="34" s="1"/>
  <c r="AC31" i="35"/>
  <c r="B87" i="43"/>
  <c r="B87" i="84"/>
  <c r="H44" i="39"/>
  <c r="F44" i="39"/>
  <c r="BL510" i="3"/>
  <c r="BA510" i="3"/>
  <c r="W30" i="21"/>
  <c r="U37" i="33"/>
  <c r="AC30" i="33"/>
  <c r="S8" i="34"/>
  <c r="AA31" i="37"/>
  <c r="AC25" i="35"/>
  <c r="S23" i="36"/>
  <c r="D22" i="71"/>
  <c r="S37" i="21"/>
  <c r="AA25" i="33"/>
  <c r="AC35" i="33"/>
  <c r="AC17" i="37"/>
  <c r="U17" i="21"/>
  <c r="F13" i="21"/>
  <c r="AB13" i="39"/>
  <c r="AB17" i="40"/>
  <c r="AA43" i="21"/>
  <c r="U32" i="37"/>
  <c r="U35" i="39"/>
  <c r="S28" i="40"/>
  <c r="AB12" i="39"/>
  <c r="AA32" i="37"/>
  <c r="U12" i="40"/>
  <c r="U35" i="21"/>
  <c r="AZ379" i="3"/>
  <c r="AZ318" i="3"/>
  <c r="AZ355" i="3"/>
  <c r="AZ342" i="3"/>
  <c r="AZ378" i="3"/>
  <c r="J9" i="37"/>
  <c r="W9" i="37" s="1"/>
  <c r="AA39" i="33"/>
  <c r="BL535" i="3"/>
  <c r="BL553" i="3"/>
  <c r="AZ553" i="3" s="1"/>
  <c r="AZ583" i="3"/>
  <c r="AA44" i="33"/>
  <c r="AA27" i="37"/>
  <c r="W12" i="40"/>
  <c r="F14" i="34"/>
  <c r="J13" i="21"/>
  <c r="H26" i="33"/>
  <c r="F34" i="36"/>
  <c r="B84" i="43"/>
  <c r="B84" i="84"/>
  <c r="AC40" i="33"/>
  <c r="W40" i="33"/>
  <c r="H34" i="36"/>
  <c r="G579" i="3"/>
  <c r="G571" i="3"/>
  <c r="BD5" i="3"/>
  <c r="G15" i="3"/>
  <c r="F21" i="6" s="1"/>
  <c r="E21" i="6" s="1"/>
  <c r="D33" i="84" s="1"/>
  <c r="G13" i="3"/>
  <c r="F19" i="6" s="1"/>
  <c r="E19" i="6" s="1"/>
  <c r="BA16" i="3"/>
  <c r="BL15" i="3"/>
  <c r="F7" i="1"/>
  <c r="G7" i="1" s="1"/>
  <c r="G44" i="43"/>
  <c r="G44" i="84"/>
  <c r="C44" i="84" s="1"/>
  <c r="BA398" i="3"/>
  <c r="BA399" i="3"/>
  <c r="AZ399" i="3" s="1"/>
  <c r="BA402" i="3"/>
  <c r="AZ402" i="3" s="1"/>
  <c r="BA406" i="3"/>
  <c r="AZ406" i="3" s="1"/>
  <c r="BL419" i="3"/>
  <c r="BA421" i="3"/>
  <c r="BA423" i="3"/>
  <c r="AZ423" i="3" s="1"/>
  <c r="BA433" i="3"/>
  <c r="AZ433" i="3" s="1"/>
  <c r="BL440" i="3"/>
  <c r="AB42" i="34"/>
  <c r="G582" i="3"/>
  <c r="G580" i="3"/>
  <c r="G572" i="3"/>
  <c r="BF5" i="3"/>
  <c r="BA13" i="3"/>
  <c r="G400" i="3"/>
  <c r="BL401" i="3"/>
  <c r="G404" i="3"/>
  <c r="BL404" i="3"/>
  <c r="G408" i="3"/>
  <c r="BA412" i="3"/>
  <c r="AZ412" i="3" s="1"/>
  <c r="BA418" i="3"/>
  <c r="BA420" i="3"/>
  <c r="G424" i="3"/>
  <c r="G425" i="3"/>
  <c r="BA425" i="3"/>
  <c r="BA426" i="3"/>
  <c r="BA427" i="3"/>
  <c r="AZ427" i="3" s="1"/>
  <c r="BA431" i="3"/>
  <c r="BL437" i="3"/>
  <c r="AZ437" i="3" s="1"/>
  <c r="G568" i="3"/>
  <c r="G552" i="3"/>
  <c r="G544" i="3"/>
  <c r="G508" i="3"/>
  <c r="G14" i="3"/>
  <c r="G20" i="6" s="1"/>
  <c r="A15" i="62"/>
  <c r="B61" i="72" s="1"/>
  <c r="G398" i="3"/>
  <c r="BA400" i="3"/>
  <c r="G403" i="3"/>
  <c r="G407" i="3"/>
  <c r="BA410" i="3"/>
  <c r="G413" i="3"/>
  <c r="BA414" i="3"/>
  <c r="BA415" i="3"/>
  <c r="BA416" i="3"/>
  <c r="AZ416" i="3" s="1"/>
  <c r="BA419" i="3"/>
  <c r="AZ419" i="3" s="1"/>
  <c r="BA424" i="3"/>
  <c r="BA157" i="3"/>
  <c r="D59" i="71"/>
  <c r="C60" i="71"/>
  <c r="G440" i="3"/>
  <c r="BL443" i="3"/>
  <c r="BA444" i="3"/>
  <c r="AZ444" i="3" s="1"/>
  <c r="BA454" i="3"/>
  <c r="BA458" i="3"/>
  <c r="BA462" i="3"/>
  <c r="AZ462" i="3" s="1"/>
  <c r="BL465" i="3"/>
  <c r="BA466" i="3"/>
  <c r="BA470" i="3"/>
  <c r="BL476" i="3"/>
  <c r="BL477" i="3"/>
  <c r="BL478" i="3"/>
  <c r="BA480" i="3"/>
  <c r="BA487" i="3"/>
  <c r="BL488" i="3"/>
  <c r="BA491" i="3"/>
  <c r="BA358" i="3"/>
  <c r="BL381" i="3"/>
  <c r="AZ381" i="3" s="1"/>
  <c r="BA214" i="3"/>
  <c r="BL216" i="3"/>
  <c r="BL222" i="3"/>
  <c r="BA225" i="3"/>
  <c r="AZ225" i="3" s="1"/>
  <c r="BA227" i="3"/>
  <c r="AZ227" i="3" s="1"/>
  <c r="BL227" i="3"/>
  <c r="G255" i="3"/>
  <c r="BA255" i="3"/>
  <c r="AZ255" i="3" s="1"/>
  <c r="BL259" i="3"/>
  <c r="BL264" i="3"/>
  <c r="G270" i="3"/>
  <c r="BA270" i="3"/>
  <c r="BL272" i="3"/>
  <c r="BA274" i="3"/>
  <c r="AZ274" i="3" s="1"/>
  <c r="BL274" i="3"/>
  <c r="G302" i="3"/>
  <c r="BA116" i="3"/>
  <c r="AZ116" i="3" s="1"/>
  <c r="BA121" i="3"/>
  <c r="AZ121" i="3" s="1"/>
  <c r="BL121" i="3"/>
  <c r="BA125" i="3"/>
  <c r="BA145" i="3"/>
  <c r="BL146" i="3"/>
  <c r="BA156" i="3"/>
  <c r="AZ156" i="3" s="1"/>
  <c r="BL157" i="3"/>
  <c r="BL159" i="3"/>
  <c r="G178" i="3"/>
  <c r="BL405" i="3"/>
  <c r="BL407" i="3"/>
  <c r="AZ407" i="3" s="1"/>
  <c r="G415" i="3"/>
  <c r="G416" i="3"/>
  <c r="G426" i="3"/>
  <c r="G427" i="3"/>
  <c r="BL430" i="3"/>
  <c r="G432" i="3"/>
  <c r="BA435" i="3"/>
  <c r="BA443" i="3"/>
  <c r="AZ443" i="3" s="1"/>
  <c r="BL447" i="3"/>
  <c r="BA448" i="3"/>
  <c r="AZ448" i="3" s="1"/>
  <c r="BA452" i="3"/>
  <c r="BA457" i="3"/>
  <c r="BL458" i="3"/>
  <c r="G460" i="3"/>
  <c r="BA460" i="3"/>
  <c r="BA461" i="3"/>
  <c r="BL462" i="3"/>
  <c r="G464" i="3"/>
  <c r="BL464" i="3"/>
  <c r="BL469" i="3"/>
  <c r="AZ469" i="3" s="1"/>
  <c r="G471" i="3"/>
  <c r="BA485" i="3"/>
  <c r="BL487" i="3"/>
  <c r="G488" i="3"/>
  <c r="BA331" i="3"/>
  <c r="AZ331" i="3" s="1"/>
  <c r="BL350" i="3"/>
  <c r="BA353" i="3"/>
  <c r="BL353" i="3"/>
  <c r="BL359" i="3"/>
  <c r="AZ359" i="3" s="1"/>
  <c r="BL367" i="3"/>
  <c r="BL375" i="3"/>
  <c r="AZ375" i="3" s="1"/>
  <c r="BL386" i="3"/>
  <c r="G392" i="3"/>
  <c r="BL395" i="3"/>
  <c r="G396" i="3"/>
  <c r="BA397" i="3"/>
  <c r="AZ397" i="3" s="1"/>
  <c r="BL397" i="3"/>
  <c r="BL214" i="3"/>
  <c r="G216" i="3"/>
  <c r="G218" i="3"/>
  <c r="BL225" i="3"/>
  <c r="BL226" i="3"/>
  <c r="G227" i="3"/>
  <c r="G229" i="3"/>
  <c r="G234" i="3"/>
  <c r="G241" i="3"/>
  <c r="BA248" i="3"/>
  <c r="G253" i="3"/>
  <c r="BA258" i="3"/>
  <c r="BL262" i="3"/>
  <c r="G268" i="3"/>
  <c r="G276" i="3"/>
  <c r="BA281" i="3"/>
  <c r="G285" i="3"/>
  <c r="BA288" i="3"/>
  <c r="BL289" i="3"/>
  <c r="G290" i="3"/>
  <c r="G291" i="3"/>
  <c r="BA301" i="3"/>
  <c r="G123" i="3"/>
  <c r="G446" i="3"/>
  <c r="BL451" i="3"/>
  <c r="G453" i="3"/>
  <c r="BA456" i="3"/>
  <c r="BA459" i="3"/>
  <c r="BL466" i="3"/>
  <c r="G468" i="3"/>
  <c r="BA473" i="3"/>
  <c r="BA476" i="3"/>
  <c r="BL480" i="3"/>
  <c r="BA489" i="3"/>
  <c r="G492" i="3"/>
  <c r="BA349" i="3"/>
  <c r="AZ349" i="3" s="1"/>
  <c r="BA368" i="3"/>
  <c r="AZ368" i="3" s="1"/>
  <c r="BL368" i="3"/>
  <c r="BA385" i="3"/>
  <c r="AZ385" i="3" s="1"/>
  <c r="BL385" i="3"/>
  <c r="BL208" i="3"/>
  <c r="G209" i="3"/>
  <c r="BA210" i="3"/>
  <c r="AZ210" i="3" s="1"/>
  <c r="BL210" i="3"/>
  <c r="BA212" i="3"/>
  <c r="BL212" i="3"/>
  <c r="G214" i="3"/>
  <c r="BA217" i="3"/>
  <c r="G220" i="3"/>
  <c r="G221" i="3"/>
  <c r="BL224" i="3"/>
  <c r="G225" i="3"/>
  <c r="BA228" i="3"/>
  <c r="G231" i="3"/>
  <c r="G232" i="3"/>
  <c r="BL237" i="3"/>
  <c r="BL238" i="3"/>
  <c r="G239" i="3"/>
  <c r="G246" i="3"/>
  <c r="G250" i="3"/>
  <c r="BA254" i="3"/>
  <c r="AZ254" i="3" s="1"/>
  <c r="G256" i="3"/>
  <c r="BA257" i="3"/>
  <c r="G260" i="3"/>
  <c r="G261" i="3"/>
  <c r="G265" i="3"/>
  <c r="BA269" i="3"/>
  <c r="AZ269" i="3" s="1"/>
  <c r="G271" i="3"/>
  <c r="BA276" i="3"/>
  <c r="G279" i="3"/>
  <c r="BL280" i="3"/>
  <c r="G283" i="3"/>
  <c r="G289" i="3"/>
  <c r="G295" i="3"/>
  <c r="G299" i="3"/>
  <c r="BL123" i="3"/>
  <c r="G126" i="3"/>
  <c r="BA133" i="3"/>
  <c r="BL133" i="3"/>
  <c r="BL134" i="3"/>
  <c r="G136" i="3"/>
  <c r="BA137" i="3"/>
  <c r="G140" i="3"/>
  <c r="BL143" i="3"/>
  <c r="AZ143" i="3" s="1"/>
  <c r="BL154" i="3"/>
  <c r="BL161" i="3"/>
  <c r="G163" i="3"/>
  <c r="BL166" i="3"/>
  <c r="G167" i="3"/>
  <c r="G172" i="3"/>
  <c r="AZ201" i="3"/>
  <c r="C25" i="40"/>
  <c r="B88" i="84"/>
  <c r="C38" i="71"/>
  <c r="D38" i="71" s="1"/>
  <c r="C30" i="71"/>
  <c r="D30" i="71" s="1"/>
  <c r="AB32" i="71"/>
  <c r="AA34" i="71"/>
  <c r="C43" i="71"/>
  <c r="B71" i="71"/>
  <c r="B70" i="71" s="1"/>
  <c r="G127" i="3"/>
  <c r="G138" i="3"/>
  <c r="BL138" i="3"/>
  <c r="BA140" i="3"/>
  <c r="AZ140" i="3" s="1"/>
  <c r="BA142" i="3"/>
  <c r="G146" i="3"/>
  <c r="G159" i="3"/>
  <c r="BL163" i="3"/>
  <c r="AZ163" i="3" s="1"/>
  <c r="BL169" i="3"/>
  <c r="G170" i="3"/>
  <c r="BA177" i="3"/>
  <c r="BL179" i="3"/>
  <c r="AZ179" i="3" s="1"/>
  <c r="G180" i="3"/>
  <c r="BL183" i="3"/>
  <c r="AZ183" i="3" s="1"/>
  <c r="BA186" i="3"/>
  <c r="BA190" i="3"/>
  <c r="BL198" i="3"/>
  <c r="G199" i="3"/>
  <c r="BL201" i="3"/>
  <c r="BL203" i="3"/>
  <c r="AZ203" i="3" s="1"/>
  <c r="BA204" i="3"/>
  <c r="BA18" i="3"/>
  <c r="G21" i="3"/>
  <c r="BL21" i="3"/>
  <c r="G23" i="3"/>
  <c r="G26" i="3"/>
  <c r="G27" i="3"/>
  <c r="G31" i="3"/>
  <c r="BL35" i="3"/>
  <c r="G37" i="3"/>
  <c r="G41" i="3"/>
  <c r="BA43" i="3"/>
  <c r="BA47" i="3"/>
  <c r="BL57" i="3"/>
  <c r="G59" i="3"/>
  <c r="G62" i="3"/>
  <c r="G69" i="3"/>
  <c r="BA70" i="3"/>
  <c r="BL74" i="3"/>
  <c r="G75" i="3"/>
  <c r="BL75" i="3"/>
  <c r="BL79" i="3"/>
  <c r="BL81" i="3"/>
  <c r="BA82" i="3"/>
  <c r="AZ82" i="3" s="1"/>
  <c r="BL96" i="3"/>
  <c r="BA98" i="3"/>
  <c r="BL100" i="3"/>
  <c r="BL105" i="3"/>
  <c r="G107" i="3"/>
  <c r="BL107" i="3"/>
  <c r="BL110" i="3"/>
  <c r="BL111" i="3"/>
  <c r="J51" i="15"/>
  <c r="AC21" i="21"/>
  <c r="S18" i="36"/>
  <c r="D87" i="71"/>
  <c r="B28" i="71"/>
  <c r="B27" i="71" s="1"/>
  <c r="B26" i="71" s="1"/>
  <c r="F35" i="71"/>
  <c r="F36" i="71" s="1"/>
  <c r="V36" i="71" s="1"/>
  <c r="AA38" i="71"/>
  <c r="B51" i="71"/>
  <c r="B52" i="71" s="1"/>
  <c r="S52" i="71" s="1"/>
  <c r="S68" i="71"/>
  <c r="V68" i="71"/>
  <c r="F71" i="71"/>
  <c r="F70" i="71" s="1"/>
  <c r="BL173" i="3"/>
  <c r="BL177" i="3"/>
  <c r="G179" i="3"/>
  <c r="G183" i="3"/>
  <c r="BA189" i="3"/>
  <c r="G192" i="3"/>
  <c r="G206" i="3"/>
  <c r="BA207" i="3"/>
  <c r="G20" i="3"/>
  <c r="BL24" i="3"/>
  <c r="G29" i="3"/>
  <c r="BL29" i="3"/>
  <c r="BL34" i="3"/>
  <c r="BA37" i="3"/>
  <c r="G39" i="3"/>
  <c r="BL39" i="3"/>
  <c r="BL44" i="3"/>
  <c r="G45" i="3"/>
  <c r="G51" i="3"/>
  <c r="BA62" i="3"/>
  <c r="AZ62" i="3" s="1"/>
  <c r="G68" i="3"/>
  <c r="BL72" i="3"/>
  <c r="AZ72" i="3" s="1"/>
  <c r="G74" i="3"/>
  <c r="G79" i="3"/>
  <c r="G84" i="3"/>
  <c r="G89" i="3"/>
  <c r="BA92" i="3"/>
  <c r="BL93" i="3"/>
  <c r="BL99" i="3"/>
  <c r="BA102" i="3"/>
  <c r="G110" i="3"/>
  <c r="AC21" i="37"/>
  <c r="W18" i="36"/>
  <c r="B57" i="43"/>
  <c r="X25" i="71"/>
  <c r="BL186" i="3"/>
  <c r="BA188" i="3"/>
  <c r="AZ188" i="3" s="1"/>
  <c r="BL195" i="3"/>
  <c r="G196" i="3"/>
  <c r="BA197" i="3"/>
  <c r="BL205" i="3"/>
  <c r="BL23" i="3"/>
  <c r="G28" i="3"/>
  <c r="BL47" i="3"/>
  <c r="G49" i="3"/>
  <c r="G56" i="3"/>
  <c r="BL59" i="3"/>
  <c r="G66" i="3"/>
  <c r="BL70" i="3"/>
  <c r="BL71" i="3"/>
  <c r="G78" i="3"/>
  <c r="BL86" i="3"/>
  <c r="G87" i="3"/>
  <c r="BL91" i="3"/>
  <c r="G93" i="3"/>
  <c r="BA94" i="3"/>
  <c r="G99" i="3"/>
  <c r="BL108" i="3"/>
  <c r="D51" i="43"/>
  <c r="D56" i="43"/>
  <c r="D80" i="71"/>
  <c r="C75" i="71"/>
  <c r="Q68" i="71"/>
  <c r="X31" i="71"/>
  <c r="Y26" i="71"/>
  <c r="Z26" i="71" s="1"/>
  <c r="AB36" i="71"/>
  <c r="C40" i="68"/>
  <c r="M20" i="15"/>
  <c r="F34" i="81"/>
  <c r="F62" i="81" s="1"/>
  <c r="M20" i="83"/>
  <c r="F34" i="83"/>
  <c r="F62" i="83" s="1"/>
  <c r="F34" i="82"/>
  <c r="F62" i="82" s="1"/>
  <c r="M20" i="82"/>
  <c r="M20" i="81"/>
  <c r="F48" i="9"/>
  <c r="O52" i="9" s="1"/>
  <c r="F32" i="83"/>
  <c r="F60" i="83" s="1"/>
  <c r="M18" i="83"/>
  <c r="F32" i="82"/>
  <c r="F60" i="82" s="1"/>
  <c r="F28" i="81"/>
  <c r="C28" i="81" s="1"/>
  <c r="M18" i="82"/>
  <c r="F32" i="81"/>
  <c r="F60" i="81" s="1"/>
  <c r="M18" i="81"/>
  <c r="F28" i="83"/>
  <c r="C28" i="83" s="1"/>
  <c r="F28" i="82"/>
  <c r="C28" i="82" s="1"/>
  <c r="G23" i="84"/>
  <c r="J51" i="83"/>
  <c r="J51" i="81"/>
  <c r="J51" i="82"/>
  <c r="AC28" i="34"/>
  <c r="U29" i="34"/>
  <c r="U28" i="34"/>
  <c r="S28" i="34"/>
  <c r="B97" i="43"/>
  <c r="B54" i="84"/>
  <c r="B97" i="84"/>
  <c r="B75" i="84"/>
  <c r="B65" i="84"/>
  <c r="B100" i="43"/>
  <c r="B77" i="84"/>
  <c r="B57" i="84"/>
  <c r="B100" i="84"/>
  <c r="B68" i="84"/>
  <c r="B61" i="43"/>
  <c r="B94" i="43"/>
  <c r="B73" i="84"/>
  <c r="B51" i="84"/>
  <c r="B94" i="84"/>
  <c r="B62" i="84"/>
  <c r="B99" i="43"/>
  <c r="B56" i="84"/>
  <c r="B99" i="84"/>
  <c r="B76" i="84"/>
  <c r="B67" i="84"/>
  <c r="B58" i="84"/>
  <c r="B101" i="84"/>
  <c r="B69" i="84"/>
  <c r="B79" i="84"/>
  <c r="AC47" i="34"/>
  <c r="S13" i="34"/>
  <c r="H37" i="34"/>
  <c r="U37" i="34" s="1"/>
  <c r="F37" i="34"/>
  <c r="J37" i="34"/>
  <c r="AC37" i="34" s="1"/>
  <c r="U38" i="34"/>
  <c r="AC38" i="34"/>
  <c r="F25" i="34"/>
  <c r="S25" i="34" s="1"/>
  <c r="H44" i="34"/>
  <c r="U44" i="34" s="1"/>
  <c r="F44" i="34"/>
  <c r="AA44" i="34" s="1"/>
  <c r="J44" i="34"/>
  <c r="W44" i="34" s="1"/>
  <c r="C18" i="9"/>
  <c r="D18" i="9" s="1"/>
  <c r="AA45" i="34"/>
  <c r="AC45" i="34"/>
  <c r="F43" i="34"/>
  <c r="S43" i="34" s="1"/>
  <c r="J43" i="34"/>
  <c r="AC43" i="34" s="1"/>
  <c r="H43" i="34"/>
  <c r="AB43" i="34" s="1"/>
  <c r="AC40" i="34"/>
  <c r="F88" i="34"/>
  <c r="G88" i="34" s="1"/>
  <c r="H88" i="34" s="1"/>
  <c r="I88" i="34" s="1"/>
  <c r="J88" i="34" s="1"/>
  <c r="K88" i="34" s="1"/>
  <c r="L88" i="34" s="1"/>
  <c r="M88" i="34" s="1"/>
  <c r="H25" i="34"/>
  <c r="AB25" i="34" s="1"/>
  <c r="W23" i="34"/>
  <c r="AC17" i="34"/>
  <c r="U21" i="34"/>
  <c r="U19" i="34"/>
  <c r="U15" i="34"/>
  <c r="S23" i="34"/>
  <c r="S19" i="34"/>
  <c r="AB47" i="34"/>
  <c r="AC35" i="34"/>
  <c r="AB35" i="34"/>
  <c r="D41" i="84"/>
  <c r="N27" i="6"/>
  <c r="P23" i="6"/>
  <c r="D42" i="84"/>
  <c r="K9" i="1"/>
  <c r="M9" i="1" s="1"/>
  <c r="K28" i="1"/>
  <c r="K8" i="1"/>
  <c r="M8" i="1" s="1"/>
  <c r="AC5" i="3"/>
  <c r="G1" i="83"/>
  <c r="G1" i="81"/>
  <c r="G1" i="82"/>
  <c r="P27" i="6"/>
  <c r="K1" i="12"/>
  <c r="BA15" i="3"/>
  <c r="AZ15" i="3" s="1"/>
  <c r="G27" i="6"/>
  <c r="K29" i="1"/>
  <c r="E20" i="6"/>
  <c r="K7" i="1" s="1"/>
  <c r="M7" i="1" s="1"/>
  <c r="O7" i="1" s="1"/>
  <c r="P7" i="1" s="1"/>
  <c r="W41" i="34"/>
  <c r="AB40" i="34"/>
  <c r="U39" i="34"/>
  <c r="AB36" i="34"/>
  <c r="S36" i="34"/>
  <c r="AC36" i="34"/>
  <c r="AA25" i="34"/>
  <c r="W25" i="34"/>
  <c r="W19" i="34"/>
  <c r="S17" i="34"/>
  <c r="AC15" i="34"/>
  <c r="AB8" i="34"/>
  <c r="AB23" i="33"/>
  <c r="AA19" i="33"/>
  <c r="W15" i="33"/>
  <c r="U15" i="33"/>
  <c r="S15" i="33"/>
  <c r="D55" i="43"/>
  <c r="D50" i="43"/>
  <c r="E50" i="43" s="1"/>
  <c r="B48" i="43" s="1"/>
  <c r="D52" i="43"/>
  <c r="F34" i="15"/>
  <c r="F62" i="15" s="1"/>
  <c r="M20" i="67"/>
  <c r="F34" i="67"/>
  <c r="F62" i="67" s="1"/>
  <c r="F30" i="69"/>
  <c r="F48" i="69" s="1"/>
  <c r="D93" i="9"/>
  <c r="F28" i="67"/>
  <c r="D68" i="9"/>
  <c r="F28" i="15"/>
  <c r="F54" i="9"/>
  <c r="F32" i="67"/>
  <c r="F60" i="67" s="1"/>
  <c r="F30" i="68"/>
  <c r="F48" i="68" s="1"/>
  <c r="F52" i="9"/>
  <c r="F32" i="15"/>
  <c r="F60" i="15" s="1"/>
  <c r="F31" i="12"/>
  <c r="C40" i="69"/>
  <c r="C21" i="68"/>
  <c r="G1" i="68"/>
  <c r="G1" i="67"/>
  <c r="G1" i="69"/>
  <c r="BE5" i="3"/>
  <c r="A2" i="9"/>
  <c r="A118" i="9"/>
  <c r="W9" i="21"/>
  <c r="AC9" i="21"/>
  <c r="S40" i="34"/>
  <c r="AA40" i="34"/>
  <c r="AB21" i="39"/>
  <c r="U21" i="39"/>
  <c r="AC33" i="34"/>
  <c r="W33" i="34"/>
  <c r="AA23" i="39"/>
  <c r="S23" i="39"/>
  <c r="AA20" i="35"/>
  <c r="S20" i="35"/>
  <c r="U35" i="37"/>
  <c r="AB35" i="37"/>
  <c r="AZ394" i="3"/>
  <c r="AZ327" i="3"/>
  <c r="AB42" i="33"/>
  <c r="U42" i="33"/>
  <c r="AZ520" i="3"/>
  <c r="S14" i="34"/>
  <c r="AA14" i="34"/>
  <c r="U28" i="40"/>
  <c r="AB28" i="40"/>
  <c r="AC19" i="33"/>
  <c r="W19" i="33"/>
  <c r="U23" i="34"/>
  <c r="AB23" i="34"/>
  <c r="AA34" i="39"/>
  <c r="S34" i="39"/>
  <c r="W38" i="39"/>
  <c r="AC38" i="39"/>
  <c r="AC8" i="40"/>
  <c r="W8" i="40"/>
  <c r="AC31" i="40"/>
  <c r="W31" i="40"/>
  <c r="U41" i="21"/>
  <c r="AB41" i="21"/>
  <c r="S38" i="34"/>
  <c r="AA38" i="34"/>
  <c r="S42" i="34"/>
  <c r="AA42" i="34"/>
  <c r="BL581" i="3"/>
  <c r="BL580" i="3"/>
  <c r="BA579" i="3"/>
  <c r="AZ579" i="3" s="1"/>
  <c r="BL576" i="3"/>
  <c r="AZ576" i="3" s="1"/>
  <c r="BL575" i="3"/>
  <c r="AZ575" i="3" s="1"/>
  <c r="BL574" i="3"/>
  <c r="BL572" i="3"/>
  <c r="BA571" i="3"/>
  <c r="BA570" i="3"/>
  <c r="AZ570" i="3" s="1"/>
  <c r="U23" i="21"/>
  <c r="AA13" i="21"/>
  <c r="S13" i="21"/>
  <c r="AA36" i="33"/>
  <c r="S36" i="33"/>
  <c r="W27" i="33"/>
  <c r="AC27" i="33"/>
  <c r="U33" i="34"/>
  <c r="AB33" i="34"/>
  <c r="AZ320" i="3"/>
  <c r="W12" i="37"/>
  <c r="AC12" i="37"/>
  <c r="AA31" i="40"/>
  <c r="S31" i="40"/>
  <c r="AZ521" i="3"/>
  <c r="AB14" i="40"/>
  <c r="U14" i="40"/>
  <c r="W25" i="36"/>
  <c r="AC25" i="36"/>
  <c r="AC35" i="35"/>
  <c r="W35" i="35"/>
  <c r="S32" i="34"/>
  <c r="AA32" i="34"/>
  <c r="S41" i="33"/>
  <c r="AA39" i="21"/>
  <c r="S39" i="21"/>
  <c r="AB43" i="21"/>
  <c r="U43" i="21"/>
  <c r="AC39" i="21"/>
  <c r="W39" i="21"/>
  <c r="AC8" i="34"/>
  <c r="W8" i="34"/>
  <c r="H14" i="37"/>
  <c r="AB14" i="37" s="1"/>
  <c r="J14" i="37"/>
  <c r="F14" i="37"/>
  <c r="H38" i="37"/>
  <c r="F38" i="37"/>
  <c r="BL566" i="3"/>
  <c r="AZ566" i="3" s="1"/>
  <c r="U34" i="33"/>
  <c r="AB34" i="33"/>
  <c r="AB9" i="21"/>
  <c r="U9" i="21"/>
  <c r="W17" i="33"/>
  <c r="AC17" i="33"/>
  <c r="AA33" i="34"/>
  <c r="W23" i="37"/>
  <c r="AC23" i="37"/>
  <c r="S43" i="33"/>
  <c r="S19" i="37"/>
  <c r="AA19" i="37"/>
  <c r="S36" i="37"/>
  <c r="S35" i="33"/>
  <c r="AA35" i="33"/>
  <c r="AA30" i="40"/>
  <c r="S27" i="40"/>
  <c r="U27" i="40"/>
  <c r="AC11" i="39"/>
  <c r="AZ17" i="3"/>
  <c r="G29" i="6"/>
  <c r="G30" i="6" s="1"/>
  <c r="F29" i="6"/>
  <c r="AZ313" i="3"/>
  <c r="AZ306" i="3"/>
  <c r="S12" i="39"/>
  <c r="AA12" i="39"/>
  <c r="AA24" i="35"/>
  <c r="S24" i="35"/>
  <c r="S22" i="36"/>
  <c r="AA22" i="36"/>
  <c r="S21" i="40"/>
  <c r="AZ513" i="3"/>
  <c r="AZ552" i="3"/>
  <c r="AZ558" i="3"/>
  <c r="S13" i="37"/>
  <c r="AA13" i="37"/>
  <c r="W13" i="34"/>
  <c r="AC13" i="34"/>
  <c r="AA46" i="33"/>
  <c r="S46" i="33"/>
  <c r="AB30" i="33"/>
  <c r="U30" i="33"/>
  <c r="AA46" i="21"/>
  <c r="S46" i="21"/>
  <c r="AA44" i="21"/>
  <c r="S44" i="21"/>
  <c r="H27" i="33"/>
  <c r="F27" i="33"/>
  <c r="U12" i="35"/>
  <c r="AB12" i="35"/>
  <c r="AB34" i="35"/>
  <c r="U34" i="35"/>
  <c r="J9" i="35"/>
  <c r="F9" i="35"/>
  <c r="S9" i="35" s="1"/>
  <c r="W27" i="35"/>
  <c r="AC27" i="35"/>
  <c r="BA581" i="3"/>
  <c r="BA574" i="3"/>
  <c r="AZ574" i="3" s="1"/>
  <c r="BA573" i="3"/>
  <c r="AZ573" i="3" s="1"/>
  <c r="BL571" i="3"/>
  <c r="AA17" i="37"/>
  <c r="S17" i="37"/>
  <c r="D8" i="53"/>
  <c r="D120" i="9"/>
  <c r="S36" i="35"/>
  <c r="AA36" i="35"/>
  <c r="W36" i="40"/>
  <c r="AC36" i="40"/>
  <c r="AB23" i="37"/>
  <c r="U23" i="37"/>
  <c r="AC25" i="21"/>
  <c r="W25" i="21"/>
  <c r="AZ577" i="3"/>
  <c r="AZ530" i="3"/>
  <c r="AZ568" i="3"/>
  <c r="AA13" i="40"/>
  <c r="S13" i="40"/>
  <c r="F9" i="34"/>
  <c r="AA9" i="34" s="1"/>
  <c r="H9" i="34"/>
  <c r="J9" i="34"/>
  <c r="S25" i="36"/>
  <c r="AA25" i="36"/>
  <c r="BA551" i="3"/>
  <c r="AZ551" i="3" s="1"/>
  <c r="BA550" i="3"/>
  <c r="BL549" i="3"/>
  <c r="AZ549" i="3" s="1"/>
  <c r="BL548" i="3"/>
  <c r="BA548" i="3"/>
  <c r="AZ548" i="3" s="1"/>
  <c r="BA545" i="3"/>
  <c r="AZ545" i="3" s="1"/>
  <c r="BL544" i="3"/>
  <c r="AZ544" i="3" s="1"/>
  <c r="BA543" i="3"/>
  <c r="BL542" i="3"/>
  <c r="BA542" i="3"/>
  <c r="BL540" i="3"/>
  <c r="BA540" i="3"/>
  <c r="BL538" i="3"/>
  <c r="AZ538" i="3" s="1"/>
  <c r="BA537" i="3"/>
  <c r="AZ537" i="3" s="1"/>
  <c r="BA536" i="3"/>
  <c r="BA535" i="3"/>
  <c r="AZ535" i="3" s="1"/>
  <c r="BL533" i="3"/>
  <c r="AZ533" i="3" s="1"/>
  <c r="BA532" i="3"/>
  <c r="AZ532" i="3" s="1"/>
  <c r="BL529" i="3"/>
  <c r="BA529" i="3"/>
  <c r="BA527" i="3"/>
  <c r="BA526" i="3"/>
  <c r="AZ526" i="3" s="1"/>
  <c r="BL525" i="3"/>
  <c r="AZ525" i="3" s="1"/>
  <c r="BA524" i="3"/>
  <c r="AZ524" i="3" s="1"/>
  <c r="BL522" i="3"/>
  <c r="AZ522" i="3" s="1"/>
  <c r="BA519" i="3"/>
  <c r="AZ519" i="3" s="1"/>
  <c r="BA518" i="3"/>
  <c r="AZ518" i="3" s="1"/>
  <c r="BL517" i="3"/>
  <c r="BA517" i="3"/>
  <c r="BL516" i="3"/>
  <c r="BA516" i="3"/>
  <c r="BL512" i="3"/>
  <c r="AZ512" i="3" s="1"/>
  <c r="BA511" i="3"/>
  <c r="BL509" i="3"/>
  <c r="AZ509" i="3" s="1"/>
  <c r="BL505" i="3"/>
  <c r="AZ505" i="3" s="1"/>
  <c r="BL501" i="3"/>
  <c r="AZ501" i="3" s="1"/>
  <c r="AZ499" i="3"/>
  <c r="BJ5" i="3"/>
  <c r="BB5" i="3"/>
  <c r="BS5" i="3"/>
  <c r="BL497" i="3"/>
  <c r="AZ497" i="3" s="1"/>
  <c r="BI5" i="3"/>
  <c r="BR5" i="3"/>
  <c r="BH5" i="3"/>
  <c r="BK5" i="3"/>
  <c r="AZ493" i="3"/>
  <c r="J12" i="34"/>
  <c r="F12" i="34"/>
  <c r="S12" i="34" s="1"/>
  <c r="J11" i="35"/>
  <c r="F11" i="35"/>
  <c r="F32" i="36"/>
  <c r="H32" i="36"/>
  <c r="AA34" i="40"/>
  <c r="S34" i="40"/>
  <c r="AB45" i="34"/>
  <c r="W23" i="40"/>
  <c r="S9" i="39"/>
  <c r="U19" i="39"/>
  <c r="AZ345" i="3"/>
  <c r="AZ334" i="3"/>
  <c r="AZ337" i="3"/>
  <c r="W44" i="21"/>
  <c r="BL503" i="3"/>
  <c r="AZ503" i="3" s="1"/>
  <c r="BL515" i="3"/>
  <c r="AZ515" i="3" s="1"/>
  <c r="BL523" i="3"/>
  <c r="AZ523" i="3" s="1"/>
  <c r="BL527" i="3"/>
  <c r="BL547" i="3"/>
  <c r="AZ547" i="3" s="1"/>
  <c r="AZ561" i="3"/>
  <c r="BL569" i="3"/>
  <c r="AZ569" i="3" s="1"/>
  <c r="BA498" i="3"/>
  <c r="AB30" i="21"/>
  <c r="F46" i="34"/>
  <c r="F30" i="34"/>
  <c r="H29" i="21"/>
  <c r="S29" i="35"/>
  <c r="AA29" i="35"/>
  <c r="J45" i="39"/>
  <c r="W45" i="39" s="1"/>
  <c r="H27" i="21"/>
  <c r="J27" i="21"/>
  <c r="F27" i="21"/>
  <c r="J45" i="21"/>
  <c r="F45" i="21"/>
  <c r="B101" i="43"/>
  <c r="B79" i="43"/>
  <c r="AA35" i="34"/>
  <c r="S35" i="34"/>
  <c r="J23" i="35"/>
  <c r="H23" i="35"/>
  <c r="F33" i="36"/>
  <c r="H33" i="36"/>
  <c r="AB31" i="36"/>
  <c r="U31" i="36"/>
  <c r="AB30" i="37"/>
  <c r="U30" i="37"/>
  <c r="AC40" i="39"/>
  <c r="W40" i="39"/>
  <c r="J37" i="39"/>
  <c r="F37" i="39"/>
  <c r="AC32" i="40"/>
  <c r="W32" i="40"/>
  <c r="BA580" i="3"/>
  <c r="AZ580" i="3" s="1"/>
  <c r="BA572" i="3"/>
  <c r="AZ572" i="3" s="1"/>
  <c r="BL550" i="3"/>
  <c r="BA546" i="3"/>
  <c r="AZ546" i="3" s="1"/>
  <c r="BL536" i="3"/>
  <c r="BL534" i="3"/>
  <c r="AZ534" i="3" s="1"/>
  <c r="BL528" i="3"/>
  <c r="AZ528" i="3" s="1"/>
  <c r="BL514" i="3"/>
  <c r="AZ514" i="3" s="1"/>
  <c r="BL498" i="3"/>
  <c r="U17" i="34"/>
  <c r="AB17" i="34"/>
  <c r="BL585" i="3"/>
  <c r="B72" i="43"/>
  <c r="C15" i="39"/>
  <c r="J9" i="33"/>
  <c r="F9" i="33"/>
  <c r="AA9" i="33" s="1"/>
  <c r="B51" i="43"/>
  <c r="AZ14" i="3"/>
  <c r="AZ372" i="3"/>
  <c r="AZ376" i="3"/>
  <c r="AZ309" i="3"/>
  <c r="AB45" i="39"/>
  <c r="W23" i="39"/>
  <c r="H5" i="3"/>
  <c r="F9" i="37"/>
  <c r="S9" i="37" s="1"/>
  <c r="M18" i="15"/>
  <c r="M18" i="67"/>
  <c r="F30" i="11"/>
  <c r="C48" i="11" s="1"/>
  <c r="B62" i="43"/>
  <c r="S17" i="21"/>
  <c r="W46" i="33"/>
  <c r="U27" i="34"/>
  <c r="AC39" i="34"/>
  <c r="AB17" i="37"/>
  <c r="U32" i="35"/>
  <c r="W19" i="39"/>
  <c r="S43" i="39"/>
  <c r="S17" i="40"/>
  <c r="AA34" i="33"/>
  <c r="AA12" i="40"/>
  <c r="BC5" i="3"/>
  <c r="AZ387" i="3"/>
  <c r="AZ362" i="3"/>
  <c r="AZ338" i="3"/>
  <c r="AZ390" i="3"/>
  <c r="AZ371" i="3"/>
  <c r="AZ351" i="3"/>
  <c r="AZ336" i="3"/>
  <c r="AZ305" i="3"/>
  <c r="AZ360" i="3"/>
  <c r="S42" i="39"/>
  <c r="AC31" i="33"/>
  <c r="BL511" i="3"/>
  <c r="AZ511" i="3" s="1"/>
  <c r="BL539" i="3"/>
  <c r="AZ539" i="3" s="1"/>
  <c r="BL543" i="3"/>
  <c r="H46" i="34"/>
  <c r="U45" i="33"/>
  <c r="AB45" i="33"/>
  <c r="F23" i="35"/>
  <c r="AB39" i="40"/>
  <c r="W22" i="35"/>
  <c r="W31" i="37"/>
  <c r="F45" i="39"/>
  <c r="G585" i="3"/>
  <c r="BL587" i="3"/>
  <c r="AZ587" i="3" s="1"/>
  <c r="BL586" i="3"/>
  <c r="BA585" i="3"/>
  <c r="AB33" i="33"/>
  <c r="U33" i="33"/>
  <c r="H12" i="34"/>
  <c r="H29" i="33"/>
  <c r="F29" i="33"/>
  <c r="H32" i="34"/>
  <c r="J32" i="34"/>
  <c r="F12" i="35"/>
  <c r="J12" i="35"/>
  <c r="H27" i="37"/>
  <c r="J27" i="37"/>
  <c r="H25" i="37"/>
  <c r="F25" i="37"/>
  <c r="U8" i="39"/>
  <c r="AB8" i="39"/>
  <c r="H31" i="39"/>
  <c r="J31" i="39"/>
  <c r="BL496" i="3"/>
  <c r="AZ496" i="3" s="1"/>
  <c r="G587" i="3"/>
  <c r="AZ564" i="3"/>
  <c r="S11" i="36"/>
  <c r="AZ458" i="3"/>
  <c r="AZ487" i="3"/>
  <c r="AZ451" i="3"/>
  <c r="G574" i="3"/>
  <c r="BL16" i="3"/>
  <c r="AZ16" i="3" s="1"/>
  <c r="BA401" i="3"/>
  <c r="AZ401" i="3" s="1"/>
  <c r="BA403" i="3"/>
  <c r="BA404" i="3"/>
  <c r="AZ404" i="3" s="1"/>
  <c r="BA405" i="3"/>
  <c r="AZ405" i="3" s="1"/>
  <c r="G409" i="3"/>
  <c r="BL410" i="3"/>
  <c r="G412" i="3"/>
  <c r="G418" i="3"/>
  <c r="G419" i="3"/>
  <c r="BA422" i="3"/>
  <c r="G429" i="3"/>
  <c r="G430" i="3"/>
  <c r="BL431" i="3"/>
  <c r="G433"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AZ484" i="3" s="1"/>
  <c r="BA488" i="3"/>
  <c r="AZ488" i="3" s="1"/>
  <c r="BL490" i="3"/>
  <c r="BL400" i="3"/>
  <c r="AZ400" i="3" s="1"/>
  <c r="BL408" i="3"/>
  <c r="BL411" i="3"/>
  <c r="BL413" i="3"/>
  <c r="AZ413" i="3" s="1"/>
  <c r="BL417" i="3"/>
  <c r="BL418" i="3"/>
  <c r="AZ418" i="3" s="1"/>
  <c r="BL420" i="3"/>
  <c r="BL424" i="3"/>
  <c r="BL428" i="3"/>
  <c r="BL429" i="3"/>
  <c r="BL432" i="3"/>
  <c r="BL435" i="3"/>
  <c r="AZ435" i="3" s="1"/>
  <c r="BL436" i="3"/>
  <c r="AZ436" i="3" s="1"/>
  <c r="BA439" i="3"/>
  <c r="AZ439" i="3" s="1"/>
  <c r="BA440" i="3"/>
  <c r="AZ440" i="3" s="1"/>
  <c r="BA442" i="3"/>
  <c r="BA445" i="3"/>
  <c r="BA447" i="3"/>
  <c r="AZ447" i="3" s="1"/>
  <c r="BA449" i="3"/>
  <c r="BL453" i="3"/>
  <c r="BL454" i="3"/>
  <c r="AZ454" i="3" s="1"/>
  <c r="BL459" i="3"/>
  <c r="AZ459" i="3" s="1"/>
  <c r="BA465" i="3"/>
  <c r="AZ465" i="3" s="1"/>
  <c r="BA467" i="3"/>
  <c r="BA468" i="3"/>
  <c r="AZ468" i="3" s="1"/>
  <c r="BL471" i="3"/>
  <c r="BL475" i="3"/>
  <c r="BA477" i="3"/>
  <c r="BA478" i="3"/>
  <c r="BA481" i="3"/>
  <c r="G558" i="3"/>
  <c r="BL398" i="3"/>
  <c r="AZ398" i="3" s="1"/>
  <c r="G402" i="3"/>
  <c r="BL403" i="3"/>
  <c r="G405" i="3"/>
  <c r="G406" i="3"/>
  <c r="BA408" i="3"/>
  <c r="BA409" i="3"/>
  <c r="AZ409" i="3" s="1"/>
  <c r="BA411" i="3"/>
  <c r="AZ411" i="3" s="1"/>
  <c r="BL414" i="3"/>
  <c r="AZ414" i="3" s="1"/>
  <c r="BL415" i="3"/>
  <c r="BA417" i="3"/>
  <c r="BL421" i="3"/>
  <c r="AZ421" i="3" s="1"/>
  <c r="BL422" i="3"/>
  <c r="BL425" i="3"/>
  <c r="AZ425" i="3" s="1"/>
  <c r="BL426" i="3"/>
  <c r="AZ426" i="3" s="1"/>
  <c r="BA428" i="3"/>
  <c r="BA429" i="3"/>
  <c r="BA430" i="3"/>
  <c r="AZ430" i="3" s="1"/>
  <c r="BA432" i="3"/>
  <c r="BA434" i="3"/>
  <c r="BA436" i="3"/>
  <c r="BA438" i="3"/>
  <c r="G442" i="3"/>
  <c r="G443" i="3"/>
  <c r="BA446" i="3"/>
  <c r="BA450" i="3"/>
  <c r="BA453" i="3"/>
  <c r="BA455" i="3"/>
  <c r="AZ455" i="3" s="1"/>
  <c r="BL457" i="3"/>
  <c r="BL460" i="3"/>
  <c r="AZ460" i="3" s="1"/>
  <c r="BL461" i="3"/>
  <c r="AZ461" i="3" s="1"/>
  <c r="BL463" i="3"/>
  <c r="G465" i="3"/>
  <c r="BA471" i="3"/>
  <c r="BL324" i="3"/>
  <c r="AZ324" i="3" s="1"/>
  <c r="BL328" i="3"/>
  <c r="AZ328" i="3" s="1"/>
  <c r="G329" i="3"/>
  <c r="BA335" i="3"/>
  <c r="AZ335" i="3" s="1"/>
  <c r="BA339" i="3"/>
  <c r="AZ339" i="3" s="1"/>
  <c r="G343" i="3"/>
  <c r="G347" i="3"/>
  <c r="BA348" i="3"/>
  <c r="BA350" i="3"/>
  <c r="AZ350" i="3" s="1"/>
  <c r="BA354" i="3"/>
  <c r="BA366" i="3"/>
  <c r="AZ366" i="3" s="1"/>
  <c r="BA239" i="3"/>
  <c r="BL239" i="3"/>
  <c r="BA241" i="3"/>
  <c r="AZ241" i="3" s="1"/>
  <c r="BL241" i="3"/>
  <c r="BA244" i="3"/>
  <c r="BL244" i="3"/>
  <c r="BA246" i="3"/>
  <c r="BL266" i="3"/>
  <c r="BA268" i="3"/>
  <c r="BL273" i="3"/>
  <c r="G274" i="3"/>
  <c r="BA277" i="3"/>
  <c r="BL277" i="3"/>
  <c r="BA282" i="3"/>
  <c r="AZ282" i="3" s="1"/>
  <c r="BL282" i="3"/>
  <c r="BA284" i="3"/>
  <c r="BL290" i="3"/>
  <c r="BL291" i="3"/>
  <c r="AZ291" i="3" s="1"/>
  <c r="BL293" i="3"/>
  <c r="BL294" i="3"/>
  <c r="BA297" i="3"/>
  <c r="BL297" i="3"/>
  <c r="BL300" i="3"/>
  <c r="BA302" i="3"/>
  <c r="G115" i="3"/>
  <c r="BA117" i="3"/>
  <c r="BA124" i="3"/>
  <c r="AZ124" i="3" s="1"/>
  <c r="BL127" i="3"/>
  <c r="AZ127" i="3" s="1"/>
  <c r="BA130" i="3"/>
  <c r="BL130"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BA296" i="3"/>
  <c r="BA129" i="3"/>
  <c r="BL139" i="3"/>
  <c r="AZ139" i="3" s="1"/>
  <c r="BL141"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BL258" i="3"/>
  <c r="G259" i="3"/>
  <c r="BA262" i="3"/>
  <c r="AZ262" i="3" s="1"/>
  <c r="BL265" i="3"/>
  <c r="AZ265" i="3" s="1"/>
  <c r="BA273" i="3"/>
  <c r="BA278" i="3"/>
  <c r="AZ278" i="3" s="1"/>
  <c r="BA280" i="3"/>
  <c r="BL283" i="3"/>
  <c r="AZ283" i="3" s="1"/>
  <c r="BL284" i="3"/>
  <c r="G288" i="3"/>
  <c r="BL292" i="3"/>
  <c r="BA294" i="3"/>
  <c r="AZ294" i="3" s="1"/>
  <c r="BL295" i="3"/>
  <c r="BA298" i="3"/>
  <c r="AZ298" i="3" s="1"/>
  <c r="BL301" i="3"/>
  <c r="AZ301" i="3" s="1"/>
  <c r="BL302" i="3"/>
  <c r="BA114" i="3"/>
  <c r="BA128" i="3"/>
  <c r="AZ128"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G222" i="3"/>
  <c r="BL223" i="3"/>
  <c r="G224" i="3"/>
  <c r="BA229" i="3"/>
  <c r="AZ229" i="3" s="1"/>
  <c r="BL229" i="3"/>
  <c r="BL231" i="3"/>
  <c r="G233" i="3"/>
  <c r="BL233" i="3"/>
  <c r="AZ233"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L122" i="3"/>
  <c r="BA126" i="3"/>
  <c r="BA134" i="3"/>
  <c r="AZ134" i="3" s="1"/>
  <c r="BL149" i="3"/>
  <c r="AZ149" i="3" s="1"/>
  <c r="BL150" i="3"/>
  <c r="G151" i="3"/>
  <c r="BA152" i="3"/>
  <c r="AZ152" i="3" s="1"/>
  <c r="BA154" i="3"/>
  <c r="AZ154" i="3" s="1"/>
  <c r="BA160" i="3"/>
  <c r="AZ160" i="3" s="1"/>
  <c r="G162" i="3"/>
  <c r="BL162" i="3"/>
  <c r="AZ162" i="3" s="1"/>
  <c r="BL165" i="3"/>
  <c r="G166" i="3"/>
  <c r="BA173" i="3"/>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5" i="3"/>
  <c r="BA48" i="3"/>
  <c r="BA49" i="3"/>
  <c r="BL56" i="3"/>
  <c r="BA58" i="3"/>
  <c r="BL60" i="3"/>
  <c r="BA61" i="3"/>
  <c r="C52" i="71"/>
  <c r="D51" i="71"/>
  <c r="C55" i="71"/>
  <c r="D54" i="71"/>
  <c r="N67" i="71"/>
  <c r="B66" i="71"/>
  <c r="F66" i="71"/>
  <c r="Q65" i="71" s="1"/>
  <c r="Q67" i="71"/>
  <c r="G43" i="3"/>
  <c r="G44" i="3"/>
  <c r="BA45" i="3"/>
  <c r="BA46" i="3"/>
  <c r="BL49" i="3"/>
  <c r="BL50" i="3"/>
  <c r="AZ50" i="3" s="1"/>
  <c r="BL51" i="3"/>
  <c r="AZ51" i="3" s="1"/>
  <c r="G53" i="3"/>
  <c r="BL53" i="3"/>
  <c r="BA56" i="3"/>
  <c r="BA57" i="3"/>
  <c r="AZ57" i="3" s="1"/>
  <c r="BL58" i="3"/>
  <c r="G60" i="3"/>
  <c r="BA60" i="3"/>
  <c r="BA63" i="3"/>
  <c r="AZ63" i="3" s="1"/>
  <c r="BL64" i="3"/>
  <c r="G65" i="3"/>
  <c r="BL65" i="3"/>
  <c r="AZ65" i="3" s="1"/>
  <c r="BL66" i="3"/>
  <c r="BL67" i="3"/>
  <c r="AZ67" i="3" s="1"/>
  <c r="G72" i="3"/>
  <c r="BL73" i="3"/>
  <c r="BL137" i="3"/>
  <c r="AZ137" i="3" s="1"/>
  <c r="BA146" i="3"/>
  <c r="AZ146" i="3" s="1"/>
  <c r="BA150" i="3"/>
  <c r="BL167" i="3"/>
  <c r="AZ167" i="3" s="1"/>
  <c r="BL178" i="3"/>
  <c r="BA180" i="3"/>
  <c r="AZ180" i="3" s="1"/>
  <c r="BL182" i="3"/>
  <c r="BA185" i="3"/>
  <c r="BL191" i="3"/>
  <c r="AZ191" i="3" s="1"/>
  <c r="BA193" i="3"/>
  <c r="AZ193" i="3" s="1"/>
  <c r="BA196" i="3"/>
  <c r="AZ196" i="3" s="1"/>
  <c r="G203" i="3"/>
  <c r="BA205" i="3"/>
  <c r="AZ205" i="3" s="1"/>
  <c r="BL20" i="3"/>
  <c r="BA21" i="3"/>
  <c r="BA25" i="3"/>
  <c r="BA26" i="3"/>
  <c r="BL28" i="3"/>
  <c r="BA29" i="3"/>
  <c r="AZ29" i="3" s="1"/>
  <c r="BA36" i="3"/>
  <c r="BL38" i="3"/>
  <c r="BA39" i="3"/>
  <c r="AZ39" i="3" s="1"/>
  <c r="BA52" i="3"/>
  <c r="AZ52" i="3" s="1"/>
  <c r="BA53" i="3"/>
  <c r="BA54" i="3"/>
  <c r="AZ54" i="3" s="1"/>
  <c r="BL68" i="3"/>
  <c r="BA69" i="3"/>
  <c r="AZ69" i="3" s="1"/>
  <c r="BA73" i="3"/>
  <c r="BA80" i="3"/>
  <c r="BL84" i="3"/>
  <c r="BA90" i="3"/>
  <c r="BL94" i="3"/>
  <c r="BA105" i="3"/>
  <c r="BA106" i="3"/>
  <c r="AZ106" i="3" s="1"/>
  <c r="C44" i="71"/>
  <c r="D43" i="7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AZ41" i="3" s="1"/>
  <c r="BA42" i="3"/>
  <c r="G46" i="3"/>
  <c r="G47" i="3"/>
  <c r="BL48" i="3"/>
  <c r="BL54" i="3"/>
  <c r="BL55" i="3"/>
  <c r="AZ55" i="3" s="1"/>
  <c r="G57" i="3"/>
  <c r="G58" i="3"/>
  <c r="BA59" i="3"/>
  <c r="AZ59" i="3" s="1"/>
  <c r="G61" i="3"/>
  <c r="BL61" i="3"/>
  <c r="G64" i="3"/>
  <c r="BA64" i="3"/>
  <c r="BA68" i="3"/>
  <c r="AZ100" i="3"/>
  <c r="BA103" i="3"/>
  <c r="AZ103" i="3" s="1"/>
  <c r="BA104" i="3"/>
  <c r="BA109" i="3"/>
  <c r="B13" i="1"/>
  <c r="E13" i="1" s="1"/>
  <c r="K13" i="1"/>
  <c r="M13" i="1" s="1"/>
  <c r="O13" i="1" s="1"/>
  <c r="P13" i="1" s="1"/>
  <c r="P65" i="71"/>
  <c r="P66" i="71"/>
  <c r="C47" i="71"/>
  <c r="D47" i="71" s="1"/>
  <c r="D46" i="71"/>
  <c r="BA74" i="3"/>
  <c r="AZ74" i="3" s="1"/>
  <c r="BA75" i="3"/>
  <c r="AZ75" i="3" s="1"/>
  <c r="G81" i="3"/>
  <c r="G85" i="3"/>
  <c r="BL85" i="3"/>
  <c r="BA86" i="3"/>
  <c r="BA87" i="3"/>
  <c r="AZ87" i="3" s="1"/>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E23" i="71"/>
  <c r="E22" i="71" s="1"/>
  <c r="E21" i="71" s="1"/>
  <c r="E20" i="71" s="1"/>
  <c r="E19" i="71" s="1"/>
  <c r="E18" i="71" s="1"/>
  <c r="E17" i="71" s="1"/>
  <c r="E16" i="71" s="1"/>
  <c r="BA111" i="3"/>
  <c r="AZ111" i="3" s="1"/>
  <c r="AB33" i="71"/>
  <c r="AA30" i="71"/>
  <c r="E35" i="71"/>
  <c r="E36" i="71" s="1"/>
  <c r="U36" i="71" s="1"/>
  <c r="AB31" i="71"/>
  <c r="AA36" i="71"/>
  <c r="B47" i="71"/>
  <c r="B48" i="71" s="1"/>
  <c r="S48" i="71" s="1"/>
  <c r="F9" i="1"/>
  <c r="G9" i="1" s="1"/>
  <c r="F10" i="1"/>
  <c r="G10" i="1" s="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S34" i="21"/>
  <c r="J34" i="35"/>
  <c r="F34" i="35"/>
  <c r="J26" i="37"/>
  <c r="F26" i="37"/>
  <c r="F40" i="40"/>
  <c r="G578" i="3"/>
  <c r="AZ410" i="3"/>
  <c r="AZ431" i="3"/>
  <c r="AZ442" i="3"/>
  <c r="AZ449"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AZ477"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30" i="3"/>
  <c r="BL36" i="3"/>
  <c r="AZ36" i="3" s="1"/>
  <c r="AZ48" i="3"/>
  <c r="AZ68" i="3"/>
  <c r="AZ73" i="3"/>
  <c r="G200" i="3"/>
  <c r="G207" i="3"/>
  <c r="BA23" i="3"/>
  <c r="AZ23" i="3" s="1"/>
  <c r="BA24" i="3"/>
  <c r="AZ24" i="3" s="1"/>
  <c r="BL26" i="3"/>
  <c r="AZ26" i="3" s="1"/>
  <c r="BL32" i="3"/>
  <c r="AZ32" i="3" s="1"/>
  <c r="BA34" i="3"/>
  <c r="BA35" i="3"/>
  <c r="AZ35" i="3" s="1"/>
  <c r="BL37" i="3"/>
  <c r="AZ37" i="3" s="1"/>
  <c r="BL42" i="3"/>
  <c r="AZ42" i="3" s="1"/>
  <c r="BA44" i="3"/>
  <c r="AZ56" i="3"/>
  <c r="AZ60" i="3"/>
  <c r="BA206" i="3"/>
  <c r="AZ206" i="3" s="1"/>
  <c r="BL22" i="3"/>
  <c r="AZ22" i="3" s="1"/>
  <c r="BL33" i="3"/>
  <c r="AZ33" i="3" s="1"/>
  <c r="BL43" i="3"/>
  <c r="AZ43" i="3" s="1"/>
  <c r="BL46"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C11" i="34"/>
  <c r="U33" i="21"/>
  <c r="AB13" i="33"/>
  <c r="S9" i="33"/>
  <c r="S8" i="33"/>
  <c r="U8" i="33"/>
  <c r="W8" i="21"/>
  <c r="S8" i="21"/>
  <c r="AA11" i="21"/>
  <c r="AC11" i="21"/>
  <c r="AB11" i="21"/>
  <c r="C30" i="69"/>
  <c r="F53" i="9"/>
  <c r="C5" i="11"/>
  <c r="C4" i="12"/>
  <c r="I4" i="6"/>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D3" i="73"/>
  <c r="F9" i="83"/>
  <c r="M26" i="82"/>
  <c r="F7" i="82"/>
  <c r="F8" i="82"/>
  <c r="J15" i="67"/>
  <c r="M23" i="82"/>
  <c r="F43" i="67"/>
  <c r="F16" i="15"/>
  <c r="F7" i="83"/>
  <c r="M6" i="81"/>
  <c r="F36" i="82"/>
  <c r="L47" i="82"/>
  <c r="F26" i="67"/>
  <c r="L48" i="82"/>
  <c r="M22" i="67"/>
  <c r="F40" i="83"/>
  <c r="M6" i="83"/>
  <c r="F9" i="67"/>
  <c r="L48" i="15"/>
  <c r="F42" i="82"/>
  <c r="M8" i="67"/>
  <c r="F13" i="82"/>
  <c r="F26" i="82"/>
  <c r="F8" i="15"/>
  <c r="M22" i="81"/>
  <c r="F9" i="81"/>
  <c r="F40" i="82"/>
  <c r="F8" i="67"/>
  <c r="M26" i="81"/>
  <c r="L48" i="83"/>
  <c r="M29" i="83"/>
  <c r="F42" i="15"/>
  <c r="M22" i="83"/>
  <c r="M9" i="83"/>
  <c r="L47" i="81"/>
  <c r="M9" i="81"/>
  <c r="F42" i="67"/>
  <c r="F13" i="83"/>
  <c r="M28" i="82"/>
  <c r="F6" i="83"/>
  <c r="M8" i="15"/>
  <c r="F6" i="82"/>
  <c r="C76" i="82"/>
  <c r="F37" i="81"/>
  <c r="F38" i="67"/>
  <c r="M28" i="83"/>
  <c r="F16" i="82"/>
  <c r="F16" i="67"/>
  <c r="F6" i="67"/>
  <c r="M26" i="83"/>
  <c r="F9" i="15"/>
  <c r="F37" i="82"/>
  <c r="M8" i="82"/>
  <c r="M23" i="83"/>
  <c r="F40" i="67"/>
  <c r="L48" i="81"/>
  <c r="C76" i="67"/>
  <c r="M29" i="82"/>
  <c r="M9" i="67"/>
  <c r="J15" i="15"/>
  <c r="M29" i="67"/>
  <c r="M29" i="81"/>
  <c r="L48" i="67"/>
  <c r="J15" i="81"/>
  <c r="C76" i="15"/>
  <c r="M9" i="82"/>
  <c r="M26" i="67"/>
  <c r="M24" i="15"/>
  <c r="F37" i="67"/>
  <c r="L47" i="15"/>
  <c r="F38" i="15"/>
  <c r="M6" i="67"/>
  <c r="M24" i="81"/>
  <c r="D4" i="73"/>
  <c r="F38" i="83"/>
  <c r="F36" i="67"/>
  <c r="J15" i="83"/>
  <c r="M28" i="81"/>
  <c r="F43" i="81"/>
  <c r="M22" i="15"/>
  <c r="F26" i="81"/>
  <c r="M24" i="82"/>
  <c r="F16" i="81"/>
  <c r="F38" i="82"/>
  <c r="C76" i="83"/>
  <c r="F8" i="83"/>
  <c r="L47" i="83"/>
  <c r="C76" i="81"/>
  <c r="F37" i="83"/>
  <c r="L47" i="67"/>
  <c r="M22" i="82"/>
  <c r="M8" i="81"/>
  <c r="F38" i="81"/>
  <c r="F13" i="81"/>
  <c r="F42" i="83"/>
  <c r="M23" i="67"/>
  <c r="F36" i="83"/>
  <c r="M28" i="67"/>
  <c r="M24" i="83"/>
  <c r="M8" i="83"/>
  <c r="F7" i="67"/>
  <c r="F6" i="81"/>
  <c r="F37" i="15"/>
  <c r="F16" i="83"/>
  <c r="F9" i="82"/>
  <c r="F26" i="15"/>
  <c r="F36" i="81"/>
  <c r="M6" i="82"/>
  <c r="F13" i="67"/>
  <c r="J15" i="82"/>
  <c r="F26" i="83"/>
  <c r="D7" i="73"/>
  <c r="F8" i="81"/>
  <c r="F40" i="15"/>
  <c r="M24" i="67"/>
  <c r="F43" i="82"/>
  <c r="F7" i="81"/>
  <c r="D5" i="73"/>
  <c r="F43" i="83"/>
  <c r="M23" i="81"/>
  <c r="F40" i="81"/>
  <c r="F36" i="15"/>
  <c r="F42" i="81"/>
  <c r="I24" i="43" l="1"/>
  <c r="C24" i="43" s="1"/>
  <c r="AZ19" i="3"/>
  <c r="AZ157" i="3"/>
  <c r="W45" i="33"/>
  <c r="AC45" i="33"/>
  <c r="D17" i="53"/>
  <c r="B36" i="72" s="1"/>
  <c r="AB37" i="34"/>
  <c r="AZ202" i="3"/>
  <c r="AZ174" i="3"/>
  <c r="AZ141" i="3"/>
  <c r="AZ117" i="3"/>
  <c r="AZ86" i="3"/>
  <c r="AZ27" i="3"/>
  <c r="AZ118" i="3"/>
  <c r="AZ105" i="3"/>
  <c r="AZ38" i="3"/>
  <c r="AZ45" i="3"/>
  <c r="AZ173" i="3"/>
  <c r="AZ249" i="3"/>
  <c r="AZ332" i="3"/>
  <c r="AZ273" i="3"/>
  <c r="AZ130" i="3"/>
  <c r="AZ297" i="3"/>
  <c r="AZ244" i="3"/>
  <c r="AZ239" i="3"/>
  <c r="AZ471" i="3"/>
  <c r="AZ415" i="3"/>
  <c r="AZ408" i="3"/>
  <c r="AC44" i="34"/>
  <c r="AZ186" i="3"/>
  <c r="AZ177" i="3"/>
  <c r="AZ133" i="3"/>
  <c r="AZ353" i="3"/>
  <c r="AZ480" i="3"/>
  <c r="K6" i="1"/>
  <c r="O4" i="91"/>
  <c r="U26" i="33"/>
  <c r="AB26" i="33"/>
  <c r="AA44" i="39"/>
  <c r="S44" i="39"/>
  <c r="AC26" i="33"/>
  <c r="W26" i="33"/>
  <c r="AB24" i="36"/>
  <c r="U24" i="36"/>
  <c r="AB39" i="37"/>
  <c r="U39" i="37"/>
  <c r="S26" i="33"/>
  <c r="AA26" i="33"/>
  <c r="AZ99" i="3"/>
  <c r="AZ80" i="3"/>
  <c r="AZ109" i="3"/>
  <c r="AZ44" i="3"/>
  <c r="AZ34" i="3"/>
  <c r="AZ153" i="3"/>
  <c r="AZ114" i="3"/>
  <c r="AZ253" i="3"/>
  <c r="AZ215" i="3"/>
  <c r="AZ348" i="3"/>
  <c r="AZ490" i="3"/>
  <c r="E28" i="6"/>
  <c r="K14" i="1" s="1"/>
  <c r="V20" i="71"/>
  <c r="AZ101" i="3"/>
  <c r="AZ64" i="3"/>
  <c r="AZ125" i="3"/>
  <c r="AZ94" i="3"/>
  <c r="AZ53" i="3"/>
  <c r="AZ61" i="3"/>
  <c r="AZ49" i="3"/>
  <c r="AZ182" i="3"/>
  <c r="AZ257" i="3"/>
  <c r="AZ457" i="3"/>
  <c r="AZ429" i="3"/>
  <c r="AZ473" i="3"/>
  <c r="AZ403" i="3"/>
  <c r="AZ586" i="3"/>
  <c r="AZ529" i="3"/>
  <c r="D75" i="71"/>
  <c r="C74" i="71"/>
  <c r="D74" i="71" s="1"/>
  <c r="C31" i="71"/>
  <c r="AZ70" i="3"/>
  <c r="AZ466" i="3"/>
  <c r="T60" i="71"/>
  <c r="D60" i="71"/>
  <c r="AC13" i="21"/>
  <c r="W13" i="21"/>
  <c r="AB44" i="39"/>
  <c r="U44" i="39"/>
  <c r="AB14" i="34"/>
  <c r="U14" i="34"/>
  <c r="S34" i="36"/>
  <c r="AA34" i="36"/>
  <c r="S24" i="36"/>
  <c r="AA24" i="36"/>
  <c r="C48" i="68"/>
  <c r="AA9" i="37"/>
  <c r="AZ46" i="3"/>
  <c r="AZ113" i="3"/>
  <c r="AZ486" i="3"/>
  <c r="AZ481" i="3"/>
  <c r="AC45" i="39"/>
  <c r="AZ66" i="3"/>
  <c r="AZ31" i="3"/>
  <c r="AZ20" i="3"/>
  <c r="AZ190" i="3"/>
  <c r="AZ21" i="3"/>
  <c r="AZ5" i="3" s="1"/>
  <c r="AZ386" i="3"/>
  <c r="AZ280" i="3"/>
  <c r="AZ224" i="3"/>
  <c r="AZ428" i="3"/>
  <c r="AB44" i="21"/>
  <c r="AZ47" i="3"/>
  <c r="AZ476" i="3"/>
  <c r="AZ214" i="3"/>
  <c r="AB34" i="36"/>
  <c r="U34" i="36"/>
  <c r="AZ510" i="3"/>
  <c r="AB24" i="35"/>
  <c r="U24" i="35"/>
  <c r="P28" i="84"/>
  <c r="P25" i="84"/>
  <c r="P29" i="84"/>
  <c r="C23" i="84"/>
  <c r="P27" i="84"/>
  <c r="O23" i="84"/>
  <c r="P26" i="84"/>
  <c r="J7" i="36"/>
  <c r="G8" i="1"/>
  <c r="I24" i="84"/>
  <c r="C24" i="84" s="1"/>
  <c r="W37" i="34"/>
  <c r="AA37" i="34"/>
  <c r="S37" i="34"/>
  <c r="AA43" i="34"/>
  <c r="W43" i="34"/>
  <c r="S44" i="34"/>
  <c r="U43" i="34"/>
  <c r="S9" i="34"/>
  <c r="U25" i="34"/>
  <c r="AA12" i="34"/>
  <c r="C27" i="81"/>
  <c r="C6" i="81"/>
  <c r="F65" i="81"/>
  <c r="Q71" i="81"/>
  <c r="F51" i="81"/>
  <c r="F68" i="81"/>
  <c r="L59" i="81"/>
  <c r="N59" i="81"/>
  <c r="L58" i="81"/>
  <c r="M59" i="81"/>
  <c r="F64" i="81"/>
  <c r="F71" i="81"/>
  <c r="M7" i="81"/>
  <c r="J6" i="81" s="1"/>
  <c r="F50" i="81"/>
  <c r="J57" i="81"/>
  <c r="J55" i="81" s="1"/>
  <c r="J58" i="81" s="1"/>
  <c r="Q50" i="81" s="1"/>
  <c r="J53" i="81"/>
  <c r="I54" i="81"/>
  <c r="F66" i="81"/>
  <c r="F65" i="82"/>
  <c r="F51" i="82"/>
  <c r="C27" i="82"/>
  <c r="Q71" i="82"/>
  <c r="C6" i="82"/>
  <c r="F64" i="82"/>
  <c r="M59" i="82"/>
  <c r="L59" i="82"/>
  <c r="N59" i="82"/>
  <c r="L58" i="82"/>
  <c r="F66" i="82"/>
  <c r="J57" i="82"/>
  <c r="J55" i="82" s="1"/>
  <c r="J58" i="82" s="1"/>
  <c r="Q50" i="82" s="1"/>
  <c r="J53" i="82"/>
  <c r="I54" i="82"/>
  <c r="L56" i="82"/>
  <c r="F68" i="82"/>
  <c r="M7" i="82"/>
  <c r="J6" i="82" s="1"/>
  <c r="F50" i="82"/>
  <c r="C49" i="82" s="1"/>
  <c r="C61" i="82" s="1"/>
  <c r="F71" i="82"/>
  <c r="F65" i="83"/>
  <c r="C27" i="83"/>
  <c r="Q71" i="83"/>
  <c r="C6" i="83"/>
  <c r="F68" i="83"/>
  <c r="I54" i="83"/>
  <c r="J53" i="83"/>
  <c r="J57" i="83"/>
  <c r="J55" i="83" s="1"/>
  <c r="J58" i="83" s="1"/>
  <c r="Q50" i="83" s="1"/>
  <c r="F51" i="83"/>
  <c r="F66" i="83"/>
  <c r="N59" i="83"/>
  <c r="L58" i="83"/>
  <c r="M59" i="83"/>
  <c r="L59" i="83"/>
  <c r="F71" i="83"/>
  <c r="M7" i="83"/>
  <c r="J6" i="83" s="1"/>
  <c r="F50" i="83"/>
  <c r="F64" i="83"/>
  <c r="H42" i="84"/>
  <c r="G3" i="43"/>
  <c r="J26" i="43" s="1"/>
  <c r="G3" i="84"/>
  <c r="D1" i="84"/>
  <c r="G31" i="6"/>
  <c r="H41" i="84"/>
  <c r="F11" i="83"/>
  <c r="M11" i="83"/>
  <c r="J10" i="83" s="1"/>
  <c r="F11" i="82"/>
  <c r="M11" i="82"/>
  <c r="J10" i="82" s="1"/>
  <c r="F11" i="81"/>
  <c r="M11" i="81"/>
  <c r="J10" i="81" s="1"/>
  <c r="C30" i="68"/>
  <c r="C30" i="11"/>
  <c r="F71" i="67"/>
  <c r="F68" i="67"/>
  <c r="C27" i="67"/>
  <c r="F66" i="67"/>
  <c r="J57" i="67"/>
  <c r="J55" i="67" s="1"/>
  <c r="J58" i="67" s="1"/>
  <c r="Q50" i="67" s="1"/>
  <c r="L56" i="67"/>
  <c r="I54" i="67"/>
  <c r="J53" i="67"/>
  <c r="Q52" i="67" s="1"/>
  <c r="Q71" i="67"/>
  <c r="M7" i="67"/>
  <c r="J6" i="67" s="1"/>
  <c r="J18" i="67" s="1"/>
  <c r="F50" i="67"/>
  <c r="N59" i="67"/>
  <c r="L59" i="67"/>
  <c r="Q61" i="67" s="1"/>
  <c r="M59" i="67"/>
  <c r="L58" i="67"/>
  <c r="Q60" i="67" s="1"/>
  <c r="F64" i="67"/>
  <c r="F51" i="67"/>
  <c r="F65" i="67"/>
  <c r="C6" i="67"/>
  <c r="C32" i="67" s="1"/>
  <c r="H16" i="1"/>
  <c r="E26" i="43"/>
  <c r="K16" i="1"/>
  <c r="E14" i="6"/>
  <c r="E59" i="40" s="1"/>
  <c r="Q16" i="1"/>
  <c r="F27" i="69" s="1"/>
  <c r="F45" i="69" s="1"/>
  <c r="E12" i="6"/>
  <c r="E57" i="40" s="1"/>
  <c r="E13" i="6"/>
  <c r="E58" i="40" s="1"/>
  <c r="F30" i="6"/>
  <c r="F31" i="6" s="1"/>
  <c r="E10" i="6"/>
  <c r="P6" i="1"/>
  <c r="C13" i="12" s="1"/>
  <c r="E11" i="6"/>
  <c r="E60" i="39" s="1"/>
  <c r="E15" i="6"/>
  <c r="E64" i="39" s="1"/>
  <c r="C27" i="15"/>
  <c r="J57" i="15"/>
  <c r="J55" i="15" s="1"/>
  <c r="J58" i="15" s="1"/>
  <c r="Q50" i="15" s="1"/>
  <c r="I54" i="15"/>
  <c r="J53" i="15"/>
  <c r="L56" i="15" s="1"/>
  <c r="F65" i="15"/>
  <c r="L59" i="15"/>
  <c r="Q74" i="15" s="1"/>
  <c r="N59" i="15"/>
  <c r="L58" i="15"/>
  <c r="Q73" i="15" s="1"/>
  <c r="M59" i="15"/>
  <c r="F68" i="15"/>
  <c r="F51" i="15"/>
  <c r="F59" i="15" s="1"/>
  <c r="F31" i="15"/>
  <c r="F64" i="15"/>
  <c r="Q71" i="15"/>
  <c r="F66" i="15"/>
  <c r="C70" i="71"/>
  <c r="D70" i="71" s="1"/>
  <c r="D71" i="71"/>
  <c r="C36" i="71"/>
  <c r="D35" i="71"/>
  <c r="AZ28" i="3"/>
  <c r="AZ150" i="3"/>
  <c r="T52" i="71"/>
  <c r="D52" i="71"/>
  <c r="AZ251" i="3"/>
  <c r="AZ247" i="3"/>
  <c r="AZ218" i="3"/>
  <c r="AZ302" i="3"/>
  <c r="AZ284" i="3"/>
  <c r="AZ277" i="3"/>
  <c r="AZ453" i="3"/>
  <c r="AZ432" i="3"/>
  <c r="AZ417" i="3"/>
  <c r="U27" i="37"/>
  <c r="AB27" i="37"/>
  <c r="U32" i="34"/>
  <c r="AB32" i="34"/>
  <c r="AC9" i="33"/>
  <c r="W9" i="33"/>
  <c r="AC23" i="35"/>
  <c r="W23" i="35"/>
  <c r="W27" i="21"/>
  <c r="AC27" i="21"/>
  <c r="S11" i="35"/>
  <c r="AA11" i="35"/>
  <c r="AZ543" i="3"/>
  <c r="AC9" i="35"/>
  <c r="W9" i="35"/>
  <c r="AZ571" i="3"/>
  <c r="T28" i="71"/>
  <c r="D28" i="71"/>
  <c r="U28" i="71" s="1"/>
  <c r="C27" i="71"/>
  <c r="D79" i="71"/>
  <c r="C78" i="71"/>
  <c r="D78" i="71" s="1"/>
  <c r="AZ178" i="3"/>
  <c r="AZ58" i="3"/>
  <c r="AC31" i="39"/>
  <c r="W31" i="39"/>
  <c r="AA25" i="37"/>
  <c r="S25" i="37"/>
  <c r="W12" i="35"/>
  <c r="AC12" i="35"/>
  <c r="S29" i="33"/>
  <c r="AA29" i="33"/>
  <c r="U46" i="34"/>
  <c r="AB46" i="34"/>
  <c r="AA37" i="39"/>
  <c r="S37" i="39"/>
  <c r="U33" i="36"/>
  <c r="AB33" i="36"/>
  <c r="AA45" i="21"/>
  <c r="S45" i="21"/>
  <c r="AB27" i="21"/>
  <c r="U27" i="21"/>
  <c r="U29" i="21"/>
  <c r="AB29" i="21"/>
  <c r="AZ498" i="3"/>
  <c r="W11" i="35"/>
  <c r="AC11" i="35"/>
  <c r="AZ516" i="3"/>
  <c r="AZ536" i="3"/>
  <c r="AZ540" i="3"/>
  <c r="AA27" i="33"/>
  <c r="S27" i="33"/>
  <c r="S38" i="37"/>
  <c r="AA38" i="37"/>
  <c r="G5" i="3"/>
  <c r="B3" i="3" s="1"/>
  <c r="E540" i="3" s="1"/>
  <c r="D83" i="71"/>
  <c r="C82" i="71"/>
  <c r="D82" i="71" s="1"/>
  <c r="O65" i="71"/>
  <c r="D66" i="71"/>
  <c r="O66" i="71"/>
  <c r="C56" i="71"/>
  <c r="D55" i="71"/>
  <c r="AZ126" i="3"/>
  <c r="AZ483" i="3"/>
  <c r="AZ263" i="3"/>
  <c r="AZ223" i="3"/>
  <c r="AZ422" i="3"/>
  <c r="AB31" i="39"/>
  <c r="U31" i="39"/>
  <c r="U25" i="37"/>
  <c r="AB25" i="37"/>
  <c r="AB29" i="33"/>
  <c r="U29" i="33"/>
  <c r="AZ585" i="3"/>
  <c r="S45" i="39"/>
  <c r="AA45" i="39"/>
  <c r="AA23" i="35"/>
  <c r="S23" i="35"/>
  <c r="W37" i="39"/>
  <c r="AC37" i="39"/>
  <c r="S33" i="36"/>
  <c r="AA33" i="36"/>
  <c r="W45" i="21"/>
  <c r="AC45" i="21"/>
  <c r="S30" i="34"/>
  <c r="AA30" i="34"/>
  <c r="AB32" i="36"/>
  <c r="U32" i="36"/>
  <c r="AZ542" i="3"/>
  <c r="AZ550" i="3"/>
  <c r="AC9" i="34"/>
  <c r="W9" i="34"/>
  <c r="U27" i="33"/>
  <c r="AB27" i="33"/>
  <c r="U38" i="37"/>
  <c r="AB38" i="37"/>
  <c r="G16" i="1"/>
  <c r="F10" i="39" s="1"/>
  <c r="AA10" i="39" s="1"/>
  <c r="C40" i="71"/>
  <c r="D39" i="71"/>
  <c r="D44" i="71"/>
  <c r="T44" i="71"/>
  <c r="AZ25" i="3"/>
  <c r="N65" i="71"/>
  <c r="N66" i="71"/>
  <c r="AC27" i="37"/>
  <c r="W27" i="37"/>
  <c r="W32" i="34"/>
  <c r="AC32" i="34"/>
  <c r="U12" i="34"/>
  <c r="AB12" i="34"/>
  <c r="U23" i="35"/>
  <c r="AB23" i="35"/>
  <c r="AA27" i="21"/>
  <c r="S27" i="21"/>
  <c r="S46" i="34"/>
  <c r="AA46" i="34"/>
  <c r="AA32" i="36"/>
  <c r="S32" i="36"/>
  <c r="W12" i="34"/>
  <c r="AC12" i="34"/>
  <c r="AZ527" i="3"/>
  <c r="AB9" i="34"/>
  <c r="U9" i="34"/>
  <c r="D121" i="9"/>
  <c r="D7" i="52" s="1"/>
  <c r="D6" i="52"/>
  <c r="S14" i="37"/>
  <c r="AA14" i="37"/>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C9" i="69"/>
  <c r="C9" i="68"/>
  <c r="E72" i="43"/>
  <c r="B70" i="43" s="1"/>
  <c r="E51" i="40"/>
  <c r="M14" i="1"/>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P28" i="43"/>
  <c r="B66" i="40" s="1"/>
  <c r="P25" i="43"/>
  <c r="P29" i="43"/>
  <c r="P27" i="43"/>
  <c r="B70" i="39" s="1"/>
  <c r="M11" i="67"/>
  <c r="J10" i="67" s="1"/>
  <c r="F11" i="15"/>
  <c r="M11" i="15"/>
  <c r="J10" i="15" s="1"/>
  <c r="F11" i="67"/>
  <c r="AE11" i="1"/>
  <c r="AE12" i="1"/>
  <c r="AE10" i="1"/>
  <c r="F43" i="15"/>
  <c r="F41" i="67"/>
  <c r="C16" i="83"/>
  <c r="F7" i="15"/>
  <c r="C16" i="67"/>
  <c r="C16" i="81"/>
  <c r="M29" i="15"/>
  <c r="C16" i="82"/>
  <c r="G1" i="73"/>
  <c r="J5" i="81" l="1"/>
  <c r="M7" i="15"/>
  <c r="J6" i="15" s="1"/>
  <c r="J18" i="15" s="1"/>
  <c r="F50" i="15"/>
  <c r="C6" i="15"/>
  <c r="C32" i="15" s="1"/>
  <c r="F71" i="15"/>
  <c r="E61" i="39"/>
  <c r="D31" i="71"/>
  <c r="C32" i="71"/>
  <c r="AP6" i="1"/>
  <c r="C36" i="69" s="1"/>
  <c r="M6" i="1"/>
  <c r="S7" i="36"/>
  <c r="J5" i="82"/>
  <c r="J26" i="82" s="1"/>
  <c r="AB7" i="36"/>
  <c r="T36" i="36" s="1"/>
  <c r="G36" i="36" s="1"/>
  <c r="C42" i="84"/>
  <c r="C41" i="84"/>
  <c r="E62" i="39"/>
  <c r="G26" i="43"/>
  <c r="D26" i="43" s="1"/>
  <c r="C25" i="43" s="1"/>
  <c r="C33" i="43" s="1"/>
  <c r="N94" i="46"/>
  <c r="F26" i="43"/>
  <c r="T15" i="84"/>
  <c r="V15" i="84" s="1"/>
  <c r="T14" i="84"/>
  <c r="V14" i="84" s="1"/>
  <c r="T2" i="84"/>
  <c r="V2" i="84" s="1"/>
  <c r="T3" i="84"/>
  <c r="V3" i="84" s="1"/>
  <c r="T10" i="84"/>
  <c r="V10" i="84" s="1"/>
  <c r="T7" i="84"/>
  <c r="V7" i="84" s="1"/>
  <c r="T4" i="84"/>
  <c r="V4" i="84" s="1"/>
  <c r="T8" i="84"/>
  <c r="V8" i="84" s="1"/>
  <c r="T13" i="84"/>
  <c r="V13" i="84" s="1"/>
  <c r="T12" i="84"/>
  <c r="V12" i="84" s="1"/>
  <c r="T5" i="84"/>
  <c r="V5" i="84" s="1"/>
  <c r="T16" i="84"/>
  <c r="V16" i="84" s="1"/>
  <c r="T9" i="84"/>
  <c r="V9" i="84" s="1"/>
  <c r="T6" i="84"/>
  <c r="V6" i="84" s="1"/>
  <c r="T11" i="84"/>
  <c r="V11" i="84" s="1"/>
  <c r="C40" i="84"/>
  <c r="C38" i="84"/>
  <c r="C37" i="84"/>
  <c r="C39" i="84"/>
  <c r="J5" i="83"/>
  <c r="J24" i="83" s="1"/>
  <c r="L56" i="83"/>
  <c r="Q52" i="83"/>
  <c r="F1" i="83"/>
  <c r="Q73" i="82"/>
  <c r="Q60" i="82"/>
  <c r="L56" i="81"/>
  <c r="F1" i="81"/>
  <c r="Q52" i="81"/>
  <c r="H26" i="43"/>
  <c r="N370" i="46"/>
  <c r="F26" i="84"/>
  <c r="Z7" i="84"/>
  <c r="J26" i="84"/>
  <c r="E26" i="84"/>
  <c r="G26" i="84"/>
  <c r="H26" i="84"/>
  <c r="B116" i="84"/>
  <c r="Q74" i="83"/>
  <c r="Q61" i="83"/>
  <c r="J18" i="82"/>
  <c r="J19" i="82"/>
  <c r="F1" i="82"/>
  <c r="Q52" i="82"/>
  <c r="C32" i="82"/>
  <c r="C33" i="82"/>
  <c r="Q74" i="81"/>
  <c r="Q61" i="81"/>
  <c r="C49" i="83"/>
  <c r="C61" i="83" s="1"/>
  <c r="Q61" i="82"/>
  <c r="Q74" i="82"/>
  <c r="C32" i="81"/>
  <c r="C33" i="81"/>
  <c r="E28" i="3"/>
  <c r="J18" i="83"/>
  <c r="J19" i="83"/>
  <c r="Q73" i="83"/>
  <c r="Q60" i="83"/>
  <c r="C32" i="83"/>
  <c r="C33" i="83"/>
  <c r="J18" i="81"/>
  <c r="J19" i="81"/>
  <c r="Q60" i="81"/>
  <c r="Q73" i="81"/>
  <c r="C49" i="81"/>
  <c r="C61" i="81" s="1"/>
  <c r="C10" i="83"/>
  <c r="C5" i="83" s="1"/>
  <c r="C53" i="83"/>
  <c r="C53" i="82"/>
  <c r="C48" i="82" s="1"/>
  <c r="C10" i="82"/>
  <c r="C5" i="82" s="1"/>
  <c r="J24" i="81"/>
  <c r="J26" i="81"/>
  <c r="C53" i="81"/>
  <c r="C10" i="81"/>
  <c r="C5" i="81" s="1"/>
  <c r="N11" i="91" s="1"/>
  <c r="Q74" i="67"/>
  <c r="C49" i="67"/>
  <c r="F1" i="67"/>
  <c r="J5" i="67"/>
  <c r="J24" i="67" s="1"/>
  <c r="Q73" i="67"/>
  <c r="C29" i="69"/>
  <c r="D27" i="69" s="1"/>
  <c r="C47" i="69"/>
  <c r="D45" i="69" s="1"/>
  <c r="E14" i="3"/>
  <c r="E117" i="3"/>
  <c r="E100" i="3"/>
  <c r="E142" i="3"/>
  <c r="E161" i="3"/>
  <c r="E228" i="3"/>
  <c r="E121" i="3"/>
  <c r="E87" i="3"/>
  <c r="E378" i="3"/>
  <c r="E131" i="3"/>
  <c r="E240" i="3"/>
  <c r="E483" i="3"/>
  <c r="E563" i="3"/>
  <c r="E337" i="3"/>
  <c r="E177" i="3"/>
  <c r="E51" i="3"/>
  <c r="E119" i="3"/>
  <c r="E201" i="3"/>
  <c r="E318" i="3"/>
  <c r="E285" i="3"/>
  <c r="E509" i="3"/>
  <c r="Z6" i="3"/>
  <c r="E124" i="3"/>
  <c r="E175" i="3"/>
  <c r="E571" i="3"/>
  <c r="E294" i="3"/>
  <c r="E448" i="3"/>
  <c r="E280" i="3"/>
  <c r="E319" i="3"/>
  <c r="E537" i="3"/>
  <c r="E163" i="3"/>
  <c r="E101" i="3"/>
  <c r="AY6" i="3"/>
  <c r="E215" i="3"/>
  <c r="E315" i="3"/>
  <c r="E45" i="3"/>
  <c r="E302" i="3"/>
  <c r="E266" i="3"/>
  <c r="E242" i="3"/>
  <c r="X6" i="3"/>
  <c r="E526" i="3"/>
  <c r="E503" i="3"/>
  <c r="E27" i="3"/>
  <c r="E229" i="3"/>
  <c r="E580" i="3"/>
  <c r="E92" i="3"/>
  <c r="E224" i="3"/>
  <c r="E16" i="3"/>
  <c r="E248" i="3"/>
  <c r="E132" i="3"/>
  <c r="E423" i="3"/>
  <c r="M6" i="3"/>
  <c r="E377" i="3"/>
  <c r="E587" i="3"/>
  <c r="E380" i="3"/>
  <c r="E515" i="3"/>
  <c r="E336" i="3"/>
  <c r="E366" i="3"/>
  <c r="E429" i="3"/>
  <c r="E321" i="3"/>
  <c r="E411" i="3"/>
  <c r="E127" i="3"/>
  <c r="E284" i="3"/>
  <c r="AI6" i="3"/>
  <c r="E135" i="3"/>
  <c r="E172" i="3"/>
  <c r="E189" i="3"/>
  <c r="AB6" i="3"/>
  <c r="E311" i="3"/>
  <c r="E579" i="3"/>
  <c r="E268" i="3"/>
  <c r="E572" i="3"/>
  <c r="E182"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64" i="3"/>
  <c r="E416" i="3"/>
  <c r="E90" i="3"/>
  <c r="E510" i="3"/>
  <c r="E490" i="3"/>
  <c r="E147" i="3"/>
  <c r="E398" i="3"/>
  <c r="E521" i="3"/>
  <c r="E222" i="3"/>
  <c r="E110" i="3"/>
  <c r="E19" i="3"/>
  <c r="E436"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64" i="3"/>
  <c r="L6" i="3"/>
  <c r="E62" i="3"/>
  <c r="E566" i="3"/>
  <c r="E65" i="3"/>
  <c r="E421" i="3"/>
  <c r="E138" i="3"/>
  <c r="E323"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39" i="3"/>
  <c r="E369" i="3"/>
  <c r="E94" i="3"/>
  <c r="E219" i="3"/>
  <c r="E275" i="3"/>
  <c r="E148" i="3"/>
  <c r="E246" i="3"/>
  <c r="E263" i="3"/>
  <c r="E535" i="3"/>
  <c r="E278" i="3"/>
  <c r="E335" i="3"/>
  <c r="E570" i="3"/>
  <c r="E247" i="3"/>
  <c r="AJ6" i="3"/>
  <c r="E217" i="3"/>
  <c r="E273"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47" i="3"/>
  <c r="E209" i="3"/>
  <c r="E250" i="3"/>
  <c r="E365" i="3"/>
  <c r="E482" i="3"/>
  <c r="E118" i="3"/>
  <c r="E487" i="3"/>
  <c r="E296" i="3"/>
  <c r="E200" i="3"/>
  <c r="E385" i="3"/>
  <c r="E191" i="3"/>
  <c r="E445" i="3"/>
  <c r="E69" i="3"/>
  <c r="E387" i="3"/>
  <c r="E514" i="3"/>
  <c r="E431" i="3"/>
  <c r="E322" i="3"/>
  <c r="E109" i="3"/>
  <c r="E211"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582" i="3"/>
  <c r="E520" i="3"/>
  <c r="E348" i="3"/>
  <c r="AQ6" i="3"/>
  <c r="E56" i="40"/>
  <c r="E325" i="3"/>
  <c r="E40" i="3"/>
  <c r="E220" i="3"/>
  <c r="E499" i="3"/>
  <c r="E354" i="3"/>
  <c r="E57" i="3"/>
  <c r="E312" i="3"/>
  <c r="E386" i="3"/>
  <c r="E155" i="3"/>
  <c r="E141" i="3"/>
  <c r="E20" i="3"/>
  <c r="E38" i="3"/>
  <c r="E376" i="3"/>
  <c r="E115" i="3"/>
  <c r="F28" i="12"/>
  <c r="C29" i="12" s="1"/>
  <c r="D28" i="12" s="1"/>
  <c r="S10" i="39"/>
  <c r="F27" i="11"/>
  <c r="C29" i="11" s="1"/>
  <c r="D27" i="11" s="1"/>
  <c r="F27" i="68"/>
  <c r="C29" i="68" s="1"/>
  <c r="D27" i="68" s="1"/>
  <c r="E289" i="3"/>
  <c r="E170" i="3"/>
  <c r="E202" i="3"/>
  <c r="E493" i="3"/>
  <c r="E308" i="3"/>
  <c r="E60" i="40"/>
  <c r="E16" i="6"/>
  <c r="E265" i="3"/>
  <c r="E50" i="3"/>
  <c r="E112" i="3"/>
  <c r="E299" i="3"/>
  <c r="E79" i="3"/>
  <c r="E333" i="3"/>
  <c r="E401" i="3"/>
  <c r="E507" i="3"/>
  <c r="E329" i="3"/>
  <c r="E497" i="3"/>
  <c r="E198" i="3"/>
  <c r="E536" i="3"/>
  <c r="E584" i="3"/>
  <c r="E297" i="3"/>
  <c r="E149" i="3"/>
  <c r="E48" i="3"/>
  <c r="E446" i="3"/>
  <c r="E500" i="3"/>
  <c r="E244" i="3"/>
  <c r="E24" i="3"/>
  <c r="E58" i="3"/>
  <c r="E460" i="3"/>
  <c r="E165" i="3"/>
  <c r="E218" i="3"/>
  <c r="E340" i="3"/>
  <c r="E36" i="3"/>
  <c r="E234" i="3"/>
  <c r="E473" i="3"/>
  <c r="E226" i="3"/>
  <c r="E419" i="3"/>
  <c r="E543" i="3"/>
  <c r="E35" i="3"/>
  <c r="E22" i="3"/>
  <c r="E67" i="3"/>
  <c r="E63" i="39"/>
  <c r="E65" i="39" s="1"/>
  <c r="E105" i="3"/>
  <c r="E158" i="3"/>
  <c r="E428" i="3"/>
  <c r="E556" i="3"/>
  <c r="E34" i="3"/>
  <c r="E63" i="3"/>
  <c r="E409" i="3"/>
  <c r="E552" i="3"/>
  <c r="E524" i="3"/>
  <c r="E176" i="3"/>
  <c r="E364" i="3"/>
  <c r="E123" i="3"/>
  <c r="E392" i="3"/>
  <c r="E194" i="3"/>
  <c r="E15" i="3"/>
  <c r="E372" i="3"/>
  <c r="E108" i="3"/>
  <c r="AH6" i="3"/>
  <c r="E486" i="3"/>
  <c r="E116" i="3"/>
  <c r="E49" i="3"/>
  <c r="E356" i="3"/>
  <c r="E405" i="3"/>
  <c r="E18" i="3"/>
  <c r="E68" i="3"/>
  <c r="E95" i="3"/>
  <c r="E52" i="3"/>
  <c r="E339" i="3"/>
  <c r="E137" i="3"/>
  <c r="E455" i="3"/>
  <c r="E43" i="3"/>
  <c r="E276" i="3"/>
  <c r="E25" i="3"/>
  <c r="E498" i="3"/>
  <c r="E422" i="3"/>
  <c r="E564" i="3"/>
  <c r="E223" i="3"/>
  <c r="E80" i="3"/>
  <c r="E190" i="3"/>
  <c r="E41" i="3"/>
  <c r="T6" i="3"/>
  <c r="E86" i="3"/>
  <c r="E494" i="3"/>
  <c r="E84" i="3"/>
  <c r="E417" i="3"/>
  <c r="E60" i="3"/>
  <c r="E346" i="3"/>
  <c r="E178" i="3"/>
  <c r="E463" i="3"/>
  <c r="J6" i="3"/>
  <c r="E440" i="3"/>
  <c r="E427" i="3"/>
  <c r="E393" i="3"/>
  <c r="E188" i="3"/>
  <c r="E326" i="3"/>
  <c r="E232" i="3"/>
  <c r="E324" i="3"/>
  <c r="E412" i="3"/>
  <c r="E225" i="3"/>
  <c r="E470" i="3"/>
  <c r="E512" i="3"/>
  <c r="E197" i="3"/>
  <c r="AF6" i="3"/>
  <c r="E174" i="3"/>
  <c r="E391" i="3"/>
  <c r="E283" i="3"/>
  <c r="E184" i="3"/>
  <c r="E267" i="3"/>
  <c r="E241" i="3"/>
  <c r="E430" i="3"/>
  <c r="E83" i="3"/>
  <c r="E370" i="3"/>
  <c r="E342" i="3"/>
  <c r="E78" i="3"/>
  <c r="E243" i="3"/>
  <c r="E420" i="3"/>
  <c r="E408" i="3"/>
  <c r="E173" i="3"/>
  <c r="E102" i="3"/>
  <c r="E235" i="3"/>
  <c r="AL6" i="3"/>
  <c r="E309" i="3"/>
  <c r="E233" i="3"/>
  <c r="E310" i="3"/>
  <c r="E389" i="3"/>
  <c r="E554" i="3"/>
  <c r="H10" i="39"/>
  <c r="U10" i="39" s="1"/>
  <c r="H10" i="40"/>
  <c r="AB10" i="40" s="1"/>
  <c r="J10" i="40"/>
  <c r="AC10" i="40" s="1"/>
  <c r="J10" i="39"/>
  <c r="W10" i="39" s="1"/>
  <c r="F10" i="40"/>
  <c r="S10" i="40" s="1"/>
  <c r="Q61" i="15"/>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212" i="3"/>
  <c r="E3" i="6"/>
  <c r="C34" i="34" s="1"/>
  <c r="E371" i="3"/>
  <c r="E160" i="3"/>
  <c r="E467" i="3"/>
  <c r="E59" i="3"/>
  <c r="E349" i="3"/>
  <c r="E258" i="3"/>
  <c r="E37" i="3"/>
  <c r="E491" i="3"/>
  <c r="AP6" i="3"/>
  <c r="E466" i="3"/>
  <c r="E575" i="3"/>
  <c r="E539" i="3"/>
  <c r="J5" i="15"/>
  <c r="J24" i="15" s="1"/>
  <c r="Q60" i="15"/>
  <c r="C49" i="15"/>
  <c r="F1" i="15"/>
  <c r="Q52" i="15"/>
  <c r="I3" i="6"/>
  <c r="E541" i="3"/>
  <c r="R6" i="3"/>
  <c r="E199" i="3"/>
  <c r="T40" i="71"/>
  <c r="D40" i="71"/>
  <c r="C26" i="71"/>
  <c r="D26" i="71" s="1"/>
  <c r="D27" i="71"/>
  <c r="D56" i="71"/>
  <c r="T56" i="71"/>
  <c r="D36" i="71"/>
  <c r="T36" i="7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6" i="15"/>
  <c r="AE7" i="1"/>
  <c r="M27" i="67"/>
  <c r="AE9" i="1"/>
  <c r="M27" i="81"/>
  <c r="C17" i="81"/>
  <c r="M27" i="82"/>
  <c r="AE6" i="1"/>
  <c r="AE8" i="1"/>
  <c r="M27" i="83"/>
  <c r="AG6" i="1" l="1"/>
  <c r="C10" i="15"/>
  <c r="C5" i="15" s="1"/>
  <c r="M11" i="91" s="1"/>
  <c r="M18" i="9"/>
  <c r="B118" i="9" s="1"/>
  <c r="D32" i="71"/>
  <c r="T32" i="71"/>
  <c r="D14" i="12"/>
  <c r="C17" i="4"/>
  <c r="B4" i="52" s="1"/>
  <c r="B43" i="72" s="1"/>
  <c r="D3" i="21"/>
  <c r="O6" i="1"/>
  <c r="O16" i="1" s="1"/>
  <c r="J24" i="82"/>
  <c r="G47" i="37"/>
  <c r="H47" i="37" s="1"/>
  <c r="G42" i="84"/>
  <c r="I42" i="84" s="1"/>
  <c r="E42" i="84"/>
  <c r="G41" i="84"/>
  <c r="I41" i="84" s="1"/>
  <c r="E41" i="84"/>
  <c r="J26" i="83"/>
  <c r="J34" i="34"/>
  <c r="H34" i="34"/>
  <c r="F34" i="34"/>
  <c r="D3" i="37"/>
  <c r="D19" i="11"/>
  <c r="C19" i="11" s="1"/>
  <c r="D37" i="11"/>
  <c r="D3" i="33"/>
  <c r="D3" i="34"/>
  <c r="E6" i="6"/>
  <c r="E40" i="84"/>
  <c r="G40" i="84"/>
  <c r="I40" i="84" s="1"/>
  <c r="G39" i="84"/>
  <c r="I39" i="84" s="1"/>
  <c r="E39" i="84"/>
  <c r="E37" i="84"/>
  <c r="G37" i="84"/>
  <c r="I37" i="84" s="1"/>
  <c r="E38" i="84"/>
  <c r="G38" i="84"/>
  <c r="I38" i="84" s="1"/>
  <c r="E8" i="70"/>
  <c r="B14" i="74"/>
  <c r="B1" i="74" s="1"/>
  <c r="C48" i="81"/>
  <c r="C60" i="81" s="1"/>
  <c r="D26" i="84"/>
  <c r="C25" i="84" s="1"/>
  <c r="C33" i="84" s="1"/>
  <c r="C48" i="83"/>
  <c r="C66" i="83" s="1"/>
  <c r="I119" i="84"/>
  <c r="J119" i="84" s="1"/>
  <c r="K119" i="84" s="1"/>
  <c r="L119" i="84" s="1"/>
  <c r="M119" i="84" s="1"/>
  <c r="D120" i="84"/>
  <c r="E120" i="84" s="1"/>
  <c r="F120" i="84" s="1"/>
  <c r="G120" i="84" s="1"/>
  <c r="H120" i="84" s="1"/>
  <c r="B120" i="84"/>
  <c r="C120"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19" i="84"/>
  <c r="C119" i="84" s="1"/>
  <c r="I120" i="84"/>
  <c r="J120" i="84" s="1"/>
  <c r="K120" i="84" s="1"/>
  <c r="L120" i="84" s="1"/>
  <c r="M120" i="84" s="1"/>
  <c r="D121" i="84"/>
  <c r="E121" i="84" s="1"/>
  <c r="F121" i="84" s="1"/>
  <c r="G121" i="84"/>
  <c r="H121" i="84" s="1"/>
  <c r="B122" i="84"/>
  <c r="C122" i="84" s="1"/>
  <c r="O36" i="84"/>
  <c r="N36" i="84"/>
  <c r="Q36" i="84"/>
  <c r="M36" i="84"/>
  <c r="L37" i="84"/>
  <c r="P36" i="84"/>
  <c r="F24" i="82"/>
  <c r="C24" i="82" s="1"/>
  <c r="F24" i="83"/>
  <c r="C38" i="83"/>
  <c r="C48" i="67"/>
  <c r="C60" i="67" s="1"/>
  <c r="C38" i="82"/>
  <c r="C66" i="82"/>
  <c r="C60" i="82"/>
  <c r="L36" i="43"/>
  <c r="L37" i="43" s="1"/>
  <c r="Q37" i="43" s="1"/>
  <c r="F24" i="81"/>
  <c r="C38" i="81"/>
  <c r="C47" i="68"/>
  <c r="D45" i="68" s="1"/>
  <c r="C47" i="11"/>
  <c r="D45" i="11" s="1"/>
  <c r="AB10" i="39"/>
  <c r="U10" i="40"/>
  <c r="AC10" i="39"/>
  <c r="H6" i="3"/>
  <c r="W10" i="40"/>
  <c r="F45" i="68"/>
  <c r="AC6" i="3"/>
  <c r="AA10" i="40"/>
  <c r="F25" i="12"/>
  <c r="C26" i="12" s="1"/>
  <c r="D25" i="12" s="1"/>
  <c r="F22" i="68"/>
  <c r="C44" i="68" s="1"/>
  <c r="D41" i="68" s="1"/>
  <c r="C48" i="15"/>
  <c r="C66" i="15" s="1"/>
  <c r="D116" i="43"/>
  <c r="F22" i="11"/>
  <c r="C24" i="11" s="1"/>
  <c r="F24" i="67"/>
  <c r="C24" i="67" s="1"/>
  <c r="F24" i="15"/>
  <c r="C24" i="15" s="1"/>
  <c r="F22" i="69"/>
  <c r="F41" i="69"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M27" i="15"/>
  <c r="F41" i="82"/>
  <c r="F41" i="83"/>
  <c r="F41" i="15"/>
  <c r="C17" i="83"/>
  <c r="F41" i="81"/>
  <c r="C17" i="15"/>
  <c r="C14" i="67"/>
  <c r="C17" i="82"/>
  <c r="C14" i="81"/>
  <c r="C17" i="67"/>
  <c r="C38" i="15" l="1"/>
  <c r="H21" i="6"/>
  <c r="AA34" i="34"/>
  <c r="R49" i="34" s="1"/>
  <c r="S34" i="34"/>
  <c r="AB34" i="34"/>
  <c r="T49" i="34" s="1"/>
  <c r="G49" i="34" s="1"/>
  <c r="U34" i="34"/>
  <c r="AC34" i="34"/>
  <c r="V49" i="34" s="1"/>
  <c r="I49" i="34" s="1"/>
  <c r="I53" i="34" s="1"/>
  <c r="J53" i="34" s="1"/>
  <c r="W34" i="34"/>
  <c r="F69" i="15"/>
  <c r="F69" i="81"/>
  <c r="J29" i="81"/>
  <c r="J29" i="82"/>
  <c r="F69" i="82"/>
  <c r="F69" i="83"/>
  <c r="J29" i="83"/>
  <c r="C66" i="81"/>
  <c r="O36" i="43"/>
  <c r="C15" i="81"/>
  <c r="C18" i="81"/>
  <c r="C14" i="74"/>
  <c r="B2" i="74" s="1"/>
  <c r="D7" i="74" s="1"/>
  <c r="E7" i="70"/>
  <c r="C118" i="84"/>
  <c r="D116" i="84"/>
  <c r="D30" i="6"/>
  <c r="H24" i="6"/>
  <c r="R24" i="6" s="1"/>
  <c r="R11" i="1" s="1"/>
  <c r="C60" i="83"/>
  <c r="E33" i="84"/>
  <c r="C30" i="84" s="1"/>
  <c r="B2" i="84" s="1"/>
  <c r="B3" i="84" s="1"/>
  <c r="C34" i="84"/>
  <c r="E34" i="84" s="1"/>
  <c r="C31" i="84" s="1"/>
  <c r="E6" i="3"/>
  <c r="O37" i="84"/>
  <c r="N37" i="84"/>
  <c r="Q37" i="84"/>
  <c r="M37" i="84"/>
  <c r="P37" i="84"/>
  <c r="C66" i="67"/>
  <c r="M37" i="43"/>
  <c r="P36" i="43"/>
  <c r="C24" i="83"/>
  <c r="N37" i="43"/>
  <c r="P37" i="43"/>
  <c r="M36" i="43"/>
  <c r="O37" i="43"/>
  <c r="N36" i="43"/>
  <c r="Q36" i="43"/>
  <c r="C24" i="81"/>
  <c r="C60" i="15"/>
  <c r="H25" i="6"/>
  <c r="R25" i="6" s="1"/>
  <c r="R12" i="1" s="1"/>
  <c r="C44" i="11"/>
  <c r="D41" i="11" s="1"/>
  <c r="C26" i="68"/>
  <c r="D22" i="68" s="1"/>
  <c r="F41" i="68"/>
  <c r="C26" i="11"/>
  <c r="D22" i="11" s="1"/>
  <c r="C25" i="11"/>
  <c r="C23" i="11"/>
  <c r="C44" i="69"/>
  <c r="D41" i="69" s="1"/>
  <c r="C26" i="69"/>
  <c r="D22" i="69" s="1"/>
  <c r="C16" i="71"/>
  <c r="M23" i="43" s="1"/>
  <c r="D17" i="71"/>
  <c r="C18" i="67"/>
  <c r="C15" i="67"/>
  <c r="H23" i="6"/>
  <c r="R23" i="6" s="1"/>
  <c r="R10" i="1" s="1"/>
  <c r="C30" i="43"/>
  <c r="B2"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C15" i="12"/>
  <c r="C12" i="12"/>
  <c r="D27" i="6"/>
  <c r="D31" i="6" s="1"/>
  <c r="R21" i="6"/>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4" i="83"/>
  <c r="C14" i="82"/>
  <c r="G53" i="34" l="1"/>
  <c r="H53" i="34" s="1"/>
  <c r="G54" i="34"/>
  <c r="H54" i="34" s="1"/>
  <c r="R50" i="34"/>
  <c r="E49" i="34"/>
  <c r="C19" i="81"/>
  <c r="C20" i="81" s="1"/>
  <c r="C23" i="81" s="1"/>
  <c r="C18" i="82"/>
  <c r="C15" i="82"/>
  <c r="C18" i="83"/>
  <c r="C15" i="83"/>
  <c r="B3" i="43"/>
  <c r="C6" i="68"/>
  <c r="C7" i="68" s="1"/>
  <c r="H9" i="68"/>
  <c r="C22" i="11"/>
  <c r="C31" i="11" s="1"/>
  <c r="E2" i="70"/>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U16" i="71" l="1"/>
  <c r="M23" i="84"/>
  <c r="C50" i="34"/>
  <c r="C49" i="34"/>
  <c r="I54" i="34"/>
  <c r="J54" i="34" s="1"/>
  <c r="E53" i="34"/>
  <c r="F53" i="34" s="1"/>
  <c r="E54" i="34"/>
  <c r="F54" i="34" s="1"/>
  <c r="C19" i="82"/>
  <c r="C20" i="82" s="1"/>
  <c r="C26" i="82" s="1"/>
  <c r="C26" i="81"/>
  <c r="C29" i="81" s="1"/>
  <c r="Q49" i="81" s="1"/>
  <c r="C19" i="83"/>
  <c r="C20" i="83" s="1"/>
  <c r="C26" i="83"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36" i="83" s="1"/>
  <c r="J14" i="81"/>
  <c r="J13" i="81" s="1"/>
  <c r="J23" i="81" s="1"/>
  <c r="C13" i="81"/>
  <c r="Q70" i="81" s="1"/>
  <c r="C57" i="81"/>
  <c r="C64" i="81" s="1"/>
  <c r="J59" i="81"/>
  <c r="J60" i="81" s="1"/>
  <c r="Q48" i="81" s="1"/>
  <c r="C36" i="81"/>
  <c r="C23" i="82"/>
  <c r="C29" i="82" s="1"/>
  <c r="C20" i="68"/>
  <c r="C28" i="68" s="1"/>
  <c r="C27" i="68" s="1"/>
  <c r="C22" i="12"/>
  <c r="C27" i="12" s="1"/>
  <c r="C25" i="12" s="1"/>
  <c r="R8" i="1"/>
  <c r="R9" i="1"/>
  <c r="R7" i="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3"/>
  <c r="M21" i="82"/>
  <c r="F35" i="83"/>
  <c r="F35" i="67"/>
  <c r="M21" i="81"/>
  <c r="M21" i="15"/>
  <c r="F35" i="82"/>
  <c r="M21" i="67"/>
  <c r="F35" i="15"/>
  <c r="F35" i="81"/>
  <c r="E48" i="21" l="1"/>
  <c r="I53" i="21" s="1"/>
  <c r="J53" i="21" s="1"/>
  <c r="C75" i="81"/>
  <c r="J14" i="83"/>
  <c r="J13" i="83" s="1"/>
  <c r="J23" i="83" s="1"/>
  <c r="C13" i="83"/>
  <c r="C56" i="83" s="1"/>
  <c r="C65" i="83" s="1"/>
  <c r="Q49" i="83"/>
  <c r="C57" i="83"/>
  <c r="C64" i="83" s="1"/>
  <c r="J59" i="83"/>
  <c r="J60" i="83" s="1"/>
  <c r="Q48" i="83" s="1"/>
  <c r="C25" i="68"/>
  <c r="C22" i="68" s="1"/>
  <c r="C31" i="68" s="1"/>
  <c r="J22" i="81"/>
  <c r="C37" i="81"/>
  <c r="C56" i="81"/>
  <c r="C65" i="81" s="1"/>
  <c r="C36" i="82"/>
  <c r="C13" i="82"/>
  <c r="Q49" i="82"/>
  <c r="J14" i="82"/>
  <c r="J59" i="82"/>
  <c r="J60" i="82" s="1"/>
  <c r="Q48" i="82" s="1"/>
  <c r="C57" i="82"/>
  <c r="C64" i="82" s="1"/>
  <c r="C30" i="12"/>
  <c r="C28" i="12" s="1"/>
  <c r="C32" i="12" s="1"/>
  <c r="B2" i="12" s="1"/>
  <c r="B3" i="12" s="1"/>
  <c r="F63" i="83"/>
  <c r="C62" i="83" s="1"/>
  <c r="C59" i="83" s="1"/>
  <c r="C34" i="83"/>
  <c r="C31" i="83" s="1"/>
  <c r="J20" i="83"/>
  <c r="J17" i="83" s="1"/>
  <c r="F63" i="81"/>
  <c r="C62" i="81" s="1"/>
  <c r="C59" i="81" s="1"/>
  <c r="C34" i="81"/>
  <c r="C31" i="81" s="1"/>
  <c r="J20" i="81"/>
  <c r="J17" i="81" s="1"/>
  <c r="J20" i="82"/>
  <c r="J17" i="82" s="1"/>
  <c r="C34" i="82"/>
  <c r="C31" i="82" s="1"/>
  <c r="F63" i="82"/>
  <c r="C62" i="82" s="1"/>
  <c r="C59" i="82"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K65" i="40"/>
  <c r="L63" i="40"/>
  <c r="G43" i="35" l="1"/>
  <c r="H43" i="35" s="1"/>
  <c r="J22" i="83"/>
  <c r="J16" i="83" s="1"/>
  <c r="J25" i="83" s="1"/>
  <c r="C37" i="83"/>
  <c r="C30" i="83" s="1"/>
  <c r="C39" i="83" s="1"/>
  <c r="Q69" i="83" s="1"/>
  <c r="Q70" i="83"/>
  <c r="C75" i="83"/>
  <c r="J16" i="81"/>
  <c r="J25" i="81" s="1"/>
  <c r="C58" i="83"/>
  <c r="C67" i="83" s="1"/>
  <c r="C68" i="83" s="1"/>
  <c r="C71" i="83" s="1"/>
  <c r="C58" i="81"/>
  <c r="C67" i="81" s="1"/>
  <c r="C68" i="81" s="1"/>
  <c r="C71" i="81" s="1"/>
  <c r="C30" i="81"/>
  <c r="C39" i="81" s="1"/>
  <c r="C80" i="81" s="1"/>
  <c r="C79" i="81" s="1"/>
  <c r="J22" i="82"/>
  <c r="J13" i="82"/>
  <c r="J23" i="82" s="1"/>
  <c r="C75" i="82"/>
  <c r="C37" i="82"/>
  <c r="C30" i="82" s="1"/>
  <c r="C39" i="82" s="1"/>
  <c r="Q70" i="82"/>
  <c r="C56" i="82"/>
  <c r="C65" i="82" s="1"/>
  <c r="C58" i="82" s="1"/>
  <c r="C67" i="82" s="1"/>
  <c r="C68" i="82" s="1"/>
  <c r="C71" i="82" s="1"/>
  <c r="C52" i="68"/>
  <c r="B2" i="68" s="1"/>
  <c r="B3" i="68" s="1"/>
  <c r="L57" i="83"/>
  <c r="L60" i="83" s="1"/>
  <c r="L46" i="83" s="1"/>
  <c r="L57" i="81"/>
  <c r="L60" i="81" s="1"/>
  <c r="L46" i="81" s="1"/>
  <c r="L57" i="82"/>
  <c r="L60" i="82" s="1"/>
  <c r="L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L51" i="82"/>
  <c r="C80" i="83" l="1"/>
  <c r="C79" i="83" s="1"/>
  <c r="Q68" i="83"/>
  <c r="C40" i="81"/>
  <c r="C43" i="81" s="1"/>
  <c r="Q69" i="81"/>
  <c r="Q68" i="81" s="1"/>
  <c r="C40" i="83"/>
  <c r="B2" i="83" s="1"/>
  <c r="B3" i="83" s="1"/>
  <c r="C57" i="68"/>
  <c r="Q67" i="83"/>
  <c r="H38" i="83"/>
  <c r="J16" i="82"/>
  <c r="J25" i="82" s="1"/>
  <c r="H39" i="81"/>
  <c r="Q67" i="82"/>
  <c r="H41" i="82"/>
  <c r="Q69" i="82"/>
  <c r="Q68" i="82" s="1"/>
  <c r="C80" i="82"/>
  <c r="C79" i="82" s="1"/>
  <c r="C40" i="82"/>
  <c r="Q47" i="82" s="1"/>
  <c r="Q53" i="82" s="1"/>
  <c r="Q57" i="83"/>
  <c r="Q66" i="83"/>
  <c r="Q57" i="82"/>
  <c r="Q57" i="81"/>
  <c r="Q66" i="82"/>
  <c r="Q66" i="81"/>
  <c r="C10" i="7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81"/>
  <c r="L51" i="67"/>
  <c r="D2" i="33"/>
  <c r="Q67" i="81" l="1"/>
  <c r="Q56" i="81"/>
  <c r="Q62" i="81" s="1"/>
  <c r="Q47" i="81"/>
  <c r="Q53" i="81" s="1"/>
  <c r="B2" i="81"/>
  <c r="B3" i="81" s="1"/>
  <c r="Q65" i="81"/>
  <c r="Q75" i="81" s="1"/>
  <c r="C46" i="81"/>
  <c r="C83" i="81"/>
  <c r="C82" i="81" s="1"/>
  <c r="C46" i="82"/>
  <c r="Q47" i="83"/>
  <c r="Q53" i="83" s="1"/>
  <c r="Q65" i="83"/>
  <c r="Q75" i="83" s="1"/>
  <c r="C43" i="83"/>
  <c r="C46" i="83"/>
  <c r="Q56" i="83"/>
  <c r="Q62" i="83" s="1"/>
  <c r="C83" i="83"/>
  <c r="C82" i="83" s="1"/>
  <c r="C56" i="68"/>
  <c r="Q65" i="82"/>
  <c r="Q75" i="82" s="1"/>
  <c r="C83" i="82"/>
  <c r="C82" i="82" s="1"/>
  <c r="C43" i="82"/>
  <c r="B2" i="82"/>
  <c r="B3" i="82" s="1"/>
  <c r="Q56" i="82"/>
  <c r="Q62" i="82"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11" i="1"/>
  <c r="AO8" i="1"/>
  <c r="AO10" i="1"/>
  <c r="AO9" i="1"/>
  <c r="AO7" i="1"/>
  <c r="C21" i="9" l="1"/>
  <c r="C102"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G19" i="9"/>
  <c r="G21" i="9" s="1"/>
  <c r="D21" i="9"/>
  <c r="B3" i="70"/>
  <c r="D6" i="71"/>
  <c r="C5" i="71"/>
  <c r="C42" i="40"/>
  <c r="C43" i="40"/>
  <c r="E47" i="40"/>
  <c r="F47" i="40" s="1"/>
  <c r="E46" i="40"/>
  <c r="F46" i="40" s="1"/>
  <c r="I47" i="40"/>
  <c r="J47" i="40" s="1"/>
  <c r="D20" i="9"/>
  <c r="D5" i="71" l="1"/>
  <c r="M24" i="43" s="1"/>
  <c r="M24" i="84"/>
  <c r="G20" i="9"/>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G118" i="9" l="1"/>
  <c r="G4" i="52" l="1"/>
  <c r="B52" i="72" s="1"/>
  <c r="F118" i="9"/>
  <c r="I118" i="9"/>
  <c r="F119" i="9" l="1"/>
  <c r="F5" i="52" s="1"/>
  <c r="B53" i="72" s="1"/>
  <c r="F4" i="52"/>
  <c r="B51" i="72" s="1"/>
  <c r="C105" i="9"/>
  <c r="H118" i="9"/>
  <c r="E118" i="9"/>
  <c r="H102" i="9"/>
  <c r="D7" i="53" s="1"/>
  <c r="B21" i="72" s="1"/>
  <c r="I4" i="52"/>
  <c r="E14" i="74"/>
  <c r="C104" i="9" l="1"/>
  <c r="H119" i="9"/>
  <c r="H5" i="52" s="1"/>
  <c r="H101" i="9"/>
  <c r="H4" i="52"/>
  <c r="D14" i="74"/>
  <c r="E4" i="52"/>
  <c r="B48" i="72" s="1"/>
  <c r="D118" i="9"/>
  <c r="D4" i="52" l="1"/>
  <c r="B47" i="72" s="1"/>
  <c r="D119" i="9"/>
  <c r="D5" i="52" s="1"/>
  <c r="B49" i="72" s="1"/>
  <c r="H107" i="9"/>
  <c r="D5" i="53"/>
  <c r="M48" i="9"/>
  <c r="D45" i="9"/>
  <c r="F14" i="74"/>
  <c r="B5" i="74"/>
  <c r="D59" i="9"/>
  <c r="M55" i="9" s="1"/>
  <c r="R54" i="9" l="1"/>
  <c r="G14" i="74"/>
  <c r="B6" i="74" s="1"/>
  <c r="H108" i="9"/>
  <c r="D15" i="53" s="1"/>
  <c r="B31" i="72" s="1"/>
  <c r="D13" i="53"/>
  <c r="D122" i="9"/>
  <c r="M49" i="9"/>
  <c r="C5" i="74"/>
  <c r="D5" i="74"/>
  <c r="D6" i="53"/>
  <c r="B22" i="72" s="1"/>
  <c r="B20" i="72"/>
  <c r="C64" i="9"/>
  <c r="C63" i="9" s="1"/>
  <c r="C67" i="9" s="1"/>
  <c r="C68" i="9" s="1"/>
  <c r="D54" i="9" s="1"/>
  <c r="D48" i="9" s="1"/>
  <c r="M52" i="9" s="1"/>
  <c r="R52" i="9" s="1"/>
  <c r="C93" i="9"/>
  <c r="C86" i="9" s="1"/>
  <c r="D53" i="9"/>
  <c r="C85" i="9"/>
  <c r="D55" i="9"/>
  <c r="M53" i="9" s="1"/>
  <c r="R53" i="9" s="1"/>
  <c r="D52" i="9"/>
  <c r="C72" i="9"/>
  <c r="C78" i="9"/>
  <c r="C73" i="9" s="1"/>
  <c r="R57" i="9" l="1"/>
  <c r="R59" i="9" s="1"/>
  <c r="I14" i="74" s="1"/>
  <c r="S57" i="9"/>
  <c r="C79" i="9"/>
  <c r="C80" i="9" s="1"/>
  <c r="E80" i="9" s="1"/>
  <c r="E81" i="9" s="1"/>
  <c r="B30" i="72"/>
  <c r="D14" i="53"/>
  <c r="B32" i="72" s="1"/>
  <c r="D123" i="9"/>
  <c r="D9" i="52" s="1"/>
  <c r="D8" i="52"/>
  <c r="C95" i="9"/>
  <c r="L67" i="9"/>
  <c r="M67" i="9" s="1"/>
  <c r="L66" i="9"/>
  <c r="M66" i="9" s="1"/>
  <c r="L68" i="9"/>
  <c r="M68" i="9" s="1"/>
  <c r="L64" i="9"/>
  <c r="M64" i="9" s="1"/>
  <c r="L65" i="9"/>
  <c r="M65" i="9" s="1"/>
  <c r="L63" i="9"/>
  <c r="M63" i="9" s="1"/>
  <c r="D6" i="74"/>
  <c r="C6" i="74"/>
  <c r="C81" i="9" l="1"/>
  <c r="M69" i="9"/>
  <c r="N69" i="9" s="1"/>
  <c r="C96" i="9"/>
  <c r="E96" i="9" s="1"/>
  <c r="E97" i="9" s="1"/>
  <c r="C97" i="9" l="1"/>
  <c r="D58" i="9" s="1"/>
  <c r="D56" i="9" s="1"/>
  <c r="M54" i="9" s="1"/>
  <c r="N57" i="9" s="1"/>
  <c r="B8" i="74"/>
  <c r="D8" i="74" s="1"/>
  <c r="N59" i="9" l="1"/>
  <c r="P57" i="9"/>
  <c r="N58" i="9"/>
  <c r="N61" i="9" l="1"/>
  <c r="H112" i="9" s="1"/>
  <c r="H111" i="9"/>
  <c r="N60" i="9"/>
  <c r="D19" i="53" l="1"/>
  <c r="D126" i="9"/>
  <c r="D21" i="53"/>
  <c r="B39" i="72" s="1"/>
  <c r="C8" i="74"/>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C16" authorId="1" shapeId="0" xr:uid="{00000000-0006-0000-3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200-000004000000}">
      <text>
        <r>
          <rPr>
            <sz val="12"/>
            <color indexed="81"/>
            <rFont val="宋体"/>
            <family val="3"/>
            <charset val="134"/>
          </rPr>
          <t>1.05~1.1</t>
        </r>
        <r>
          <rPr>
            <sz val="9"/>
            <color indexed="81"/>
            <rFont val="宋体"/>
            <family val="3"/>
            <charset val="134"/>
          </rPr>
          <t xml:space="preserve">
</t>
        </r>
      </text>
    </comment>
    <comment ref="E16" authorId="1" shapeId="0" xr:uid="{00000000-0006-0000-3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color indexed="81"/>
            <rFont val="宋体"/>
            <family val="3"/>
            <charset val="134"/>
          </rPr>
          <t xml:space="preserve">需在此处填写剩余土地年限
</t>
        </r>
      </text>
    </comment>
    <comment ref="C111"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<sst xmlns="http://schemas.openxmlformats.org/spreadsheetml/2006/main" count="11067" uniqueCount="3925">
  <si>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</si>
  <si>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</si>
  <si>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</si>
  <si>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</si>
  <si>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</si>
  <si>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</si>
  <si>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</si>
  <si>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</si>
  <si>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</si>
  <si>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</si>
  <si>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</si>
  <si>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</si>
  <si>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</si>
  <si>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</si>
  <si>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</si>
  <si>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</si>
  <si>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</si>
  <si>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</si>
  <si>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</si>
  <si>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</si>
  <si>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</si>
  <si>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</si>
  <si>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</si>
  <si>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</si>
  <si>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</si>
  <si>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</si>
  <si>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</si>
  <si>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</si>
  <si>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</si>
  <si>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</si>
  <si>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</si>
  <si>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</si>
  <si>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</si>
  <si>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</si>
  <si>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</si>
  <si>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</si>
  <si>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</si>
  <si>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</si>
  <si>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</si>
  <si>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</si>
  <si>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</si>
  <si>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</si>
  <si>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</si>
  <si>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</si>
  <si>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</si>
  <si>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</si>
  <si>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</si>
  <si>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</si>
  <si>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</si>
  <si>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</si>
  <si>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</si>
  <si>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</si>
  <si>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</si>
  <si>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</si>
  <si>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</si>
  <si>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</si>
  <si>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</si>
  <si>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</si>
  <si>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</si>
  <si>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</si>
  <si>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</si>
  <si>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</si>
  <si>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</si>
  <si>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</si>
  <si>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</si>
  <si>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</si>
  <si>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</si>
  <si>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</si>
  <si>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</si>
  <si>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</si>
  <si>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</si>
  <si>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</si>
  <si>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</si>
  <si>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</si>
  <si>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</si>
  <si>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</si>
  <si>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</si>
  <si>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</si>
  <si>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</si>
  <si>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</si>
  <si>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</si>
  <si>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</si>
  <si>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</si>
  <si>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</si>
  <si>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</si>
  <si>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</si>
  <si>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</si>
  <si>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</si>
  <si>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</si>
  <si>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</si>
  <si>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</si>
  <si>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</si>
  <si>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</si>
  <si>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</si>
  <si>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</si>
  <si>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</si>
  <si>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</si>
  <si>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</si>
  <si>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</si>
  <si>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</si>
  <si>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</si>
  <si>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</si>
  <si>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</si>
  <si>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</si>
  <si>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</si>
  <si>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</si>
  <si>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</si>
  <si>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</si>
  <si>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</si>
  <si>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</si>
  <si>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</si>
  <si>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</si>
  <si>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</si>
  <si>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</si>
  <si>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</si>
  <si>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</si>
  <si>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</si>
  <si>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</si>
  <si>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</si>
  <si>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</si>
  <si>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</si>
  <si>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</si>
  <si>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</si>
  <si>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</si>
  <si>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</si>
  <si>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</si>
  <si>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</si>
  <si>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</si>
  <si>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</si>
  <si>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</si>
  <si>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</si>
  <si>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</si>
  <si>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</si>
  <si>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</si>
  <si>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</si>
  <si>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</si>
  <si>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</si>
  <si>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</si>
  <si>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</si>
  <si>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</si>
  <si>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</si>
  <si>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</si>
  <si>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</si>
  <si>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</si>
  <si>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</si>
  <si>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</si>
  <si>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</si>
  <si>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</si>
  <si>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</si>
  <si>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</si>
  <si>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</si>
  <si>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</si>
  <si>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</si>
  <si>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</si>
  <si>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</si>
  <si>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</si>
  <si>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</si>
  <si>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</si>
  <si>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</si>
  <si>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</si>
  <si>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</si>
  <si>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</si>
  <si>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</si>
  <si>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</si>
  <si>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</si>
  <si>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</si>
  <si>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</si>
  <si>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</si>
  <si>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</si>
  <si>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</si>
  <si>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</si>
  <si>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</si>
  <si>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</si>
  <si>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</si>
  <si>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</si>
  <si>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</si>
  <si>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</si>
  <si>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</si>
  <si>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</si>
  <si>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</si>
  <si>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</si>
  <si>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</si>
  <si>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</si>
  <si>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</si>
  <si>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</si>
  <si>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</si>
  <si>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</si>
  <si>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</si>
  <si>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</si>
  <si>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</si>
  <si>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</si>
  <si>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</si>
  <si>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</si>
  <si>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</si>
  <si>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</si>
  <si>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</si>
  <si>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</si>
  <si>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</si>
  <si>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</si>
  <si>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</si>
  <si>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</si>
  <si>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</si>
  <si>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</si>
  <si>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</si>
  <si>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</si>
  <si>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</si>
  <si>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</si>
  <si>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</si>
  <si>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</si>
  <si>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</si>
  <si>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</si>
  <si>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</si>
  <si>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</si>
  <si>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</si>
  <si>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</si>
  <si>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</si>
  <si>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</si>
  <si>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</si>
  <si>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</si>
  <si>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</si>
  <si>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</si>
  <si>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</si>
  <si>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</si>
  <si>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</si>
  <si>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</si>
  <si>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</si>
  <si>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</si>
  <si>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</si>
  <si>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</si>
  <si>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</si>
  <si>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</si>
  <si>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</si>
  <si>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</si>
  <si>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</si>
  <si>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</si>
  <si>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</si>
  <si>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</si>
  <si>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</si>
  <si>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</si>
  <si>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</si>
  <si>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</si>
  <si>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</si>
  <si>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</si>
  <si>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</si>
  <si>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</si>
  <si>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</si>
  <si>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</si>
  <si>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</si>
  <si>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</si>
  <si>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</si>
  <si>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</si>
  <si>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</si>
  <si>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</si>
  <si>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</si>
  <si>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</si>
  <si>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</si>
  <si>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</si>
  <si>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</si>
  <si>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</si>
  <si>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</si>
  <si>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</si>
  <si>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</si>
  <si>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</si>
  <si>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</si>
  <si>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</si>
  <si>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</si>
  <si>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</si>
  <si>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</si>
  <si>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</si>
  <si>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</si>
  <si>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</si>
  <si>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</si>
  <si>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</si>
  <si>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</si>
  <si>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</si>
  <si>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</si>
  <si>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</si>
  <si>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</si>
  <si>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</si>
  <si>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</si>
  <si>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</si>
  <si>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</si>
  <si>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</si>
  <si>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</si>
  <si>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</si>
  <si>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</si>
  <si>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</si>
  <si>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</si>
  <si>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</si>
  <si>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</si>
  <si>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</si>
  <si>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</si>
  <si>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</si>
  <si>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</si>
  <si>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</si>
  <si>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</si>
  <si>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</si>
  <si>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</si>
  <si>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</si>
  <si>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</si>
  <si>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</si>
  <si>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</si>
  <si>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</si>
  <si>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</si>
  <si>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</si>
  <si>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</si>
  <si>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</si>
  <si>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</si>
  <si>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</si>
  <si>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</si>
  <si>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</si>
  <si>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</si>
  <si>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</si>
  <si>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</si>
  <si>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</si>
  <si>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</si>
  <si>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</si>
  <si>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</si>
  <si>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</si>
  <si>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</si>
  <si>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</si>
  <si>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</si>
  <si>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</si>
  <si>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</si>
  <si>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</si>
  <si>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</si>
  <si>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</si>
  <si>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</si>
  <si>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</si>
  <si>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</si>
  <si>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</si>
  <si>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</si>
  <si>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</si>
  <si>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</si>
  <si>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</si>
  <si>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</si>
  <si>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</si>
  <si>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</si>
  <si>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</si>
  <si>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</si>
  <si>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</si>
  <si>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</si>
  <si>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</si>
  <si>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</si>
  <si>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</si>
  <si>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</si>
  <si>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</si>
  <si>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</si>
  <si>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</si>
  <si>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</si>
  <si>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</si>
  <si>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</si>
  <si>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</si>
  <si>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</si>
  <si>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</si>
  <si>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</si>
  <si>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</si>
  <si>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</si>
  <si>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</si>
  <si>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</si>
  <si>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</si>
  <si>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</si>
  <si>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</si>
  <si>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</si>
  <si>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</si>
  <si>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</si>
  <si>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</si>
  <si>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</si>
  <si>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</si>
  <si>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</si>
  <si>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</si>
  <si>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</si>
  <si>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</si>
  <si>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</si>
  <si>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</si>
  <si>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</si>
  <si>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</si>
  <si>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</si>
  <si>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</si>
  <si>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</si>
  <si>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</si>
  <si>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</si>
  <si>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</si>
  <si>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</si>
  <si>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</si>
  <si>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</si>
  <si>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</si>
  <si>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</si>
  <si>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</si>
  <si>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</si>
  <si>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</si>
  <si>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</si>
  <si>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</si>
  <si>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</si>
  <si>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</si>
  <si>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</si>
  <si>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</si>
  <si>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</si>
  <si>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</si>
  <si>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</si>
  <si>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</si>
  <si>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</si>
  <si>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</si>
  <si>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</si>
  <si>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</si>
  <si>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</si>
  <si>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</si>
  <si>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</si>
  <si>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</si>
  <si>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</si>
  <si>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</si>
  <si>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</si>
  <si>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</si>
  <si>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</si>
  <si>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</si>
  <si>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</si>
  <si>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</si>
  <si>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</si>
  <si>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</si>
  <si>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</si>
  <si>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</si>
  <si>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</si>
  <si>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</si>
  <si>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</si>
  <si>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</si>
  <si>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</si>
  <si>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</si>
  <si>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</si>
  <si>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</si>
  <si>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</si>
  <si>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</si>
  <si>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</si>
  <si>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</si>
  <si>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</si>
  <si>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</si>
  <si>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</si>
  <si>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</si>
  <si>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</si>
  <si>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</si>
  <si>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</si>
  <si>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</si>
  <si>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</si>
  <si>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</si>
  <si>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</si>
  <si>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</si>
  <si>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</si>
  <si>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</si>
  <si>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</si>
  <si>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</si>
  <si>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</si>
  <si>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</si>
  <si>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</si>
  <si>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</si>
  <si>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</si>
  <si>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</si>
  <si>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</si>
  <si>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</si>
  <si>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</si>
  <si>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</si>
  <si>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</si>
  <si>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</si>
  <si>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</si>
  <si>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</si>
  <si>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</si>
  <si>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</si>
  <si>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</si>
  <si>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</si>
  <si>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</si>
  <si>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</si>
  <si>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</si>
  <si>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</si>
  <si>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</si>
  <si>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</si>
  <si>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</si>
  <si>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</si>
  <si>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</si>
  <si>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</si>
  <si>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</si>
  <si>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</si>
  <si>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</si>
  <si>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</si>
  <si>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</si>
  <si>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</si>
  <si>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</si>
  <si>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</si>
  <si>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</si>
  <si>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</si>
  <si>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</si>
  <si>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</si>
  <si>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</si>
  <si>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</si>
  <si>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</si>
  <si>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</si>
  <si>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</si>
  <si>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</si>
  <si>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</si>
  <si>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</si>
  <si>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</si>
  <si>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</si>
  <si>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</si>
  <si>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</si>
  <si>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</si>
  <si>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</si>
  <si>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</si>
  <si>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</si>
  <si>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</si>
  <si>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</si>
  <si>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</si>
  <si>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</si>
  <si>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</si>
  <si>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</si>
  <si>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</si>
  <si>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</si>
  <si>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</si>
  <si>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</si>
  <si>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</si>
  <si>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</si>
  <si>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</si>
  <si>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</si>
  <si>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</si>
  <si>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</si>
  <si>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</si>
  <si>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</si>
  <si>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</si>
  <si>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</si>
  <si>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</si>
  <si>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</si>
  <si>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</si>
  <si>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</si>
  <si>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</si>
  <si>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</si>
  <si>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</si>
  <si>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</si>
  <si>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</si>
  <si>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</si>
  <si>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</si>
  <si>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</si>
  <si>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</si>
  <si>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</si>
  <si>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</si>
  <si>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</si>
  <si>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</si>
  <si>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</si>
  <si>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</si>
  <si>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</si>
  <si>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</si>
  <si>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</si>
  <si>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</si>
  <si>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</si>
  <si>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</si>
  <si>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</si>
  <si>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</si>
  <si>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</si>
  <si>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</si>
  <si>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</si>
  <si>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</si>
  <si>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</si>
  <si>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</si>
  <si>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</si>
  <si>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</si>
  <si>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</si>
  <si>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</si>
  <si>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</si>
  <si>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</si>
  <si>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</si>
  <si>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</si>
  <si>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</si>
  <si>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</si>
  <si>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</si>
  <si>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</si>
  <si>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</si>
  <si>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</si>
  <si>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</si>
  <si>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</si>
  <si>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</si>
  <si>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</si>
  <si>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</si>
  <si>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</si>
  <si>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</si>
  <si>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</si>
  <si>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</si>
  <si>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</si>
  <si>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</si>
  <si>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</si>
  <si>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</si>
  <si>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</si>
  <si>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</si>
  <si>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</si>
  <si>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</si>
  <si>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</si>
  <si>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</si>
  <si>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</si>
  <si>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</si>
  <si>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</si>
  <si>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</si>
  <si>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</si>
  <si>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</si>
  <si>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</si>
  <si>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</si>
  <si>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</si>
  <si>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</si>
  <si>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</si>
  <si>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</si>
  <si>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</si>
  <si>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</si>
  <si>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</si>
  <si>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</si>
  <si>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</si>
  <si>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</si>
  <si>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</si>
  <si>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</si>
  <si>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</si>
  <si>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</si>
  <si>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</si>
  <si>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</si>
  <si>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</si>
  <si>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</si>
  <si>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</si>
  <si>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</si>
  <si>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</si>
  <si>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</si>
  <si>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</si>
  <si>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</si>
  <si>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</si>
  <si>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</si>
  <si>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</si>
  <si>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</si>
  <si>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</si>
  <si>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</si>
  <si>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</si>
  <si>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</si>
  <si>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</si>
  <si>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</si>
  <si>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</si>
  <si>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</si>
  <si>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</si>
  <si>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</si>
  <si>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</si>
  <si>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</si>
  <si>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</si>
  <si>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</si>
  <si>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</si>
  <si>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</si>
  <si>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</si>
  <si>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</si>
  <si>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</si>
  <si>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</si>
  <si>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</si>
  <si>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</si>
  <si>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</si>
  <si>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</si>
  <si>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</si>
  <si>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</si>
  <si>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</si>
  <si>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</si>
  <si>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</si>
  <si>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</si>
  <si>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</si>
  <si>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</si>
  <si>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</si>
  <si>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</si>
  <si>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</si>
  <si>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</si>
  <si>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</si>
  <si>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</si>
  <si>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</si>
  <si>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</si>
  <si>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</si>
  <si>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</si>
  <si>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</si>
  <si>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</si>
  <si>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</si>
  <si>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</si>
  <si>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</si>
  <si>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</si>
  <si>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</si>
  <si>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</si>
  <si>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</si>
  <si>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</si>
  <si>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</si>
  <si>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</si>
  <si>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</si>
  <si>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</si>
  <si>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</si>
  <si>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</si>
  <si>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</si>
  <si>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</si>
  <si>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</si>
  <si>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</si>
  <si>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</si>
  <si>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</si>
  <si>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</si>
  <si>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</si>
  <si>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</si>
  <si>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</si>
  <si>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</si>
  <si>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</si>
  <si>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</si>
  <si>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</si>
  <si>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</si>
  <si>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</si>
  <si>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</si>
  <si>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</si>
  <si>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</si>
  <si>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</si>
  <si>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</si>
  <si>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</si>
  <si>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</si>
  <si>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</si>
  <si>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</si>
  <si>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</si>
  <si>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</si>
  <si>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</si>
  <si>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</si>
  <si>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</si>
  <si>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</si>
  <si>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</si>
  <si>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</si>
  <si>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</si>
  <si>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</si>
  <si>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</si>
  <si>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</si>
  <si>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</si>
  <si>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</si>
  <si>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</si>
  <si>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</si>
  <si>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</si>
  <si>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</si>
  <si>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</si>
  <si>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</si>
  <si>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</si>
  <si>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</si>
  <si>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</si>
  <si>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</si>
  <si>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</si>
  <si>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</si>
  <si>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</si>
  <si>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</si>
  <si>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</si>
  <si>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</si>
  <si>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</si>
  <si>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</si>
  <si>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</si>
  <si>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</si>
  <si>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</si>
  <si>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</si>
  <si>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</si>
  <si>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</si>
  <si>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</si>
  <si>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</si>
  <si>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</si>
  <si>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</si>
  <si>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</si>
  <si>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</si>
  <si>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</si>
  <si>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</si>
  <si>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</si>
  <si>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</si>
  <si>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</si>
  <si>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</si>
  <si>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</si>
  <si>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</si>
  <si>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</si>
  <si>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</si>
  <si>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</si>
  <si>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</si>
  <si>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</si>
  <si>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</si>
  <si>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</si>
  <si>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</si>
  <si>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</si>
  <si>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</si>
  <si>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</si>
  <si>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</si>
  <si>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</si>
  <si>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</si>
  <si>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</si>
  <si>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</si>
  <si>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</si>
  <si>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</si>
  <si>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</si>
  <si>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</si>
  <si>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</si>
  <si>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</si>
  <si>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</si>
  <si>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</si>
  <si>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</si>
  <si>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</si>
  <si>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</si>
  <si>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</si>
  <si>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</si>
  <si>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</si>
  <si>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</si>
  <si>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</si>
  <si>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</si>
  <si>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</si>
  <si>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</si>
  <si>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</si>
  <si>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</si>
  <si>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</si>
  <si>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</si>
  <si>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</si>
  <si>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</si>
  <si>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</si>
  <si>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</si>
  <si>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</si>
  <si>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</si>
  <si>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</si>
  <si>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</si>
  <si>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</si>
  <si>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</si>
  <si>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</si>
  <si>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</si>
  <si>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</si>
  <si>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</si>
  <si>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</si>
  <si>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</si>
  <si>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</si>
  <si>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</si>
  <si>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</si>
  <si>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</si>
  <si>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</si>
  <si>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</si>
  <si>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</si>
  <si>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</si>
  <si>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</si>
  <si>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</si>
  <si>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</si>
  <si>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</si>
  <si>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</si>
  <si>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</si>
  <si>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</si>
  <si>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</si>
  <si>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</si>
  <si>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</si>
  <si>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</si>
  <si>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</si>
  <si>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</si>
  <si>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</si>
  <si>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</si>
  <si>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</si>
  <si>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</si>
  <si>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</si>
  <si>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</si>
  <si>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</si>
  <si>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</si>
  <si>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</si>
  <si>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</si>
  <si>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</si>
  <si>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</si>
  <si>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</si>
  <si>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</si>
  <si>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</si>
  <si>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</si>
  <si>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</si>
  <si>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</si>
  <si>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</si>
  <si>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</si>
  <si>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</si>
  <si>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</si>
  <si>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</si>
  <si>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</si>
  <si>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</si>
  <si>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</si>
  <si>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</si>
  <si>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</si>
  <si>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</si>
  <si>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</si>
  <si>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</si>
  <si>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</si>
  <si>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</si>
  <si>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</si>
  <si>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</si>
  <si>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</si>
  <si>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</si>
  <si>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</si>
  <si>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</si>
  <si>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</si>
  <si>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</si>
  <si>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</si>
  <si>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</si>
  <si>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</si>
  <si>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</si>
  <si>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</si>
  <si>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</si>
  <si>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</si>
  <si>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</si>
  <si>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</si>
  <si>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</si>
  <si>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</si>
  <si>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</si>
  <si>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</si>
  <si>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</si>
  <si>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</si>
  <si>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</si>
  <si>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</si>
  <si>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</si>
  <si>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</si>
  <si>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</si>
  <si>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</si>
  <si>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</si>
  <si>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</si>
  <si>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</si>
  <si>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</si>
  <si>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</si>
  <si>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</si>
  <si>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</si>
  <si>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</si>
  <si>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</si>
  <si>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</si>
  <si>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</si>
  <si>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</si>
  <si>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</si>
  <si>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</si>
  <si>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</si>
  <si>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</si>
  <si>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</si>
  <si>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</si>
  <si>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</si>
  <si>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</si>
  <si>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</si>
  <si>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</si>
  <si>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</si>
  <si>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</si>
  <si>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</si>
  <si>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</si>
  <si>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</si>
  <si>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</si>
  <si>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</si>
  <si>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</si>
  <si>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</si>
  <si>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</si>
  <si>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</si>
  <si>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</si>
  <si>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</si>
  <si>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</si>
  <si>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</si>
  <si>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</si>
  <si>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</si>
  <si>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</si>
  <si>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</si>
  <si>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</si>
  <si>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</si>
  <si>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</si>
  <si>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</si>
  <si>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</si>
  <si>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</si>
  <si>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</si>
  <si>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</si>
  <si>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</si>
  <si>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</si>
  <si>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</si>
  <si>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</si>
  <si>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</si>
  <si>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</si>
  <si>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</si>
  <si>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</si>
  <si>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</si>
  <si>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</si>
  <si>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</si>
  <si>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</si>
  <si>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</si>
  <si>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</si>
  <si>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</si>
  <si>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</si>
  <si>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</si>
  <si>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</si>
  <si>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</si>
  <si>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</si>
  <si>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</si>
  <si>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</si>
  <si>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</si>
  <si>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</si>
  <si>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</si>
  <si>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</si>
  <si>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</si>
  <si>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</si>
  <si>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</si>
  <si>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</si>
  <si>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</si>
  <si>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</si>
  <si>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</si>
  <si>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</si>
  <si>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</si>
  <si>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</si>
  <si>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</si>
  <si>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</si>
  <si>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</si>
  <si>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</si>
  <si>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</si>
  <si>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</si>
  <si>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</si>
  <si>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</si>
  <si>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</si>
  <si>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</si>
  <si>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</si>
  <si>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</si>
  <si>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</si>
  <si>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</si>
  <si>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</si>
  <si>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</si>
  <si>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</si>
  <si>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</si>
  <si>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</si>
  <si>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</si>
  <si>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</si>
  <si>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</si>
  <si>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</si>
  <si>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</si>
  <si>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</si>
  <si>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</si>
  <si>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</si>
  <si>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</si>
  <si>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</si>
  <si>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</si>
  <si>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</si>
  <si>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</si>
  <si>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</si>
  <si>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</si>
  <si>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</si>
  <si>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</si>
  <si>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</si>
  <si>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</si>
  <si>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</si>
  <si>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</si>
  <si>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</si>
  <si>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</si>
  <si>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</si>
  <si>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</si>
  <si>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</si>
  <si>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</si>
  <si>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</si>
  <si>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</si>
  <si>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</si>
  <si>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</si>
  <si>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</si>
  <si>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</si>
  <si>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</si>
  <si>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</si>
  <si>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</si>
  <si>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</si>
  <si>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</si>
  <si>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</si>
  <si>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</si>
  <si>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</si>
  <si>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</si>
  <si>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</si>
  <si>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</si>
  <si>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</si>
  <si>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</si>
  <si>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</si>
  <si>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</si>
  <si>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</si>
  <si>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</si>
  <si>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</si>
  <si>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</si>
  <si>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</si>
  <si>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</si>
  <si>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</si>
  <si>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</si>
  <si>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</si>
  <si>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</si>
  <si>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</si>
  <si>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</si>
  <si>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</si>
  <si>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</si>
  <si>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</si>
  <si>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</si>
  <si>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</si>
  <si>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</si>
  <si>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</si>
  <si>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</si>
  <si>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</si>
  <si>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</si>
  <si>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</si>
  <si>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</si>
  <si>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</si>
  <si>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</si>
  <si>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</si>
  <si>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</si>
  <si>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</si>
  <si>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</si>
  <si>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</si>
  <si>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</si>
  <si>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</si>
  <si>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</si>
  <si>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</si>
  <si>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</si>
  <si>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</si>
  <si>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</si>
  <si>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</si>
  <si>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</si>
  <si>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</si>
  <si>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</si>
  <si>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</si>
  <si>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</si>
  <si>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</si>
  <si>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</si>
  <si>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</si>
  <si>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</si>
  <si>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</si>
  <si>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</si>
  <si>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</si>
  <si>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</si>
  <si>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</si>
  <si>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</si>
  <si>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</si>
  <si>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</si>
  <si>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</si>
  <si>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</si>
  <si>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</si>
  <si>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</si>
  <si>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</si>
  <si>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</si>
  <si>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</si>
  <si>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</si>
  <si>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</si>
  <si>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</si>
  <si>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</si>
  <si>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</si>
  <si>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</si>
  <si>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</si>
  <si>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</si>
  <si>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</si>
  <si>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</si>
  <si>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</si>
  <si>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</si>
  <si>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</si>
  <si>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</si>
  <si>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</si>
  <si>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</si>
  <si>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</si>
  <si>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</si>
  <si>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</si>
  <si>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</si>
  <si>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</si>
  <si>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</si>
  <si>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</si>
  <si>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</si>
  <si>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</si>
  <si>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</si>
  <si>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</si>
  <si>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</si>
  <si>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</si>
  <si>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</si>
  <si>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</si>
  <si>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</si>
  <si>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</si>
  <si>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</si>
  <si>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</si>
  <si>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</si>
  <si>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</si>
  <si>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</si>
  <si>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</si>
  <si>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</si>
  <si>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</si>
  <si>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</si>
  <si>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</si>
  <si>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</si>
  <si>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</si>
  <si>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</si>
  <si>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</si>
  <si>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</si>
  <si>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</si>
  <si>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</si>
  <si>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</si>
  <si>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</si>
  <si>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</si>
  <si>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</si>
  <si>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</si>
  <si>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</si>
  <si>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</si>
  <si>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</si>
  <si>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</si>
  <si>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</si>
  <si>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</si>
  <si>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</si>
  <si>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</si>
  <si>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</si>
  <si>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</si>
  <si>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</si>
  <si>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</si>
  <si>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</si>
  <si>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</si>
  <si>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</si>
  <si>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</si>
  <si>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</si>
  <si>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</si>
  <si>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</si>
  <si>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</si>
  <si>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</si>
  <si>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</si>
  <si>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</si>
  <si>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</si>
  <si>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</si>
  <si>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</si>
  <si>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</si>
  <si>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</si>
  <si>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</si>
  <si>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</si>
  <si>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</si>
  <si>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</si>
  <si>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</si>
  <si>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</si>
  <si>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</si>
  <si>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</si>
  <si>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</si>
  <si>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</si>
  <si>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</si>
  <si>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</si>
  <si>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</si>
  <si>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</si>
  <si>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</si>
  <si>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</si>
  <si>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</si>
  <si>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</si>
  <si>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</si>
  <si>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</si>
  <si>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</si>
  <si>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</si>
  <si>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</si>
  <si>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</si>
  <si>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</si>
  <si>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</si>
  <si>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</si>
  <si>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</si>
  <si>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</si>
  <si>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</si>
  <si>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</si>
  <si>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</si>
  <si>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</si>
  <si>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</si>
  <si>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</si>
  <si>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</si>
  <si>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</si>
  <si>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</si>
  <si>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</si>
  <si>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</si>
  <si>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</si>
  <si>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</si>
  <si>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</si>
  <si>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</si>
  <si>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</si>
  <si>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</si>
  <si>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</si>
  <si>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</si>
  <si>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</si>
  <si>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</si>
  <si>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</si>
  <si>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</si>
  <si>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</si>
  <si>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</si>
  <si>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</si>
  <si>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</si>
  <si>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</si>
  <si>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</si>
  <si>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</si>
  <si>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</si>
  <si>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</si>
  <si>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</si>
  <si>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</si>
  <si>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</si>
  <si>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</si>
  <si>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</si>
  <si>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</si>
  <si>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</si>
  <si>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</si>
  <si>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</si>
  <si>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</si>
  <si>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</si>
  <si>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</si>
  <si>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</si>
  <si>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</si>
  <si>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</si>
  <si>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</si>
  <si>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</si>
  <si>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</si>
  <si>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</si>
  <si>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</si>
  <si>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</si>
  <si>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</si>
  <si>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</si>
  <si>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</si>
  <si>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</si>
  <si>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</si>
  <si>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</si>
  <si>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</si>
  <si>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</si>
  <si>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</si>
  <si>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</si>
  <si>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</si>
  <si>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</si>
  <si>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</si>
  <si>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</si>
  <si>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</si>
  <si>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</si>
  <si>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</si>
  <si>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</si>
  <si>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</si>
  <si>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</si>
  <si>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</si>
  <si>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</si>
  <si>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</si>
  <si>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</si>
  <si>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</si>
  <si>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</si>
  <si>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</si>
  <si>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</si>
  <si>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</si>
  <si>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</si>
  <si>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</si>
  <si>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</si>
  <si>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</si>
  <si>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</si>
  <si>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</si>
  <si>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</si>
  <si>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</si>
  <si>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</si>
  <si>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</si>
  <si>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</si>
  <si>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</si>
  <si>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</si>
  <si>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</si>
  <si>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</si>
  <si>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</si>
  <si>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</si>
  <si>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</si>
  <si>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</si>
  <si>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</si>
  <si>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</si>
  <si>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</si>
  <si>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</si>
  <si>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</si>
  <si>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</si>
  <si>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</si>
  <si>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</si>
  <si>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</si>
  <si>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</si>
  <si>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</si>
  <si>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</si>
  <si>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</si>
  <si>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</si>
  <si>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</si>
  <si>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</si>
  <si>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</si>
  <si>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</si>
  <si>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</si>
  <si>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</si>
  <si>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</si>
  <si>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</si>
  <si>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</si>
  <si>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</si>
  <si>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</si>
  <si>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</si>
  <si>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</si>
  <si>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</si>
  <si>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</si>
  <si>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</si>
  <si>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</si>
  <si>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</si>
  <si>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</si>
  <si>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</si>
  <si>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</si>
  <si>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</si>
  <si>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</si>
  <si>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</si>
  <si>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</si>
  <si>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</si>
  <si>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</si>
  <si>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</si>
  <si>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</si>
  <si>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</si>
  <si>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</si>
  <si>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</si>
  <si>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</si>
  <si>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</si>
  <si>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</si>
  <si>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</si>
  <si>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</si>
  <si>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</si>
  <si>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</si>
  <si>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</si>
  <si>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</si>
  <si>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</si>
  <si>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</si>
  <si>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</si>
  <si>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</si>
  <si>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</si>
  <si>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</si>
  <si>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</si>
  <si>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</si>
  <si>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</si>
  <si>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</si>
  <si>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</si>
  <si>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</si>
  <si>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</si>
  <si>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</si>
  <si>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</si>
  <si>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</si>
  <si>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</si>
  <si>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</si>
  <si>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</si>
  <si>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</si>
  <si>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</si>
  <si>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</si>
  <si>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</si>
  <si>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</si>
  <si>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</si>
  <si>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</si>
  <si>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</si>
  <si>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</si>
  <si>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</si>
  <si>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</si>
  <si>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</si>
  <si>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</si>
  <si>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</si>
  <si>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</si>
  <si>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</si>
  <si>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</si>
  <si>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</si>
  <si>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</si>
  <si>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</si>
  <si>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</si>
  <si>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</si>
  <si>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</si>
  <si>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</si>
  <si>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</si>
  <si>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</si>
  <si>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</si>
  <si>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</si>
  <si>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</si>
  <si>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</si>
  <si>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</si>
  <si>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</si>
  <si>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</si>
  <si>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</si>
  <si>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</si>
  <si>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</si>
  <si>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</si>
  <si>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</si>
  <si>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</si>
  <si>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</si>
  <si>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</si>
  <si>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</si>
  <si>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</si>
  <si>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</si>
  <si>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</si>
  <si>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</si>
  <si>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</si>
  <si>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</si>
  <si>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</si>
  <si>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</si>
  <si>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</si>
  <si>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</si>
  <si>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</si>
  <si>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</si>
  <si>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</si>
  <si>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</si>
  <si>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</si>
  <si>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</si>
  <si>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</si>
  <si>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</si>
  <si>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</si>
  <si>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</si>
  <si>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</si>
  <si>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</si>
  <si>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</si>
  <si>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</si>
  <si>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</si>
  <si>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</si>
  <si>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</si>
  <si>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</si>
  <si>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</si>
  <si>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</si>
  <si>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</si>
  <si>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</si>
  <si>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</si>
  <si>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</si>
  <si>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</si>
  <si>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</si>
  <si>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</si>
  <si>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</si>
  <si>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</si>
  <si>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</si>
  <si>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</si>
  <si>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</si>
  <si>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</si>
  <si>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</si>
  <si>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</si>
  <si>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</si>
  <si>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</si>
  <si>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</si>
  <si>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</si>
  <si>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</si>
  <si>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</si>
  <si>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</si>
  <si>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</si>
  <si>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</si>
  <si>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</si>
  <si>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</si>
  <si>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</si>
  <si>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</si>
  <si>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</si>
  <si>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</si>
  <si>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</si>
  <si>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</si>
  <si>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</si>
  <si>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</si>
  <si>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</si>
  <si>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</si>
  <si>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</si>
  <si>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</si>
  <si>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</si>
  <si>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</si>
  <si>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</si>
  <si>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</si>
  <si>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</si>
  <si>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</si>
  <si>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</si>
  <si>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</si>
  <si>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</si>
  <si>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</si>
  <si>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</si>
  <si>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</si>
  <si>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</si>
  <si>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</si>
  <si>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</si>
  <si>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</si>
  <si>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</si>
  <si>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</si>
  <si>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</si>
  <si>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</si>
  <si>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</si>
  <si>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</si>
  <si>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</si>
  <si>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</si>
  <si>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</si>
  <si>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</si>
  <si>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</si>
  <si>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</si>
  <si>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</si>
  <si>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</si>
  <si>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</si>
  <si>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</si>
  <si>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</si>
  <si>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</si>
  <si>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</si>
  <si>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</si>
  <si>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</si>
  <si>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</si>
  <si>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</si>
  <si>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</si>
  <si>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</si>
  <si>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</si>
  <si>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</si>
  <si>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</si>
  <si>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</si>
  <si>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</si>
  <si>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</si>
  <si>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</si>
  <si>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</si>
  <si>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</si>
  <si>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</si>
  <si>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</si>
  <si>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</si>
  <si>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</si>
  <si>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</si>
  <si>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</si>
  <si>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</si>
  <si>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</si>
  <si>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</si>
  <si>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</si>
  <si>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</si>
  <si>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</si>
  <si>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</si>
  <si>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</si>
  <si>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</si>
  <si>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</si>
  <si>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</si>
  <si>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</si>
  <si>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</si>
  <si>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</si>
  <si>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</si>
  <si>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</si>
  <si>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</si>
  <si>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</si>
  <si>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</si>
  <si>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</si>
  <si>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</si>
  <si>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</si>
  <si>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</si>
  <si>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</si>
  <si>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</si>
  <si>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</si>
  <si>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</si>
  <si>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</si>
  <si>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</si>
  <si>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</si>
  <si>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</si>
  <si>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</si>
  <si>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</si>
  <si>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</si>
  <si>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</si>
  <si>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</si>
  <si>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</si>
  <si>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</si>
  <si>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</si>
  <si>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</si>
  <si>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</si>
  <si>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</si>
  <si>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</si>
  <si>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</si>
  <si>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</si>
  <si>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</si>
  <si>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</si>
  <si>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</si>
  <si>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</si>
  <si>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</si>
  <si>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</si>
  <si>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</si>
  <si>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</si>
  <si>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</si>
  <si>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</si>
  <si>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</si>
  <si>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</si>
  <si>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</si>
  <si>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</si>
  <si>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</si>
  <si>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</si>
  <si>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</si>
  <si>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</si>
  <si>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</si>
  <si>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</si>
  <si>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</si>
  <si>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</si>
  <si>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</si>
  <si>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</si>
  <si>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</si>
  <si>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</si>
  <si>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</si>
  <si>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</si>
  <si>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</si>
  <si>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</si>
  <si>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</si>
  <si>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</si>
  <si>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</si>
  <si>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</si>
  <si>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</si>
  <si>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</si>
  <si>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</si>
  <si>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</si>
  <si>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</si>
  <si>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</si>
  <si>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</si>
  <si>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</si>
  <si>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</si>
  <si>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</si>
  <si>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</si>
  <si>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</si>
  <si>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</si>
  <si>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</si>
  <si>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</si>
  <si>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</si>
  <si>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</si>
  <si>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</si>
  <si>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</si>
  <si>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</si>
  <si>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</si>
  <si>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</si>
  <si>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</si>
  <si>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</si>
  <si>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</si>
  <si>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</si>
  <si>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</si>
  <si>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</si>
  <si>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</si>
  <si>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</si>
  <si>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</si>
  <si>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</si>
  <si>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</si>
  <si>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</si>
  <si>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</si>
  <si>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</si>
  <si>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</si>
  <si>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</si>
  <si>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</si>
  <si>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</si>
  <si>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</si>
  <si>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</si>
  <si>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</si>
  <si>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</si>
  <si>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</si>
  <si>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</si>
  <si>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</si>
  <si>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</si>
  <si>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</si>
  <si>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</si>
  <si>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</si>
  <si>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</si>
  <si>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</si>
  <si>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</si>
  <si>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</si>
  <si>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</si>
  <si>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</si>
  <si>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</si>
  <si>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</si>
  <si>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</si>
  <si>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</si>
  <si>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</si>
  <si>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</si>
  <si>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</si>
  <si>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</si>
  <si>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</si>
  <si>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</si>
  <si>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</si>
  <si>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</si>
  <si>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</si>
  <si>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</si>
  <si>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</si>
  <si>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</si>
  <si>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</si>
  <si>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</si>
  <si>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</si>
  <si>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</si>
  <si>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</si>
  <si>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</si>
  <si>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</si>
  <si>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</si>
  <si>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</si>
  <si>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</si>
  <si>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</si>
  <si>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</si>
  <si>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</si>
  <si>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</si>
  <si>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</si>
  <si>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</si>
  <si>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</si>
  <si>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</si>
  <si>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</si>
  <si>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</si>
  <si>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</si>
  <si>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</si>
  <si>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</si>
  <si>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</si>
  <si>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</si>
  <si>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</si>
  <si>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</si>
  <si>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</si>
  <si>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</si>
  <si>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</si>
  <si>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</si>
  <si>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</si>
  <si>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</si>
  <si>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</si>
  <si>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</si>
  <si>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</si>
  <si>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</si>
  <si>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</si>
  <si>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</si>
  <si>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</si>
  <si>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</si>
  <si>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</si>
  <si>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</si>
  <si>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</si>
  <si>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</si>
  <si>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</si>
  <si>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</si>
  <si>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</si>
  <si>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</si>
  <si>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</si>
  <si>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</si>
  <si>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</si>
  <si>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</si>
  <si>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</si>
  <si>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</si>
  <si>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</si>
  <si>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</si>
  <si>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</si>
  <si>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</si>
  <si>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</si>
  <si>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</si>
  <si>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</si>
  <si>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</si>
  <si>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</si>
  <si>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</si>
  <si>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</si>
  <si>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</si>
  <si>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</si>
  <si>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</si>
  <si>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</si>
  <si>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</si>
  <si>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</si>
  <si>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</si>
  <si>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</si>
  <si>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</si>
  <si>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</si>
  <si>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</si>
  <si>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</si>
  <si>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</si>
  <si>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</si>
  <si>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</si>
  <si>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</si>
  <si>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</si>
  <si>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</si>
  <si>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</si>
  <si>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</si>
  <si>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</si>
  <si>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</si>
  <si>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</si>
  <si>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</si>
  <si>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</si>
  <si>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</si>
  <si>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</si>
  <si>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</si>
  <si>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</si>
  <si>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</si>
  <si>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</si>
  <si>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</si>
  <si>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</si>
  <si>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</si>
  <si>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</si>
  <si>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</si>
  <si>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</si>
  <si>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</si>
  <si>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</si>
  <si>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</si>
  <si>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</si>
  <si>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</si>
  <si>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</si>
  <si>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</si>
  <si>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</si>
  <si>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</si>
  <si>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</si>
  <si>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</si>
  <si>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</si>
  <si>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</si>
  <si>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</si>
  <si>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</si>
  <si>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</si>
  <si>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</si>
  <si>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</si>
  <si>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</si>
  <si>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</si>
  <si>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</si>
  <si>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</si>
  <si>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</si>
  <si>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</si>
  <si>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</si>
  <si>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</si>
  <si>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</si>
  <si>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</si>
  <si>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</si>
  <si>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</si>
  <si>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</si>
  <si>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</si>
  <si>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</si>
  <si>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</si>
  <si>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</si>
  <si>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</si>
  <si>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</si>
  <si>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</si>
  <si>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</si>
  <si>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</si>
  <si>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</si>
  <si>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</si>
  <si>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</si>
  <si>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</si>
  <si>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</si>
  <si>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</si>
  <si>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</si>
  <si>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</si>
  <si>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</si>
  <si>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</si>
  <si>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</si>
  <si>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</si>
  <si>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</si>
  <si>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</si>
  <si>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</si>
  <si>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</si>
  <si>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</si>
  <si>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</si>
  <si>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</si>
  <si>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</si>
  <si>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</si>
  <si>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</si>
  <si>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</si>
  <si>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</si>
  <si>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</si>
  <si>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</si>
  <si>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</si>
  <si>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</si>
  <si>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</si>
  <si>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</si>
  <si>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</si>
  <si>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</si>
  <si>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</si>
  <si>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</si>
  <si>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</si>
  <si>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</si>
  <si>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</si>
  <si>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</si>
  <si>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</si>
  <si>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</si>
  <si>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</si>
  <si>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</si>
  <si>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</si>
  <si>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</si>
  <si>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</si>
  <si>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</si>
  <si>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</si>
  <si>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</si>
  <si>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</si>
  <si>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</si>
  <si>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</si>
  <si>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</si>
  <si>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</si>
  <si>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</si>
  <si>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</si>
  <si>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</si>
  <si>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</si>
  <si>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</si>
  <si>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</si>
  <si>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</si>
  <si>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</si>
  <si>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</si>
  <si>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</si>
  <si>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</si>
  <si>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</si>
  <si>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</si>
  <si>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</si>
  <si>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</si>
  <si>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</si>
  <si>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</si>
  <si>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</si>
  <si>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</si>
  <si>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</si>
  <si>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</si>
  <si>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</si>
  <si>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</si>
  <si>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</si>
  <si>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</si>
  <si>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</si>
  <si>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</si>
  <si>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</si>
  <si>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</si>
  <si>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</si>
  <si>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</si>
  <si>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</si>
  <si>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</si>
  <si>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</si>
  <si>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</si>
  <si>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</si>
  <si>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</si>
  <si>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</si>
  <si>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</si>
  <si>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</si>
  <si>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</si>
  <si>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</si>
  <si>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</si>
  <si>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</si>
  <si>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</si>
  <si>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</si>
  <si>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</si>
  <si>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</si>
  <si>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</si>
  <si>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</si>
  <si>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</si>
  <si>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</si>
  <si>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</si>
  <si>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</si>
  <si>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</si>
  <si>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</si>
  <si>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</si>
  <si>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</si>
  <si>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</si>
  <si>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</si>
  <si>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</si>
  <si>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</si>
  <si>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</si>
  <si>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</si>
  <si>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</si>
  <si>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</si>
  <si>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</si>
  <si>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</si>
  <si>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</si>
  <si>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</si>
  <si>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</si>
  <si>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</si>
  <si>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</si>
  <si>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</si>
  <si>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</si>
  <si>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</si>
  <si>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</si>
  <si>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</si>
  <si>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</si>
  <si>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</si>
  <si>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</si>
  <si>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</si>
  <si>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</si>
  <si>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</si>
  <si>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</si>
  <si>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</si>
  <si>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</si>
  <si>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</si>
  <si>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</si>
  <si>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</si>
  <si>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</si>
  <si>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</si>
  <si>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</si>
  <si>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</si>
  <si>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</si>
  <si>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</si>
  <si>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</si>
  <si>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</si>
  <si>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</si>
  <si>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</si>
  <si>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</si>
  <si>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</si>
  <si>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</si>
  <si>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</si>
  <si>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</si>
  <si>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</si>
  <si>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</si>
  <si>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</si>
  <si>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</si>
  <si>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</si>
  <si>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</si>
  <si>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</si>
  <si>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</si>
  <si>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</si>
  <si>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</si>
  <si>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</si>
  <si>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</si>
  <si>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</si>
  <si>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</si>
  <si>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</si>
  <si>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</si>
  <si>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</si>
  <si>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</si>
  <si>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</si>
  <si>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</si>
  <si>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</si>
  <si>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</si>
  <si>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</si>
  <si>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</si>
  <si>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</si>
  <si>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</si>
  <si>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</si>
  <si>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</si>
  <si>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</si>
  <si>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</si>
  <si>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</si>
  <si>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</si>
  <si>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</si>
  <si>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</si>
  <si>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</si>
  <si>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</si>
  <si>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</si>
  <si>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</si>
  <si>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</si>
  <si>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</si>
  <si>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</si>
  <si>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</si>
  <si>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</si>
  <si>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</si>
  <si>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</si>
  <si>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</si>
  <si>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</si>
  <si>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</si>
  <si>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</si>
  <si>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</si>
  <si>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</si>
  <si>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</si>
  <si>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</si>
  <si>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</si>
  <si>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</si>
  <si>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</si>
  <si>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</si>
  <si>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</si>
  <si>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</si>
  <si>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</si>
  <si>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</si>
  <si>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</si>
  <si>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</si>
  <si>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</si>
  <si>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</si>
  <si>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</si>
  <si>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</si>
  <si>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</si>
  <si>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</si>
  <si>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</si>
  <si>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</si>
  <si>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</si>
  <si>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</si>
  <si>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</si>
  <si>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</si>
  <si>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</si>
  <si>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</si>
  <si>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</si>
  <si>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</si>
  <si>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</si>
  <si>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</si>
  <si>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</si>
  <si>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</si>
  <si>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</si>
  <si>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</si>
  <si>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</si>
  <si>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</si>
  <si>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</si>
  <si>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</si>
  <si>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</si>
  <si>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</si>
  <si>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</si>
  <si>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</si>
  <si>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</si>
  <si>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</si>
  <si>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</si>
  <si>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</si>
  <si>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</si>
  <si>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</si>
  <si>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</si>
  <si>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</si>
  <si>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</si>
  <si>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</si>
  <si>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</si>
  <si>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</si>
  <si>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</si>
  <si>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</si>
  <si>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</si>
  <si>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</si>
  <si>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</si>
  <si>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</si>
  <si>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</si>
  <si>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</si>
  <si>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</si>
  <si>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</si>
  <si>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</si>
  <si>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</si>
  <si>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</si>
  <si>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</si>
  <si>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</si>
  <si>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</si>
  <si>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</si>
  <si>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</si>
  <si>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</si>
  <si>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</si>
  <si>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</si>
  <si>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</si>
  <si>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</si>
  <si>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</si>
  <si>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</si>
  <si>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</si>
  <si>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</si>
  <si>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</si>
  <si>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</si>
  <si>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</si>
  <si>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</si>
  <si>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</si>
  <si>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</si>
  <si>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</si>
  <si>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</si>
  <si>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</si>
  <si>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</si>
  <si>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</si>
  <si>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</si>
  <si>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</si>
  <si>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</si>
  <si>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</si>
  <si>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</si>
  <si>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</si>
  <si>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</si>
  <si>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</si>
  <si>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</si>
  <si>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</si>
  <si>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</si>
  <si>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</si>
  <si>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</si>
  <si>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</si>
  <si>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</si>
  <si>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</si>
  <si>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</si>
  <si>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</si>
  <si>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</si>
  <si>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</si>
  <si>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</si>
  <si>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</si>
  <si>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</si>
  <si>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</si>
  <si>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</si>
  <si>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</si>
  <si>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</si>
  <si>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</si>
  <si>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</si>
  <si>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</si>
  <si>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</si>
  <si>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</si>
  <si>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</si>
  <si>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</si>
  <si>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</si>
  <si>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</si>
  <si>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</si>
  <si>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</si>
  <si>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</si>
  <si>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</si>
  <si>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</si>
  <si>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</si>
  <si>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</si>
  <si>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</si>
  <si>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</si>
  <si>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</si>
  <si>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</si>
  <si>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</si>
  <si>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</si>
  <si>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</si>
  <si>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</si>
  <si>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</si>
  <si>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</si>
  <si>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</si>
  <si>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</si>
  <si>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</si>
  <si>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</si>
  <si>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</si>
  <si>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</si>
  <si>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</si>
  <si>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</si>
  <si>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</si>
  <si>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</si>
  <si>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</si>
  <si>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</si>
  <si>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</si>
  <si>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</si>
  <si>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</si>
  <si>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</si>
  <si>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</si>
  <si>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</si>
  <si>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</si>
  <si>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</si>
  <si>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</si>
  <si>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</si>
  <si>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</si>
  <si>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</si>
  <si>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</si>
  <si>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</si>
  <si>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</si>
  <si>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</si>
  <si>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</si>
  <si>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</si>
  <si>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</si>
  <si>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</si>
  <si>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</si>
  <si>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</si>
  <si>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</si>
  <si>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</si>
  <si>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</si>
  <si>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</si>
  <si>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</si>
  <si>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</si>
  <si>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</si>
  <si>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</si>
  <si>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</si>
  <si>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</si>
  <si>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</si>
  <si>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</si>
  <si>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</si>
  <si>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</si>
  <si>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</si>
  <si>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</si>
  <si>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</si>
  <si>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</si>
  <si>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</si>
  <si>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</si>
  <si>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</si>
  <si>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</si>
  <si>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</si>
  <si>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</si>
  <si>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</si>
  <si>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</si>
  <si>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</si>
  <si>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</si>
  <si>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</si>
  <si>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</si>
  <si>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</si>
  <si>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</si>
  <si>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</si>
  <si>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</si>
  <si>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</si>
  <si>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</si>
  <si>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</si>
  <si>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</si>
  <si>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</si>
  <si>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</si>
  <si>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</si>
  <si>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</si>
  <si>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</si>
  <si>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</si>
  <si>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</si>
  <si>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</si>
  <si>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</si>
  <si>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</si>
  <si>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</si>
  <si>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</si>
  <si>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</si>
  <si>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</si>
  <si>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</si>
  <si>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</si>
  <si>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</si>
  <si>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</si>
  <si>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</si>
  <si>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</si>
  <si>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</si>
  <si>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</si>
  <si>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</si>
  <si>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</si>
  <si>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</si>
  <si>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</si>
  <si>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</si>
  <si>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</si>
  <si>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</si>
  <si>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</si>
  <si>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</si>
  <si>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</si>
  <si>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</si>
  <si>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</si>
  <si>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</si>
  <si>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</si>
  <si>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</si>
  <si>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</si>
  <si>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</si>
  <si>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</si>
  <si>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</si>
  <si>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</si>
  <si>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</si>
  <si>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</si>
  <si>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</si>
  <si>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</si>
  <si>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</si>
  <si>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</si>
  <si>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</si>
  <si>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</si>
  <si>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</si>
  <si>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</si>
  <si>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</si>
  <si>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</si>
  <si>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</si>
  <si>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</si>
  <si>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</si>
  <si>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</si>
  <si>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</si>
  <si>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</si>
  <si>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</si>
  <si>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</si>
  <si>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</si>
  <si>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</si>
  <si>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</si>
  <si>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</si>
  <si>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</si>
  <si>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</si>
  <si>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</si>
  <si>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</si>
  <si>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</si>
  <si>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</si>
  <si>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</si>
  <si>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</si>
  <si>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</si>
  <si>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</si>
  <si>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</si>
  <si>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</si>
  <si>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</si>
  <si>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</si>
  <si>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</si>
  <si>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</si>
  <si>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</si>
  <si>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</si>
  <si>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</si>
  <si>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</si>
  <si>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</si>
  <si>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</si>
  <si>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</si>
  <si>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</si>
  <si>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</si>
  <si>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</si>
  <si>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</si>
  <si>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</si>
  <si>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</si>
  <si>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</si>
  <si>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</si>
  <si>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</si>
  <si>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</si>
  <si>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</si>
  <si>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</si>
  <si>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</si>
  <si>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</si>
  <si>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</si>
  <si>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</si>
  <si>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</si>
  <si>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</si>
  <si>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</si>
  <si>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</si>
  <si>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</si>
  <si>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</si>
  <si>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</si>
  <si>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</si>
  <si>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</si>
  <si>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</si>
  <si>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</si>
  <si>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</si>
  <si>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</si>
  <si>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</si>
  <si>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</si>
  <si>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</si>
  <si>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</si>
  <si>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</si>
  <si>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</si>
  <si>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</si>
  <si>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</si>
  <si>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</si>
  <si>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</si>
  <si>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</si>
  <si>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</si>
  <si>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</si>
  <si>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</si>
  <si>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</si>
  <si>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</si>
  <si>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</si>
  <si>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</si>
  <si>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</si>
  <si>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</si>
  <si>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</si>
  <si>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</si>
  <si>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</si>
  <si>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</si>
  <si>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</si>
  <si>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</si>
  <si>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</si>
  <si>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</si>
  <si>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</si>
  <si>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</si>
  <si>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</si>
  <si>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</si>
  <si>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</si>
  <si>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</si>
  <si>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</si>
  <si>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</si>
  <si>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</si>
  <si>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</si>
  <si>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</si>
  <si>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</si>
  <si>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</si>
  <si>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</si>
  <si>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</si>
  <si>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</si>
  <si>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</si>
  <si>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</si>
  <si>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</si>
  <si>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</si>
  <si>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</si>
  <si>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</si>
  <si>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</si>
  <si>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</si>
  <si>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</si>
  <si>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</si>
  <si>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</si>
  <si>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</si>
  <si>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</si>
  <si>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</si>
  <si>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</si>
  <si>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</si>
  <si>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</si>
  <si>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</si>
  <si>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</si>
  <si>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</si>
  <si>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</si>
  <si>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</si>
  <si>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</si>
  <si>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</si>
  <si>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</si>
  <si>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</si>
  <si>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</si>
  <si>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</si>
  <si>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</si>
  <si>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</si>
  <si>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</si>
  <si>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</si>
  <si>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</si>
  <si>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</si>
  <si>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</si>
  <si>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</si>
  <si>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</si>
  <si>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</si>
  <si>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</si>
  <si>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</si>
  <si>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</si>
  <si>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</si>
  <si>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</si>
  <si>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</si>
  <si>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</si>
  <si>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</si>
  <si>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</si>
  <si>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</si>
  <si>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</si>
  <si>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</si>
  <si>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</si>
  <si>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</si>
  <si>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</si>
  <si>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</si>
  <si>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</si>
  <si>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</si>
  <si>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</si>
  <si>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</si>
  <si>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</si>
  <si>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</si>
  <si>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</si>
  <si>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</si>
  <si>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</si>
  <si>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</si>
  <si>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</si>
  <si>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</si>
  <si>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</si>
  <si>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</si>
  <si>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</si>
  <si>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</si>
  <si>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</si>
  <si>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</si>
  <si>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</si>
  <si>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</si>
  <si>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</si>
  <si>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</si>
  <si>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</si>
  <si>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</si>
  <si>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</si>
  <si>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</si>
  <si>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</si>
  <si>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</si>
  <si>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</si>
  <si>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</si>
  <si>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</si>
  <si>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</si>
  <si>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</si>
  <si>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</si>
  <si>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</si>
  <si>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</si>
  <si>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</si>
  <si>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</si>
  <si>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</si>
  <si>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</si>
  <si>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</si>
  <si>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</si>
  <si>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</si>
  <si>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</si>
  <si>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</si>
  <si>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</si>
  <si>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</si>
  <si>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</si>
  <si>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</si>
  <si>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</si>
  <si>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</si>
  <si>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</si>
  <si>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</si>
  <si>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</si>
  <si>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</si>
  <si>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</si>
  <si>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</si>
  <si>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</si>
  <si>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</si>
  <si>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</si>
  <si>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</si>
  <si>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</si>
  <si>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</si>
  <si>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</si>
  <si>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</si>
  <si>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</si>
  <si>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</si>
  <si>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</si>
  <si>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</si>
  <si>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</si>
  <si>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</si>
  <si>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</si>
  <si>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</si>
  <si>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</si>
  <si>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</si>
  <si>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</si>
  <si>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</si>
  <si>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</si>
  <si>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</si>
  <si>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</si>
  <si>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</si>
  <si>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</si>
  <si>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</si>
  <si>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</si>
  <si>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</si>
  <si>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</si>
  <si>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</si>
  <si>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</si>
  <si>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</si>
  <si>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</si>
  <si>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</si>
  <si>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</si>
  <si>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</si>
  <si>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</si>
  <si>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</si>
  <si>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</si>
  <si>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</si>
  <si>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</si>
  <si>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</si>
  <si>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</si>
  <si>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</si>
  <si>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</si>
  <si>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</si>
  <si>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</si>
  <si>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</si>
  <si>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</si>
  <si>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</si>
  <si>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</si>
  <si>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</si>
  <si>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</si>
  <si>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</si>
  <si>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</si>
  <si>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</si>
  <si>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</si>
  <si>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</si>
  <si>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</si>
  <si>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</si>
  <si>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</si>
  <si>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</si>
  <si>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</si>
  <si>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</si>
  <si>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</si>
  <si>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</si>
  <si>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</si>
  <si>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</si>
  <si>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</si>
  <si>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</si>
  <si>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</si>
  <si>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</si>
  <si>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</si>
  <si>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</si>
  <si>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</si>
  <si>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</si>
  <si>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</si>
  <si>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</si>
  <si>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</si>
  <si>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</si>
  <si>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</si>
  <si>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</si>
  <si>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</si>
  <si>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</si>
  <si>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</si>
  <si>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</si>
  <si>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</si>
  <si>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</si>
  <si>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</si>
  <si>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</si>
  <si>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</si>
  <si>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</si>
  <si>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</si>
  <si>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</si>
  <si>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</si>
  <si>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</si>
  <si>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</si>
  <si>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</si>
  <si>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</si>
  <si>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</si>
  <si>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</si>
  <si>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</si>
  <si>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</si>
  <si>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</si>
  <si>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</si>
  <si>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</si>
  <si>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</si>
  <si>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</si>
  <si>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</si>
  <si>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</si>
  <si>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</si>
  <si>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</si>
  <si>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</si>
  <si>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</si>
  <si>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</si>
  <si>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</si>
  <si>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</si>
  <si>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</si>
  <si>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</si>
  <si>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</si>
  <si>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</si>
  <si>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</si>
  <si>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</si>
  <si>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</si>
  <si>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</si>
  <si>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</si>
  <si>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</si>
  <si>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</si>
  <si>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</si>
  <si>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</si>
  <si>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</si>
  <si>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</si>
  <si>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</si>
  <si>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</si>
  <si>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</si>
  <si>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</si>
  <si>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</si>
  <si>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</si>
  <si>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</si>
  <si>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</si>
  <si>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</si>
  <si>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</si>
  <si>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</si>
  <si>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</si>
  <si>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</si>
  <si>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</si>
  <si>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</si>
  <si>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</si>
  <si>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</si>
  <si>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</si>
  <si>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</si>
  <si>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</si>
  <si>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</si>
  <si>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</si>
  <si>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</si>
  <si>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</si>
  <si>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</si>
  <si>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</si>
  <si>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</si>
  <si>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</si>
  <si>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</si>
  <si>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</si>
  <si>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</si>
  <si>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</si>
  <si>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</si>
  <si>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</si>
  <si>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</si>
  <si>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</si>
  <si>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</si>
  <si>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</si>
  <si>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</si>
  <si>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</si>
  <si>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</si>
  <si>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</si>
  <si>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</si>
  <si>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</si>
  <si>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</si>
  <si>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</si>
  <si>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</si>
  <si>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</si>
  <si>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</si>
  <si>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</si>
  <si>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</si>
  <si>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</si>
  <si>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</si>
  <si>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</si>
  <si>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</si>
  <si>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</si>
  <si>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</si>
  <si>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</si>
  <si>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</si>
  <si>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</si>
  <si>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</si>
  <si>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</si>
  <si>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</si>
  <si>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</si>
  <si>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</si>
  <si>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</si>
  <si>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</si>
  <si>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</si>
  <si>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</si>
  <si>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</si>
  <si>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</si>
  <si>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</si>
  <si>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</si>
  <si>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</si>
  <si>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</si>
  <si>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</si>
  <si>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</si>
  <si>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</si>
  <si>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</si>
  <si>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</si>
  <si>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</si>
  <si>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</si>
  <si>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</si>
  <si>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</si>
  <si>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</si>
  <si>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</si>
  <si>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</si>
  <si>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</si>
  <si>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</si>
  <si>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</si>
  <si>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</si>
  <si>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</si>
  <si>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</si>
  <si>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</si>
  <si>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</si>
  <si>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</si>
  <si>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</si>
  <si>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</si>
  <si>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</si>
  <si>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</si>
  <si>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</si>
  <si>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</si>
  <si>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</si>
  <si>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</si>
  <si>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</si>
  <si>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</si>
  <si>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</si>
  <si>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</si>
  <si>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</si>
  <si>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</si>
  <si>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</si>
  <si>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</si>
  <si>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</si>
  <si>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</si>
  <si>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</si>
  <si>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</si>
  <si>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</si>
  <si>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</si>
  <si>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</si>
  <si>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</si>
  <si>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</si>
  <si>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</si>
  <si>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</si>
  <si>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</si>
  <si>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</si>
  <si>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</si>
  <si>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</si>
  <si>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</si>
  <si>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</si>
  <si>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</si>
  <si>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</si>
  <si>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</si>
  <si>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</si>
  <si>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</si>
  <si>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</si>
  <si>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</si>
  <si>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</si>
  <si>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</si>
  <si>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</si>
  <si>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</si>
  <si>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</si>
  <si>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</si>
  <si>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</si>
  <si>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</si>
  <si>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</si>
  <si>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</si>
  <si>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</si>
  <si>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</si>
  <si>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</si>
  <si>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</si>
  <si>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</si>
  <si>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</si>
  <si>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</si>
  <si>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</si>
  <si>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</si>
  <si>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</si>
  <si>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</si>
  <si>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</si>
  <si>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</si>
  <si>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</si>
  <si>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</si>
  <si>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</si>
  <si>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</si>
  <si>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</si>
  <si>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</si>
  <si>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</si>
  <si>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</si>
  <si>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</si>
  <si>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</si>
  <si>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</si>
  <si>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</si>
  <si>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</si>
  <si>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</si>
  <si>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</si>
  <si>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</si>
  <si>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</si>
  <si>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</si>
  <si>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</si>
  <si>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</si>
  <si>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</si>
  <si>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</si>
  <si>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</si>
  <si>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</si>
  <si>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</si>
  <si>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</si>
  <si>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</si>
  <si>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</si>
  <si>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</si>
  <si>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</si>
  <si>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</si>
  <si>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</si>
  <si>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</si>
  <si>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</si>
  <si>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</si>
  <si>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</si>
  <si>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</si>
  <si>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</si>
  <si>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</si>
  <si>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</si>
  <si>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</si>
  <si>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</si>
  <si>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</si>
  <si>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</si>
  <si>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</si>
  <si>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</si>
  <si>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</si>
  <si>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</si>
  <si>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</si>
  <si>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</si>
  <si>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</si>
  <si>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</si>
  <si>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</si>
  <si>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</si>
  <si>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</si>
  <si>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</si>
  <si>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</si>
  <si>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</si>
  <si>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</si>
  <si>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</si>
  <si>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</si>
  <si>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</si>
  <si>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</si>
  <si>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</si>
  <si>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</si>
  <si>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</si>
  <si>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</si>
  <si>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</si>
  <si>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</si>
  <si>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</si>
  <si>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</si>
  <si>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</si>
  <si>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</si>
  <si>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</si>
  <si>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</si>
  <si>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</si>
  <si>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</si>
  <si>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</si>
  <si>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</si>
  <si>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</si>
  <si>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</si>
  <si>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</si>
  <si>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</si>
  <si>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</si>
  <si>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</si>
  <si>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</si>
  <si>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</si>
  <si>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</si>
  <si>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</si>
  <si>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</si>
  <si>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</si>
  <si>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</si>
  <si>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</si>
  <si>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</si>
  <si>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</si>
  <si>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</si>
  <si>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</si>
  <si>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</si>
  <si>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</si>
  <si>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</si>
  <si>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</si>
  <si>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</si>
  <si>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</si>
  <si>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</si>
  <si>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</si>
  <si>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</si>
  <si>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</si>
  <si>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</si>
  <si>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</si>
  <si>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</si>
  <si>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</si>
  <si>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</si>
  <si>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</si>
  <si>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</si>
  <si>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</si>
  <si>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</si>
  <si>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</si>
  <si>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</si>
  <si>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</si>
  <si>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</si>
  <si>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</si>
  <si>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</si>
  <si>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</si>
  <si>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</si>
  <si>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</si>
  <si>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</si>
  <si>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</si>
  <si>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</si>
  <si>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</si>
  <si>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</si>
  <si>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</si>
  <si>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</si>
  <si>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</si>
  <si>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</si>
  <si>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</si>
  <si>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</si>
  <si>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</si>
  <si>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</si>
  <si>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</si>
  <si>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</si>
  <si>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</si>
  <si>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</si>
  <si>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</si>
  <si>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</si>
  <si>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</si>
  <si>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</si>
  <si>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</si>
  <si>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</si>
  <si>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</si>
  <si>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</si>
  <si>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</si>
  <si>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</si>
  <si>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</si>
  <si>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</si>
  <si>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</si>
  <si>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</si>
  <si>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</si>
  <si>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</si>
  <si>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</si>
  <si>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</si>
  <si>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</si>
  <si>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</si>
  <si>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</si>
  <si>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</si>
  <si>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</si>
  <si>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</si>
  <si>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</si>
  <si>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</si>
  <si>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</si>
  <si>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</si>
  <si>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</si>
  <si>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</si>
  <si>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</si>
  <si>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</si>
  <si>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</si>
  <si>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</si>
  <si>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</si>
  <si>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</si>
  <si>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</si>
  <si>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</si>
  <si>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</si>
  <si>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</si>
  <si>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</si>
  <si>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</si>
  <si>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</si>
  <si>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</si>
  <si>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</si>
  <si>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</si>
  <si>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</si>
  <si>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</si>
  <si>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</si>
  <si>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</si>
  <si>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</si>
  <si>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</si>
  <si>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</si>
  <si>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</si>
  <si>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</si>
  <si>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</si>
  <si>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</si>
  <si>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</si>
  <si>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</si>
  <si>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</si>
  <si>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</si>
  <si>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</si>
  <si>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</si>
  <si>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</si>
  <si>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</si>
  <si>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</si>
  <si>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</si>
  <si>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</si>
  <si>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</si>
  <si>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</si>
  <si>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</si>
  <si>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</si>
  <si>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</si>
  <si>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</si>
  <si>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</si>
  <si>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</si>
  <si>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</si>
  <si>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</si>
  <si>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</si>
  <si>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</si>
  <si>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</si>
  <si>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</si>
  <si>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</si>
  <si>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</si>
  <si>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</si>
  <si>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</si>
  <si>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</si>
  <si>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</si>
  <si>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</si>
  <si>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</si>
  <si>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</si>
  <si>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</si>
  <si>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</si>
  <si>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</si>
  <si>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</si>
  <si>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</si>
  <si>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</si>
  <si>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</si>
  <si>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</si>
  <si>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</si>
  <si>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</si>
  <si>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</si>
  <si>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</si>
  <si>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</si>
  <si>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</si>
  <si>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</si>
  <si>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</si>
  <si>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</si>
  <si>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</si>
  <si>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</si>
  <si>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</si>
  <si>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</si>
  <si>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</si>
  <si>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</si>
  <si>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</si>
  <si>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</si>
  <si>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</si>
  <si>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</si>
  <si>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</si>
  <si>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</si>
  <si>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</si>
  <si>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</si>
  <si>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</si>
  <si>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</si>
  <si>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</si>
  <si>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</si>
  <si>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</si>
  <si>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</si>
  <si>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</si>
  <si>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</si>
  <si>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</si>
  <si>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</si>
  <si>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</si>
  <si>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</si>
  <si>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</si>
  <si>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</si>
  <si>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</si>
  <si>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</si>
  <si>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</si>
  <si>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</si>
  <si>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</si>
  <si>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</si>
  <si>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</si>
  <si>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</si>
  <si>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</si>
  <si>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</si>
  <si>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</si>
  <si>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</si>
  <si>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</si>
  <si>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</si>
  <si>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</si>
  <si>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</si>
  <si>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</si>
  <si>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</si>
  <si>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</si>
  <si>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</si>
  <si>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</si>
  <si>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</si>
  <si>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</si>
  <si>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</si>
  <si>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</si>
  <si>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</si>
  <si>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</si>
  <si>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</si>
  <si>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</si>
  <si>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</si>
  <si>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</si>
  <si>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</si>
  <si>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</si>
  <si>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</si>
  <si>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</si>
  <si>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</si>
  <si>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</si>
  <si>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</si>
  <si>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</si>
  <si>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</si>
  <si>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</si>
  <si>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</si>
  <si>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</si>
  <si>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</si>
  <si>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</si>
  <si>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</si>
  <si>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</si>
  <si>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</si>
  <si>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</si>
  <si>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</si>
  <si>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</si>
  <si>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</si>
  <si>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</si>
  <si>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</si>
  <si>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</si>
  <si>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</si>
  <si>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</si>
  <si>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</si>
  <si>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</si>
  <si>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</si>
  <si>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</si>
  <si>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</si>
  <si>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</si>
  <si>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</si>
  <si>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</si>
  <si>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</si>
  <si>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</si>
  <si>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</si>
  <si>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</si>
  <si>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</si>
  <si>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</si>
  <si>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</si>
  <si>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</si>
  <si>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</si>
  <si>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</si>
  <si>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</si>
  <si>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</si>
  <si>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</si>
  <si>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</si>
  <si>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</si>
  <si>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</si>
  <si>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</si>
  <si>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</si>
  <si>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</si>
  <si>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</si>
  <si>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</si>
  <si>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</si>
  <si>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</si>
  <si>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</si>
  <si>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</si>
  <si>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</si>
  <si>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</si>
  <si>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</si>
  <si>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</si>
  <si>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</si>
  <si>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</si>
  <si>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</si>
  <si>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</si>
  <si>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</si>
  <si>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</si>
  <si>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</si>
  <si>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</si>
  <si>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</si>
  <si>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</si>
  <si>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</si>
  <si>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</si>
  <si>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</si>
  <si>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</si>
  <si>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</si>
  <si>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</si>
  <si>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</si>
  <si>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</si>
  <si>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</si>
  <si>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</si>
  <si>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</si>
  <si>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</si>
  <si>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</si>
  <si>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</si>
  <si>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</si>
  <si>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</si>
  <si>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</si>
  <si>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</si>
  <si>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</si>
  <si>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</si>
  <si>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</si>
  <si>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</si>
  <si>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</si>
  <si>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</si>
  <si>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</si>
  <si>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</si>
  <si>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</si>
  <si>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</si>
  <si>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</si>
  <si>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</si>
  <si>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</si>
  <si>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</si>
  <si>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</si>
  <si>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</si>
  <si>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</si>
  <si>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</si>
  <si>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</si>
  <si>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</si>
  <si>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</si>
  <si>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</si>
  <si>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</si>
  <si>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</si>
  <si>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</si>
  <si>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</si>
  <si>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</si>
  <si>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</si>
  <si>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</si>
  <si>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</si>
  <si>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</si>
  <si>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</si>
  <si>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</si>
  <si>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</si>
  <si>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</si>
  <si>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</si>
  <si>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</si>
  <si>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</si>
  <si>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</si>
  <si>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</si>
  <si>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</si>
  <si>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</si>
  <si>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</si>
  <si>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</si>
  <si>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</si>
  <si>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</si>
  <si>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</si>
  <si>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</si>
  <si>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</si>
  <si>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</si>
  <si>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</si>
  <si>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</si>
  <si>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</si>
  <si>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</si>
  <si>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</si>
  <si>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</si>
  <si>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</si>
  <si>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</si>
  <si>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</si>
  <si>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</si>
  <si>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</si>
  <si>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</si>
  <si>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</si>
  <si>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</si>
  <si>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</si>
  <si>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</si>
  <si>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</si>
  <si>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</si>
  <si>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</si>
  <si>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</si>
  <si>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</si>
  <si>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</si>
  <si>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</si>
  <si>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</si>
  <si>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</si>
  <si>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</si>
  <si>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</si>
  <si>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</si>
  <si>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</si>
  <si>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</si>
  <si>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</si>
  <si>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</si>
  <si>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</si>
  <si>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</si>
  <si>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</si>
  <si>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</si>
  <si>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</si>
  <si>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</si>
  <si>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</si>
  <si>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</si>
  <si>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</si>
  <si>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</si>
  <si>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</si>
  <si>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</si>
  <si>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</si>
  <si>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</si>
  <si>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</si>
  <si>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</si>
  <si>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</si>
  <si>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</si>
  <si>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</si>
  <si>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</si>
  <si>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</si>
  <si>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</si>
  <si>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</si>
  <si>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</si>
  <si>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</si>
  <si>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</si>
  <si>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</si>
  <si>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</si>
  <si>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</si>
  <si>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</si>
  <si>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</si>
  <si>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</si>
  <si>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</si>
  <si>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</si>
  <si>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</si>
  <si>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</si>
  <si>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</si>
  <si>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</si>
  <si>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</si>
  <si>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</si>
  <si>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</si>
  <si>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</si>
  <si>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</si>
  <si>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</si>
  <si>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</si>
  <si>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</si>
  <si>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</si>
  <si>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</si>
  <si>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</si>
  <si>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</si>
  <si>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</si>
  <si>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</si>
  <si>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</si>
  <si>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</si>
  <si>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</si>
  <si>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</si>
  <si>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</si>
  <si>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</si>
  <si>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</si>
  <si>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</si>
  <si>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</si>
  <si>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</si>
  <si>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</si>
  <si>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</si>
  <si>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</si>
  <si>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</si>
  <si>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</si>
  <si>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</si>
  <si>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</si>
  <si>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</si>
  <si>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</si>
  <si>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</si>
  <si>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6" type="noConversion"/>
  </si>
  <si>
    <t>北京中京艺苑置业有限公司</t>
    <phoneticPr fontId="6" type="noConversion"/>
  </si>
  <si>
    <t>是</t>
  </si>
  <si>
    <t>办公项目</t>
  </si>
  <si>
    <t>现房</t>
  </si>
  <si>
    <t>权利人</t>
    <phoneticPr fontId="134" type="noConversion"/>
  </si>
  <si>
    <t>坐落</t>
    <phoneticPr fontId="134" type="noConversion"/>
  </si>
  <si>
    <t>权利性质</t>
    <phoneticPr fontId="134" type="noConversion"/>
  </si>
  <si>
    <t>使用期限</t>
    <phoneticPr fontId="134" type="noConversion"/>
  </si>
  <si>
    <t>总层数</t>
    <phoneticPr fontId="134" type="noConversion"/>
  </si>
  <si>
    <t>所在层数</t>
    <phoneticPr fontId="134" type="noConversion"/>
  </si>
  <si>
    <t>竣工时间</t>
    <phoneticPr fontId="134" type="noConversion"/>
  </si>
  <si>
    <t>北京中京艺苑置业有限公司</t>
    <phoneticPr fontId="134" type="noConversion"/>
  </si>
  <si>
    <t>出让/商品房</t>
    <phoneticPr fontId="134" type="noConversion"/>
  </si>
  <si>
    <t>地下库房</t>
    <phoneticPr fontId="134" type="noConversion"/>
  </si>
  <si>
    <t>结构</t>
    <phoneticPr fontId="134" type="noConversion"/>
  </si>
  <si>
    <t>钢混</t>
    <phoneticPr fontId="134" type="noConversion"/>
  </si>
  <si>
    <t>房号</t>
    <phoneticPr fontId="134" type="noConversion"/>
  </si>
  <si>
    <t>楼号</t>
    <phoneticPr fontId="134" type="noConversion"/>
  </si>
  <si>
    <t>26号楼</t>
    <phoneticPr fontId="134" type="noConversion"/>
  </si>
  <si>
    <r>
      <t>3</t>
    </r>
    <r>
      <rPr>
        <sz val="11"/>
        <color theme="1"/>
        <rFont val="宋体"/>
        <family val="3"/>
        <charset val="134"/>
        <scheme val="minor"/>
      </rPr>
      <t>0号楼</t>
    </r>
    <phoneticPr fontId="134" type="noConversion"/>
  </si>
  <si>
    <t>28号楼</t>
    <phoneticPr fontId="134" type="noConversion"/>
  </si>
  <si>
    <t>车位</t>
    <phoneticPr fontId="134" type="noConversion"/>
  </si>
  <si>
    <r>
      <t>1</t>
    </r>
    <r>
      <rPr>
        <sz val="11"/>
        <color theme="1"/>
        <rFont val="宋体"/>
        <family val="3"/>
        <charset val="134"/>
        <scheme val="minor"/>
      </rPr>
      <t>8（-04）</t>
    </r>
    <phoneticPr fontId="134" type="noConversion"/>
  </si>
  <si>
    <r>
      <t>-</t>
    </r>
    <r>
      <rPr>
        <sz val="11"/>
        <color theme="1"/>
        <rFont val="宋体"/>
        <family val="3"/>
        <charset val="134"/>
        <scheme val="minor"/>
      </rPr>
      <t>03</t>
    </r>
    <phoneticPr fontId="134" type="noConversion"/>
  </si>
  <si>
    <t>20（-04）</t>
    <phoneticPr fontId="134" type="noConversion"/>
  </si>
  <si>
    <r>
      <t>-</t>
    </r>
    <r>
      <rPr>
        <sz val="11"/>
        <color theme="1"/>
        <rFont val="宋体"/>
        <family val="3"/>
        <charset val="134"/>
        <scheme val="minor"/>
      </rPr>
      <t>02</t>
    </r>
    <phoneticPr fontId="134" type="noConversion"/>
  </si>
  <si>
    <t>地下库房</t>
    <phoneticPr fontId="134" type="noConversion"/>
  </si>
  <si>
    <r>
      <t>-</t>
    </r>
    <r>
      <rPr>
        <sz val="11"/>
        <color theme="1"/>
        <rFont val="宋体"/>
        <family val="3"/>
        <charset val="134"/>
        <scheme val="minor"/>
      </rPr>
      <t>01</t>
    </r>
    <phoneticPr fontId="134" type="noConversion"/>
  </si>
  <si>
    <r>
      <t>0</t>
    </r>
    <r>
      <rPr>
        <sz val="11"/>
        <color theme="1"/>
        <rFont val="宋体"/>
        <family val="3"/>
        <charset val="134"/>
        <scheme val="minor"/>
      </rPr>
      <t>1</t>
    </r>
    <phoneticPr fontId="134" type="noConversion"/>
  </si>
  <si>
    <r>
      <t>0</t>
    </r>
    <r>
      <rPr>
        <sz val="11"/>
        <color theme="1"/>
        <rFont val="宋体"/>
        <family val="3"/>
        <charset val="134"/>
        <scheme val="minor"/>
      </rPr>
      <t>2</t>
    </r>
    <phoneticPr fontId="134" type="noConversion"/>
  </si>
  <si>
    <r>
      <t>0</t>
    </r>
    <r>
      <rPr>
        <sz val="11"/>
        <color theme="1"/>
        <rFont val="宋体"/>
        <family val="3"/>
        <charset val="134"/>
        <scheme val="minor"/>
      </rPr>
      <t>3</t>
    </r>
    <phoneticPr fontId="134" type="noConversion"/>
  </si>
  <si>
    <t>餐厅</t>
    <phoneticPr fontId="134" type="noConversion"/>
  </si>
  <si>
    <t>商业</t>
    <phoneticPr fontId="134" type="noConversion"/>
  </si>
  <si>
    <t>辅助部分</t>
    <phoneticPr fontId="134" type="noConversion"/>
  </si>
  <si>
    <t>厨房</t>
    <phoneticPr fontId="134" type="noConversion"/>
  </si>
  <si>
    <t>咖啡座</t>
    <phoneticPr fontId="134" type="noConversion"/>
  </si>
  <si>
    <r>
      <t>0</t>
    </r>
    <r>
      <rPr>
        <sz val="11"/>
        <color theme="1"/>
        <rFont val="宋体"/>
        <family val="3"/>
        <charset val="134"/>
        <scheme val="minor"/>
      </rPr>
      <t>4</t>
    </r>
    <phoneticPr fontId="134" type="noConversion"/>
  </si>
  <si>
    <r>
      <t>0</t>
    </r>
    <r>
      <rPr>
        <sz val="11"/>
        <color theme="1"/>
        <rFont val="宋体"/>
        <family val="3"/>
        <charset val="134"/>
        <scheme val="minor"/>
      </rPr>
      <t>5</t>
    </r>
    <phoneticPr fontId="134" type="noConversion"/>
  </si>
  <si>
    <r>
      <t>0</t>
    </r>
    <r>
      <rPr>
        <sz val="11"/>
        <color theme="1"/>
        <rFont val="宋体"/>
        <family val="3"/>
        <charset val="134"/>
        <scheme val="minor"/>
      </rPr>
      <t>6</t>
    </r>
    <phoneticPr fontId="134" type="noConversion"/>
  </si>
  <si>
    <r>
      <t>0</t>
    </r>
    <r>
      <rPr>
        <sz val="11"/>
        <color theme="1"/>
        <rFont val="宋体"/>
        <family val="3"/>
        <charset val="134"/>
        <scheme val="minor"/>
      </rPr>
      <t>7</t>
    </r>
    <phoneticPr fontId="134" type="noConversion"/>
  </si>
  <si>
    <r>
      <t>0</t>
    </r>
    <r>
      <rPr>
        <sz val="11"/>
        <color theme="1"/>
        <rFont val="宋体"/>
        <family val="3"/>
        <charset val="134"/>
        <scheme val="minor"/>
      </rPr>
      <t>8</t>
    </r>
    <phoneticPr fontId="134" type="noConversion"/>
  </si>
  <si>
    <r>
      <t>0</t>
    </r>
    <r>
      <rPr>
        <sz val="11"/>
        <color theme="1"/>
        <rFont val="宋体"/>
        <family val="3"/>
        <charset val="134"/>
        <scheme val="minor"/>
      </rPr>
      <t>9</t>
    </r>
    <phoneticPr fontId="134" type="noConversion"/>
  </si>
  <si>
    <r>
      <t>1</t>
    </r>
    <r>
      <rPr>
        <sz val="11"/>
        <color theme="1"/>
        <rFont val="宋体"/>
        <family val="3"/>
        <charset val="134"/>
        <scheme val="minor"/>
      </rPr>
      <t>0</t>
    </r>
    <phoneticPr fontId="134" type="noConversion"/>
  </si>
  <si>
    <r>
      <t>1</t>
    </r>
    <r>
      <rPr>
        <sz val="11"/>
        <color theme="1"/>
        <rFont val="宋体"/>
        <family val="3"/>
        <charset val="134"/>
        <scheme val="minor"/>
      </rPr>
      <t>1</t>
    </r>
    <phoneticPr fontId="134" type="noConversion"/>
  </si>
  <si>
    <r>
      <t>1</t>
    </r>
    <r>
      <rPr>
        <sz val="11"/>
        <color theme="1"/>
        <rFont val="宋体"/>
        <family val="3"/>
        <charset val="134"/>
        <scheme val="minor"/>
      </rPr>
      <t>2</t>
    </r>
    <phoneticPr fontId="134" type="noConversion"/>
  </si>
  <si>
    <t>办公</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</si>
  <si>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</si>
  <si>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6</t>
    </r>
    <phoneticPr fontId="134" type="noConversion"/>
  </si>
  <si>
    <r>
      <t>1</t>
    </r>
    <r>
      <rPr>
        <sz val="11"/>
        <color theme="1"/>
        <rFont val="宋体"/>
        <family val="3"/>
        <charset val="134"/>
        <scheme val="minor"/>
      </rPr>
      <t>8</t>
    </r>
    <phoneticPr fontId="134" type="noConversion"/>
  </si>
  <si>
    <r>
      <t>1</t>
    </r>
    <r>
      <rPr>
        <sz val="11"/>
        <color theme="1"/>
        <rFont val="宋体"/>
        <family val="3"/>
        <charset val="134"/>
        <scheme val="minor"/>
      </rPr>
      <t>9</t>
    </r>
    <phoneticPr fontId="134" type="noConversion"/>
  </si>
  <si>
    <r>
      <t>2</t>
    </r>
    <r>
      <rPr>
        <sz val="11"/>
        <color theme="1"/>
        <rFont val="宋体"/>
        <family val="3"/>
        <charset val="134"/>
        <scheme val="minor"/>
      </rPr>
      <t>0</t>
    </r>
    <phoneticPr fontId="134" type="noConversion"/>
  </si>
  <si>
    <r>
      <t>西城区平安里西大街2</t>
    </r>
    <r>
      <rPr>
        <sz val="11"/>
        <color theme="1"/>
        <rFont val="宋体"/>
        <family val="3"/>
        <charset val="134"/>
        <scheme val="minor"/>
      </rPr>
      <t>6号楼</t>
    </r>
    <phoneticPr fontId="134" type="noConversion"/>
  </si>
  <si>
    <t>西城区平安里西大街30号楼</t>
    <phoneticPr fontId="134" type="noConversion"/>
  </si>
  <si>
    <r>
      <t>西城区平安里西大街2</t>
    </r>
    <r>
      <rPr>
        <sz val="11"/>
        <color theme="1"/>
        <rFont val="宋体"/>
        <family val="3"/>
        <charset val="134"/>
        <scheme val="minor"/>
      </rPr>
      <t>8</t>
    </r>
    <r>
      <rPr>
        <sz val="11"/>
        <color theme="1"/>
        <rFont val="宋体"/>
        <family val="3"/>
        <charset val="134"/>
        <scheme val="minor"/>
      </rPr>
      <t>号楼</t>
    </r>
    <phoneticPr fontId="134" type="noConversion"/>
  </si>
  <si>
    <t>合计</t>
    <phoneticPr fontId="134" type="noConversion"/>
  </si>
  <si>
    <t>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</si>
  <si>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</si>
  <si>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</si>
  <si>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</si>
  <si>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</si>
  <si>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</si>
  <si>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用途</t>
    <phoneticPr fontId="134" type="noConversion"/>
  </si>
  <si>
    <t>面积</t>
    <phoneticPr fontId="134" type="noConversion"/>
  </si>
  <si>
    <t>使用期限</t>
    <phoneticPr fontId="134" type="noConversion"/>
  </si>
  <si>
    <r>
      <t>京(</t>
    </r>
    <r>
      <rPr>
        <sz val="11"/>
        <color theme="1"/>
        <rFont val="宋体"/>
        <family val="3"/>
        <charset val="134"/>
        <scheme val="minor"/>
      </rPr>
      <t>2024)西不动产权第0005663号</t>
    </r>
    <phoneticPr fontId="134" type="noConversion"/>
  </si>
  <si>
    <t>北京中京艺苑置业有限公司</t>
    <phoneticPr fontId="134" type="noConversion"/>
  </si>
  <si>
    <t>西城区平安里西大街28号楼1层101等[34]套</t>
    <phoneticPr fontId="134" type="noConversion"/>
  </si>
  <si>
    <t>单独所有</t>
    <phoneticPr fontId="134" type="noConversion"/>
  </si>
  <si>
    <t>国有建设用地使用权/房屋所有权</t>
    <phoneticPr fontId="134" type="noConversion"/>
  </si>
  <si>
    <t>出让/商品房</t>
    <phoneticPr fontId="134" type="noConversion"/>
  </si>
  <si>
    <t>办公、地下车库、地下办公/车位、辅助部分、餐厅、地下库房、办公、咖啡座、商业、厨房</t>
    <phoneticPr fontId="134" type="noConversion"/>
  </si>
  <si>
    <t>共有宗地面积21811.44平方米/房屋建筑面积51206.53平方米</t>
    <phoneticPr fontId="134" type="noConversion"/>
  </si>
  <si>
    <t>国有建设用地使用权：2004-03-07起2054-03-06止</t>
    <phoneticPr fontId="134" type="noConversion"/>
  </si>
  <si>
    <t>招商银行</t>
    <phoneticPr fontId="6" type="noConversion"/>
  </si>
  <si>
    <t>地下车位</t>
  </si>
  <si>
    <t>地下车位</t>
    <phoneticPr fontId="134" type="noConversion"/>
  </si>
  <si>
    <t>地下商业</t>
  </si>
  <si>
    <t>地下商业</t>
    <phoneticPr fontId="134" type="noConversion"/>
  </si>
  <si>
    <t>地上</t>
  </si>
  <si>
    <t>地下</t>
  </si>
  <si>
    <t>地上办公</t>
  </si>
  <si>
    <t>地上办公</t>
    <phoneticPr fontId="134" type="noConversion"/>
  </si>
  <si>
    <t>分摊土地面积</t>
    <phoneticPr fontId="134" type="noConversion"/>
  </si>
  <si>
    <t>土地用途</t>
    <phoneticPr fontId="134" type="noConversion"/>
  </si>
  <si>
    <t>办公、地下办公、地下车库、城镇住宅用地</t>
    <phoneticPr fontId="134"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</si>
  <si>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</si>
  <si>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</si>
  <si>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</si>
  <si>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新街口街道</t>
    <phoneticPr fontId="3" type="noConversion"/>
  </si>
  <si>
    <t>成新度</t>
  </si>
  <si>
    <t>竣工时间</t>
    <phoneticPr fontId="3" type="noConversion"/>
  </si>
  <si>
    <t>证载</t>
    <phoneticPr fontId="3" type="noConversion"/>
  </si>
  <si>
    <t>直线</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</si>
  <si>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</si>
  <si>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</si>
  <si>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</si>
  <si>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</si>
  <si>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</si>
  <si>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</si>
  <si>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</si>
  <si>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</si>
  <si>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</si>
  <si>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</si>
  <si>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</si>
  <si>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室外工程</t>
    <phoneticPr fontId="247" type="noConversion"/>
  </si>
  <si>
    <t>占比</t>
    <phoneticPr fontId="247" type="noConversion"/>
  </si>
  <si>
    <t>主体</t>
    <phoneticPr fontId="247" type="noConversion"/>
  </si>
  <si>
    <t>装修</t>
    <phoneticPr fontId="247" type="noConversion"/>
  </si>
  <si>
    <t>设备</t>
    <phoneticPr fontId="247" type="noConversion"/>
  </si>
  <si>
    <t>室外</t>
    <phoneticPr fontId="247" type="noConversion"/>
  </si>
  <si>
    <r>
      <t>1</t>
    </r>
    <r>
      <rPr>
        <sz val="11"/>
        <color theme="1"/>
        <rFont val="宋体"/>
        <family val="3"/>
        <charset val="134"/>
        <scheme val="minor"/>
      </rPr>
      <t>-3层</t>
    </r>
    <phoneticPr fontId="134" type="noConversion"/>
  </si>
  <si>
    <t>地下2层</t>
    <phoneticPr fontId="134" type="noConversion"/>
  </si>
  <si>
    <t>地上</t>
    <phoneticPr fontId="134" type="noConversion"/>
  </si>
  <si>
    <t>地上1-3商业</t>
  </si>
  <si>
    <t>地上1-3商业</t>
    <phoneticPr fontId="134" type="noConversion"/>
  </si>
  <si>
    <t>收益法（地上1-3层商业）</t>
  </si>
  <si>
    <t>收益法（地上1-3层商业）</t>
    <phoneticPr fontId="16" type="noConversion"/>
  </si>
  <si>
    <t>收益法 （地下商业）</t>
  </si>
  <si>
    <t>收益法 （地下商业）</t>
    <phoneticPr fontId="16" type="noConversion"/>
  </si>
  <si>
    <t>收益法（地上办公）</t>
  </si>
  <si>
    <t>收益法（地上办公）</t>
    <phoneticPr fontId="16" type="noConversion"/>
  </si>
  <si>
    <t>收益法 （地下车位）</t>
  </si>
  <si>
    <t>收益法 （地下车位）</t>
    <phoneticPr fontId="16" type="noConversion"/>
  </si>
  <si>
    <r>
      <rPr>
        <sz val="10"/>
        <color indexed="8"/>
        <rFont val="宋体"/>
        <family val="3"/>
        <charset val="134"/>
      </rPr>
      <t>根据</t>
    </r>
    <r>
      <rPr>
        <sz val="10"/>
        <color indexed="8"/>
        <rFont val="Arial"/>
        <family val="2"/>
      </rPr>
      <t>2024</t>
    </r>
    <r>
      <rPr>
        <sz val="10"/>
        <color indexed="8"/>
        <rFont val="宋体"/>
        <family val="3"/>
        <charset val="134"/>
      </rPr>
      <t>年杜鸣报告</t>
    </r>
    <phoneticPr fontId="3" type="noConversion"/>
  </si>
  <si>
    <r>
      <rPr>
        <sz val="10"/>
        <color indexed="8"/>
        <rFont val="宋体"/>
        <family val="3"/>
        <charset val="134"/>
      </rPr>
      <t>地下车位共</t>
    </r>
    <r>
      <rPr>
        <sz val="10"/>
        <color indexed="8"/>
        <rFont val="Arial"/>
        <family val="2"/>
      </rPr>
      <t>434</t>
    </r>
    <r>
      <rPr>
        <sz val="10"/>
        <color indexed="8"/>
        <rFont val="宋体"/>
        <family val="3"/>
        <charset val="134"/>
      </rPr>
      <t>个</t>
    </r>
    <phoneticPr fontId="3" type="noConversion"/>
  </si>
  <si>
    <t>押一</t>
  </si>
  <si>
    <t>钢混</t>
  </si>
  <si>
    <t>非生产用房</t>
  </si>
  <si>
    <t>否</t>
  </si>
  <si>
    <t>收益法（汇总）</t>
  </si>
  <si>
    <t>宗地容积率</t>
  </si>
  <si>
    <t>不临65条商业街</t>
  </si>
  <si>
    <t>与级别开发程度不一致</t>
  </si>
  <si>
    <t>通路</t>
  </si>
  <si>
    <t>通电</t>
  </si>
  <si>
    <t>通讯</t>
  </si>
  <si>
    <t>通上水</t>
  </si>
  <si>
    <t>通下水</t>
  </si>
  <si>
    <t>燃气</t>
  </si>
  <si>
    <t>平整</t>
  </si>
  <si>
    <t>较好</t>
  </si>
  <si>
    <t>好</t>
  </si>
  <si>
    <t>商务金融用地</t>
  </si>
  <si>
    <t>楼层修正</t>
  </si>
  <si>
    <t>未包含在土地购买价格中</t>
  </si>
  <si>
    <t>已包含在土地取得成本中</t>
  </si>
  <si>
    <t>全部缴纳</t>
  </si>
  <si>
    <t>情况4</t>
  </si>
  <si>
    <t>正常</t>
  </si>
  <si>
    <t>非个人房产</t>
  </si>
  <si>
    <t>项目模式</t>
  </si>
  <si>
    <t>售价</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</si>
  <si>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</si>
  <si>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</si>
  <si>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</si>
  <si>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</si>
  <si>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</si>
  <si>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</si>
  <si>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</si>
  <si>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</si>
  <si>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</si>
  <si>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</si>
  <si>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</si>
  <si>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</si>
  <si>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</si>
  <si>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</si>
  <si>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</si>
  <si>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</si>
  <si>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专业</t>
  </si>
  <si>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</si>
  <si>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</si>
  <si>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</si>
  <si>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</si>
  <si>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</si>
  <si>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</si>
  <si>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标准层高</t>
    <phoneticPr fontId="31" type="noConversion"/>
  </si>
  <si>
    <t>地下面积占比</t>
    <phoneticPr fontId="31" type="noConversion"/>
  </si>
  <si>
    <t>地下总面积</t>
    <phoneticPr fontId="134" type="noConversion"/>
  </si>
  <si>
    <t>地上总面积</t>
    <phoneticPr fontId="134" type="noConversion"/>
  </si>
  <si>
    <t>占比</t>
    <phoneticPr fontId="134" type="noConversion"/>
  </si>
  <si>
    <t>高速路/快速路</t>
  </si>
  <si>
    <t>中海国际中心</t>
    <phoneticPr fontId="3" type="noConversion"/>
  </si>
  <si>
    <t>中海金融中心</t>
    <phoneticPr fontId="3" type="noConversion"/>
  </si>
  <si>
    <r>
      <t>2022</t>
    </r>
    <r>
      <rPr>
        <sz val="11"/>
        <color indexed="8"/>
        <rFont val="宋体"/>
        <family val="3"/>
        <charset val="134"/>
      </rPr>
      <t>预售证</t>
    </r>
    <phoneticPr fontId="31" type="noConversion"/>
  </si>
  <si>
    <t>丽金智地中心</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</si>
  <si>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</si>
  <si>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</si>
  <si>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</si>
  <si>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</si>
  <si>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</si>
  <si>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</si>
  <si>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</si>
  <si>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</si>
  <si>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</si>
  <si>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</si>
  <si>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</si>
  <si>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</si>
  <si>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</si>
  <si>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</si>
  <si>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</si>
  <si>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</si>
  <si>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</si>
  <si>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中电信息大厦一层（103-107）</t>
    <phoneticPr fontId="3" type="noConversion"/>
  </si>
  <si>
    <t>海淀区中关村南大街6号中电信
息大厦一层（103-107）</t>
    <phoneticPr fontId="3" type="noConversion"/>
  </si>
  <si>
    <t>中关村</t>
    <phoneticPr fontId="3" type="noConversion"/>
  </si>
  <si>
    <t>深圳市聚榕投资有限公司</t>
    <phoneticPr fontId="3" type="noConversion"/>
  </si>
  <si>
    <t>18（-2）</t>
    <phoneticPr fontId="3" type="noConversion"/>
  </si>
  <si>
    <t>1999年</t>
    <phoneticPr fontId="3" type="noConversion"/>
  </si>
  <si>
    <t>方恒时尚中心1#楼1-4层部分共25套</t>
    <phoneticPr fontId="3" type="noConversion"/>
  </si>
  <si>
    <t>海淀区北三环西路，大钟寺地铁站西北三百米处</t>
    <phoneticPr fontId="3" type="noConversion"/>
  </si>
  <si>
    <t>北三环</t>
    <phoneticPr fontId="3" type="noConversion"/>
  </si>
  <si>
    <t>方恒集团</t>
    <phoneticPr fontId="3" type="noConversion"/>
  </si>
  <si>
    <t>写字楼</t>
    <phoneticPr fontId="3" type="noConversion"/>
  </si>
  <si>
    <t>1-4层部分共25套，其中108号133.53平方米，2层2467.58平方米，3层2506.34平方，4层2506.36平方米，</t>
    <phoneticPr fontId="3" type="noConversion"/>
  </si>
  <si>
    <t>2019年</t>
    <phoneticPr fontId="3" type="noConversion"/>
  </si>
  <si>
    <t>新街高和（原为星街坊购物中心）</t>
    <phoneticPr fontId="3" type="noConversion"/>
  </si>
  <si>
    <t>西城区新街口北大街3号</t>
    <phoneticPr fontId="3" type="noConversion"/>
  </si>
  <si>
    <t>新街口</t>
    <phoneticPr fontId="3" type="noConversion"/>
  </si>
  <si>
    <t>高和资本</t>
    <phoneticPr fontId="3" type="noConversion"/>
  </si>
  <si>
    <t>商业、办公</t>
    <phoneticPr fontId="3" type="noConversion"/>
  </si>
  <si>
    <t>长城人寿</t>
    <phoneticPr fontId="3" type="noConversion"/>
  </si>
  <si>
    <t>2023年Q4</t>
    <phoneticPr fontId="3"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</si>
  <si>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3" type="noConversion"/>
  </si>
  <si>
    <t>2008年</t>
    <phoneticPr fontId="3" type="noConversion"/>
  </si>
  <si>
    <t>新景商务楼</t>
    <phoneticPr fontId="3" type="noConversion"/>
  </si>
  <si>
    <t>东城区广渠门内大街125号院1号楼</t>
    <phoneticPr fontId="3" type="noConversion"/>
  </si>
  <si>
    <t>广渠门</t>
    <phoneticPr fontId="3" type="noConversion"/>
  </si>
  <si>
    <t>新世界</t>
    <phoneticPr fontId="3" type="noConversion"/>
  </si>
  <si>
    <t>商业、办公、车库、储藏室</t>
    <phoneticPr fontId="3" type="noConversion"/>
  </si>
  <si>
    <t>长江商学院</t>
    <phoneticPr fontId="3" type="noConversion"/>
  </si>
  <si>
    <t>地上10层、地下3层，地下商业2104.51㎡，地下储藏室113.42平方米，地下车库4452.24平方米；地上1、2层、4层部分为商业（7455.79平方米）</t>
    <phoneticPr fontId="3" type="noConversion"/>
  </si>
  <si>
    <t>2021年</t>
    <phoneticPr fontId="3" type="noConversion"/>
  </si>
  <si>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</si>
  <si>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</si>
  <si>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</si>
  <si>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</si>
  <si>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</si>
  <si>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</si>
  <si>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</si>
  <si>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</si>
  <si>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</si>
  <si>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</si>
  <si>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phoneticPr fontId="3" type="noConversion"/>
  </si>
  <si>
    <t>朝阳区建国路93号院</t>
    <phoneticPr fontId="3" type="noConversion"/>
  </si>
  <si>
    <t>CBD</t>
    <phoneticPr fontId="3" type="noConversion"/>
  </si>
  <si>
    <t>万达</t>
    <phoneticPr fontId="3" type="noConversion"/>
  </si>
  <si>
    <t>商业、办公、车位</t>
    <phoneticPr fontId="3" type="noConversion"/>
  </si>
  <si>
    <t>新华保险</t>
    <phoneticPr fontId="3" type="noConversion"/>
  </si>
  <si>
    <t>2024-Q2</t>
    <phoneticPr fontId="3" type="noConversion"/>
  </si>
  <si>
    <t>地下3层至地上7层的购物中心（地下商业22369.8平方米，地上商业47020.4平方米）及部分写字楼（31138.32平方米）和地下车位（27007.11平方米）；商业2044-7-28，办公2054-7-28</t>
    <phoneticPr fontId="3" type="noConversion"/>
  </si>
  <si>
    <t>2006年</t>
    <phoneticPr fontId="3" type="noConversion"/>
  </si>
  <si>
    <t>比较法-办公</t>
  </si>
  <si>
    <t>办公</t>
    <phoneticPr fontId="31" type="noConversion"/>
  </si>
  <si>
    <r>
      <t>0</t>
    </r>
    <r>
      <rPr>
        <sz val="11"/>
        <color indexed="8"/>
        <rFont val="宋体"/>
        <family val="3"/>
        <charset val="134"/>
      </rPr>
      <t>（含）</t>
    </r>
    <r>
      <rPr>
        <sz val="11"/>
        <color indexed="8"/>
        <rFont val="Arial"/>
        <family val="2"/>
      </rPr>
      <t>-10%</t>
    </r>
  </si>
  <si>
    <r>
      <t>0</t>
    </r>
    <r>
      <rPr>
        <sz val="11"/>
        <color indexed="8"/>
        <rFont val="宋体"/>
        <family val="3"/>
        <charset val="134"/>
      </rPr>
      <t>（含）</t>
    </r>
    <r>
      <rPr>
        <sz val="11"/>
        <color indexed="8"/>
        <rFont val="Arial"/>
        <family val="2"/>
      </rPr>
      <t>-10%</t>
    </r>
    <phoneticPr fontId="31" type="noConversion"/>
  </si>
  <si>
    <r>
      <t>10</t>
    </r>
    <r>
      <rPr>
        <sz val="11"/>
        <color indexed="8"/>
        <rFont val="宋体"/>
        <family val="3"/>
        <charset val="134"/>
      </rPr>
      <t>（含）</t>
    </r>
    <r>
      <rPr>
        <sz val="11"/>
        <color indexed="8"/>
        <rFont val="Arial"/>
        <family val="2"/>
      </rPr>
      <t>-20%</t>
    </r>
    <phoneticPr fontId="31" type="noConversion"/>
  </si>
  <si>
    <r>
      <t>20</t>
    </r>
    <r>
      <rPr>
        <sz val="11"/>
        <color indexed="8"/>
        <rFont val="宋体"/>
        <family val="3"/>
        <charset val="134"/>
      </rPr>
      <t>（含）</t>
    </r>
    <r>
      <rPr>
        <sz val="11"/>
        <color indexed="8"/>
        <rFont val="Arial"/>
        <family val="2"/>
      </rPr>
      <t>-30%</t>
    </r>
    <phoneticPr fontId="31" type="noConversion"/>
  </si>
  <si>
    <t>郑燚</t>
  </si>
  <si>
    <t>丽金智地中心</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</si>
  <si>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</si>
  <si>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</si>
  <si>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</si>
  <si>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</si>
  <si>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</si>
  <si>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20-30</t>
    </r>
    <r>
      <rPr>
        <sz val="11"/>
        <color indexed="8"/>
        <rFont val="宋体"/>
        <family val="3"/>
        <charset val="134"/>
      </rPr>
      <t>（含）</t>
    </r>
    <phoneticPr fontId="31" type="noConversion"/>
  </si>
  <si>
    <t>甲级</t>
  </si>
  <si>
    <t>甲级</t>
    <phoneticPr fontId="31" type="noConversion"/>
  </si>
  <si>
    <t>乙级</t>
    <phoneticPr fontId="31" type="noConversion"/>
  </si>
  <si>
    <t>丙级</t>
    <phoneticPr fontId="31" type="noConversion"/>
  </si>
  <si>
    <t>未评级</t>
    <phoneticPr fontId="31" type="noConversion"/>
  </si>
  <si>
    <t>超甲级</t>
  </si>
  <si>
    <t>超甲级</t>
    <phoneticPr fontId="31" type="noConversion"/>
  </si>
  <si>
    <t>中指</t>
    <phoneticPr fontId="31"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</si>
  <si>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</si>
  <si>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</si>
  <si>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</si>
  <si>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</si>
  <si>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</si>
  <si>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</si>
  <si>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</si>
  <si>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</si>
  <si>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</si>
  <si>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</si>
  <si>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</si>
  <si>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</si>
  <si>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</si>
  <si>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</si>
  <si>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</si>
  <si>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</si>
  <si>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2单元1401</t>
  </si>
  <si>
    <t>现：京(2024)海不动产权第0004811号</t>
  </si>
  <si>
    <t>其他</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</si>
  <si>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</si>
  <si>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</si>
  <si>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</si>
  <si>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</si>
  <si>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</si>
  <si>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</si>
  <si>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</si>
  <si>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</si>
  <si>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</si>
  <si>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</si>
  <si>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</si>
  <si>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</si>
  <si>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</si>
  <si>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</si>
  <si>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</si>
  <si>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</si>
  <si>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</si>
  <si>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</si>
  <si>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</si>
  <si>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</si>
  <si>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</si>
  <si>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</si>
  <si>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</si>
  <si>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</si>
  <si>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</si>
  <si>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</si>
  <si>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</si>
  <si>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</si>
  <si>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</si>
  <si>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</si>
  <si>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</si>
  <si>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</si>
  <si>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</si>
  <si>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</si>
  <si>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</si>
  <si>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</si>
  <si>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</si>
  <si>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</si>
  <si>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</si>
  <si>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</si>
  <si>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</si>
  <si>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</si>
  <si>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</si>
  <si>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</si>
  <si>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</si>
  <si>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</si>
  <si>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</si>
  <si>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</si>
  <si>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</si>
  <si>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</si>
  <si>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</si>
  <si>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</si>
  <si>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</si>
  <si>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</si>
  <si>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</si>
  <si>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</si>
  <si>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</si>
  <si>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中海国际中心</t>
    <phoneticPr fontId="31" type="noConversion"/>
  </si>
  <si>
    <t>3#办公楼</t>
  </si>
  <si>
    <t>京房售证字(2024)99号</t>
  </si>
  <si>
    <t>土地使用期限</t>
    <phoneticPr fontId="31" type="noConversion"/>
  </si>
  <si>
    <r>
      <rPr>
        <sz val="10"/>
        <color indexed="8"/>
        <rFont val="宋体"/>
        <family val="3"/>
        <charset val="134"/>
      </rPr>
      <t>地上</t>
    </r>
    <r>
      <rPr>
        <sz val="10"/>
        <color indexed="8"/>
        <rFont val="Arial"/>
        <family val="2"/>
      </rPr>
      <t>1-3</t>
    </r>
    <r>
      <rPr>
        <sz val="10"/>
        <color indexed="8"/>
        <rFont val="宋体"/>
        <family val="3"/>
        <charset val="134"/>
      </rPr>
      <t>层商业</t>
    </r>
    <phoneticPr fontId="3" type="noConversion"/>
  </si>
  <si>
    <t>租金</t>
    <phoneticPr fontId="3" type="noConversion"/>
  </si>
  <si>
    <t>地上1层商业</t>
    <phoneticPr fontId="3" type="noConversion"/>
  </si>
  <si>
    <r>
      <rPr>
        <sz val="10"/>
        <color indexed="8"/>
        <rFont val="宋体"/>
        <family val="3"/>
        <charset val="134"/>
      </rPr>
      <t>地上</t>
    </r>
    <r>
      <rPr>
        <sz val="10"/>
        <color indexed="8"/>
        <rFont val="Arial"/>
        <family val="2"/>
      </rPr>
      <t>2</t>
    </r>
    <r>
      <rPr>
        <sz val="10"/>
        <color indexed="8"/>
        <rFont val="宋体"/>
        <family val="3"/>
        <charset val="134"/>
      </rPr>
      <t>层商业</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</si>
  <si>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</si>
  <si>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</si>
  <si>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办公</t>
    <phoneticPr fontId="3" type="noConversion"/>
  </si>
  <si>
    <t>地下车位</t>
    <phoneticPr fontId="3" type="noConversion"/>
  </si>
  <si>
    <t>系数</t>
    <phoneticPr fontId="3" type="noConversion"/>
  </si>
  <si>
    <t>北京市西城区</t>
    <phoneticPr fontId="3" type="noConversion"/>
  </si>
  <si>
    <t>城市主干道——菜市口大街</t>
    <phoneticPr fontId="31" type="noConversion"/>
  </si>
  <si>
    <t>城市次干道——魏公村路</t>
    <phoneticPr fontId="31" type="noConversion"/>
  </si>
  <si>
    <t>位于西二环——西三环之间，周边有北京国际大厦、韦伯时代中心、理工科技大厦等办公项目，办公集聚程度较好</t>
    <phoneticPr fontId="31" type="noConversion"/>
  </si>
  <si>
    <t>位于西二环内，周边有中融信托大厦、陶然居写字楼、中国太平金融中心的等办公项目，办公集聚程度较好</t>
    <phoneticPr fontId="31" type="noConversion"/>
  </si>
  <si>
    <t>北京市海淀区</t>
    <phoneticPr fontId="3" type="noConversion"/>
  </si>
  <si>
    <t>北京市西城区</t>
    <phoneticPr fontId="31" type="noConversion"/>
  </si>
  <si>
    <t>城市快速路——西二环</t>
    <phoneticPr fontId="31" type="noConversion"/>
  </si>
  <si>
    <t>较好</t>
    <phoneticPr fontId="31" type="noConversion"/>
  </si>
  <si>
    <t>位于西二环内，周边有国投金融大厦、新时代大厦、富通大厦等办公项目，办公集聚程度较好</t>
    <phoneticPr fontId="31" type="noConversion"/>
  </si>
  <si>
    <t>区域自然环境：官园公园、顺城公园、月坛公园；人文环境：中国地质博物馆、白塔寺博物馆、八国联军火烧端郡王府遗址、外交学院（展览路校区）、北京建筑大学、北京交通大学（东校区）；综合评价环境状况较好</t>
    <phoneticPr fontId="40" type="noConversion"/>
  </si>
  <si>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phoneticPr fontId="40" type="noConversion"/>
  </si>
  <si>
    <t>估价对象紧邻城市快速路——西二环，周边有4、107、118、21、80等多条公交线路，距地铁2号线、6号线车公庄站约197米，项目内有停车位，交通便捷度较好</t>
    <phoneticPr fontId="40" type="noConversion"/>
  </si>
  <si>
    <t>估价对象位于西二环内，周边有国投金融大厦、新时代大厦、富通大厦等办公项目，办公集聚程度较好</t>
    <phoneticPr fontId="24" type="noConversion"/>
  </si>
  <si>
    <t>估价对象所在区域基础设施水平：七通</t>
    <phoneticPr fontId="24" type="noConversion"/>
  </si>
  <si>
    <t>城市快速路——西二环</t>
    <phoneticPr fontId="24" type="noConversion"/>
  </si>
  <si>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</si>
  <si>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</si>
  <si>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单元编号</t>
  </si>
  <si>
    <t>租户名称</t>
  </si>
  <si>
    <t>租赁面积（m2）</t>
  </si>
  <si>
    <t>平均租金单价（元/月/㎡）</t>
  </si>
  <si>
    <r>
      <t xml:space="preserve"> </t>
    </r>
    <r>
      <rPr>
        <sz val="10"/>
        <color indexed="8"/>
        <rFont val="宋体"/>
        <family val="3"/>
        <charset val="134"/>
      </rPr>
      <t>当期月租金（元/月）</t>
    </r>
  </si>
  <si>
    <r>
      <t xml:space="preserve"> </t>
    </r>
    <r>
      <rPr>
        <sz val="10"/>
        <color indexed="8"/>
        <rFont val="宋体"/>
        <family val="3"/>
        <charset val="134"/>
      </rPr>
      <t>年租金</t>
    </r>
  </si>
  <si>
    <t>合同期限</t>
  </si>
  <si>
    <t>日租金</t>
    <phoneticPr fontId="282" type="noConversion"/>
  </si>
  <si>
    <t>中国银行股份有限公司北京西城支行</t>
  </si>
  <si>
    <t>招商证券股份有限公司北京平安大街证券营业部</t>
  </si>
  <si>
    <t>103、105</t>
  </si>
  <si>
    <t>柒一拾壹（北京）有限公司</t>
  </si>
  <si>
    <t>106、107</t>
  </si>
  <si>
    <t>北京星巴克咖啡有限公司</t>
  </si>
  <si>
    <t>北京日升天信科技有限公司</t>
  </si>
  <si>
    <t>北京柠梦柠檬餐饮管理有限公司</t>
  </si>
  <si>
    <t>2层、3层整层</t>
  </si>
  <si>
    <t>天津北清电力智慧能源有限公司</t>
  </si>
  <si>
    <t>5层</t>
  </si>
  <si>
    <t>万联证券股份有限公司</t>
  </si>
  <si>
    <t>中证信用增进股份有限公司北京分公司</t>
  </si>
  <si>
    <t>602、603、605</t>
  </si>
  <si>
    <t>仁桥（北京）资产管理有限公司</t>
  </si>
  <si>
    <t>乾道基金销售有限公司</t>
  </si>
  <si>
    <t>601、608、609</t>
  </si>
  <si>
    <t>招商局仁和人寿保险股份有限公司北京分公司</t>
  </si>
  <si>
    <t>806、807</t>
  </si>
  <si>
    <t>首誉光控资产管理有限公司</t>
  </si>
  <si>
    <t>801-803、805、808、809</t>
  </si>
  <si>
    <t>光控安石（北京）投资管理有限公司</t>
  </si>
  <si>
    <t>906-908</t>
  </si>
  <si>
    <t>航天融资租赁有限公司</t>
  </si>
  <si>
    <t>1001-1003、1005</t>
  </si>
  <si>
    <t>交银国际控股有限公司北京代表处</t>
  </si>
  <si>
    <t>1006、1007</t>
  </si>
  <si>
    <t>华商基金管理有限公司</t>
  </si>
  <si>
    <t>星旅（北京）房地产开发有限公司</t>
  </si>
  <si>
    <t>1101、1109</t>
  </si>
  <si>
    <t>北京虹丰置业有限公司</t>
  </si>
  <si>
    <t>1205-1208</t>
  </si>
  <si>
    <t>国投泰康信托有限公司</t>
  </si>
  <si>
    <t>1201-1203、1209</t>
  </si>
  <si>
    <t>1505-1508</t>
  </si>
  <si>
    <t>中国人民银行金融基础数据中心</t>
  </si>
  <si>
    <t>1501-1503、1509、701</t>
  </si>
  <si>
    <t>中国信保资信有限公司</t>
  </si>
  <si>
    <t>宜兴光控投资有限公司</t>
  </si>
  <si>
    <t>北京中海盈智房地产开发有限公司</t>
  </si>
  <si>
    <t>北京中海盈通房地产开发有限公司</t>
  </si>
  <si>
    <t>合计</t>
  </si>
  <si>
    <t xml:space="preserve"> 15年租金合计</t>
  </si>
  <si>
    <t>2024/9/16至2027-09-15</t>
    <phoneticPr fontId="134" type="noConversion"/>
  </si>
  <si>
    <t>2024/3/1至2026-12-31</t>
    <phoneticPr fontId="134" type="noConversion"/>
  </si>
  <si>
    <t>1层平均租金</t>
    <phoneticPr fontId="134" type="noConversion"/>
  </si>
  <si>
    <r>
      <t>2</t>
    </r>
    <r>
      <rPr>
        <sz val="11"/>
        <color theme="1"/>
        <rFont val="宋体"/>
        <family val="3"/>
        <charset val="134"/>
        <scheme val="minor"/>
      </rPr>
      <t>-3层平均租金</t>
    </r>
    <phoneticPr fontId="134" type="noConversion"/>
  </si>
  <si>
    <t>办公平均租金</t>
    <phoneticPr fontId="134" type="noConversion"/>
  </si>
  <si>
    <t>去除租约到期</t>
    <phoneticPr fontId="134" type="noConversion"/>
  </si>
  <si>
    <t>面积</t>
    <phoneticPr fontId="3" type="noConversion"/>
  </si>
  <si>
    <r>
      <rPr>
        <sz val="10"/>
        <color indexed="8"/>
        <rFont val="宋体"/>
        <family val="3"/>
        <charset val="134"/>
      </rPr>
      <t>Ⅱ</t>
    </r>
    <r>
      <rPr>
        <sz val="10"/>
        <color indexed="8"/>
        <rFont val="Arial"/>
        <family val="2"/>
      </rPr>
      <t>—01</t>
    </r>
    <phoneticPr fontId="6" type="noConversion"/>
  </si>
  <si>
    <r>
      <rPr>
        <sz val="10"/>
        <color indexed="8"/>
        <rFont val="宋体"/>
        <family val="3"/>
        <charset val="134"/>
      </rPr>
      <t>Ⅰ</t>
    </r>
    <r>
      <rPr>
        <sz val="10"/>
        <color indexed="8"/>
        <rFont val="Arial"/>
        <family val="2"/>
      </rPr>
      <t>—02</t>
    </r>
    <phoneticPr fontId="6" type="noConversion"/>
  </si>
  <si>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phoneticPr fontId="31" type="noConversion"/>
  </si>
  <si>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</si>
  <si>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</si>
  <si>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phoneticPr fontId="31" type="noConversion"/>
  </si>
  <si>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</si>
  <si>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</si>
  <si>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phoneticPr fontId="31" type="noConversion"/>
  </si>
  <si>
    <t>中海金融中心</t>
    <phoneticPr fontId="31" type="noConversion"/>
  </si>
  <si>
    <r>
      <rPr>
        <sz val="11"/>
        <rFont val="宋体"/>
        <family val="3"/>
        <charset val="134"/>
      </rPr>
      <t>根据</t>
    </r>
    <r>
      <rPr>
        <sz val="11"/>
        <rFont val="Arial"/>
        <family val="2"/>
      </rPr>
      <t>2022-1-0628</t>
    </r>
    <phoneticPr fontId="31" type="noConversion"/>
  </si>
  <si>
    <r>
      <rPr>
        <sz val="11"/>
        <color indexed="62"/>
        <rFont val="宋体"/>
        <family val="3"/>
        <charset val="134"/>
      </rPr>
      <t>根据</t>
    </r>
    <r>
      <rPr>
        <sz val="11"/>
        <color indexed="62"/>
        <rFont val="Arial"/>
        <family val="2"/>
      </rPr>
      <t>2023-1-0169</t>
    </r>
    <phoneticPr fontId="31" type="noConversion"/>
  </si>
  <si>
    <r>
      <rPr>
        <sz val="11"/>
        <rFont val="宋体"/>
        <family val="3"/>
        <charset val="134"/>
      </rPr>
      <t>临城市主干道——菜市口大街，周边</t>
    </r>
    <r>
      <rPr>
        <sz val="11"/>
        <rFont val="Arial"/>
        <family val="3"/>
        <charset val="134"/>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</si>
  <si>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</si>
  <si>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t>自定义</t>
  </si>
  <si>
    <t>楼面单价</t>
  </si>
  <si>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</si>
  <si>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</si>
  <si>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</si>
  <si>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</si>
  <si>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</si>
  <si>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</si>
  <si>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</si>
  <si>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</si>
  <si>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</si>
  <si>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</si>
  <si>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102</t>
  </si>
  <si>
    <t>103;105</t>
  </si>
  <si>
    <t>107;106</t>
  </si>
  <si>
    <t>108</t>
  </si>
  <si>
    <t>北京宽易通互联科技有限公司</t>
  </si>
  <si>
    <r>
      <t>2</t>
    </r>
    <r>
      <rPr>
        <sz val="10"/>
        <color indexed="8"/>
        <rFont val="宋体"/>
        <family val="3"/>
        <charset val="134"/>
      </rPr>
      <t>层、</t>
    </r>
    <r>
      <rPr>
        <sz val="10"/>
        <color indexed="8"/>
        <rFont val="Arial"/>
        <family val="2"/>
      </rPr>
      <t>3</t>
    </r>
    <r>
      <rPr>
        <sz val="10"/>
        <color indexed="8"/>
        <rFont val="宋体"/>
        <family val="3"/>
        <charset val="134"/>
      </rPr>
      <t>层整层</t>
    </r>
  </si>
  <si>
    <t>507;505;506;503</t>
  </si>
  <si>
    <t>508;509;502;501</t>
  </si>
  <si>
    <t>605;603;602</t>
  </si>
  <si>
    <t>601-A</t>
  </si>
  <si>
    <t>北京迪威特科技有限公司</t>
  </si>
  <si>
    <t>601-B</t>
  </si>
  <si>
    <t>北京东方国信科技股份有限公司</t>
  </si>
  <si>
    <t>601-C</t>
  </si>
  <si>
    <t>信华信技术（昆山）有限公司</t>
  </si>
  <si>
    <t>809;808;805;801;803;802</t>
  </si>
  <si>
    <t>1005;1003;1001;1002</t>
  </si>
  <si>
    <t>1007;1006</t>
  </si>
  <si>
    <t>1109;1101</t>
  </si>
  <si>
    <t>1208;1207;1205;1206</t>
  </si>
  <si>
    <t>1209;1203;1201;1202</t>
  </si>
  <si>
    <t>1506;1508;1505;1507</t>
  </si>
  <si>
    <t>1509;1502;1501;1503;701</t>
  </si>
  <si>
    <t>北京光控管理咨询服务有限公司</t>
  </si>
  <si>
    <r>
      <t>901;902;903;905;909</t>
    </r>
    <r>
      <rPr>
        <sz val="10"/>
        <color indexed="8"/>
        <rFont val="宋体"/>
        <family val="3"/>
        <charset val="134"/>
      </rPr>
      <t>；</t>
    </r>
    <r>
      <rPr>
        <sz val="10"/>
        <color indexed="8"/>
        <rFont val="Arial"/>
        <family val="2"/>
      </rPr>
      <t>1901</t>
    </r>
    <r>
      <rPr>
        <sz val="10"/>
        <color indexed="8"/>
        <rFont val="宋体"/>
        <family val="3"/>
        <charset val="134"/>
      </rPr>
      <t>；</t>
    </r>
  </si>
  <si>
    <r>
      <t>2101</t>
    </r>
    <r>
      <rPr>
        <sz val="10"/>
        <color indexed="8"/>
        <rFont val="宋体"/>
        <family val="3"/>
        <charset val="134"/>
      </rPr>
      <t>；</t>
    </r>
    <r>
      <rPr>
        <sz val="10"/>
        <color indexed="8"/>
        <rFont val="Arial"/>
        <family val="2"/>
      </rPr>
      <t>1506;1508;1505;1507</t>
    </r>
  </si>
  <si>
    <t>2201</t>
  </si>
  <si>
    <t>2301</t>
  </si>
  <si>
    <r>
      <t>14</t>
    </r>
    <r>
      <rPr>
        <b/>
        <sz val="10"/>
        <rFont val="宋体"/>
        <family val="3"/>
        <charset val="134"/>
      </rPr>
      <t>年租金合计</t>
    </r>
  </si>
  <si>
    <t>日租金</t>
    <phoneticPr fontId="134" type="noConversion"/>
  </si>
  <si>
    <t>到期</t>
    <phoneticPr fontId="134" type="noConversion"/>
  </si>
  <si>
    <t>1层</t>
    <phoneticPr fontId="134" type="noConversion"/>
  </si>
  <si>
    <t>2-3层</t>
    <phoneticPr fontId="134" type="noConversion"/>
  </si>
  <si>
    <t>未到期办公</t>
    <phoneticPr fontId="134" type="noConversion"/>
  </si>
  <si>
    <t>所有办公</t>
    <phoneticPr fontId="134" type="noConversion"/>
  </si>
  <si>
    <t>自行开发建设</t>
  </si>
  <si>
    <t>企业提供（在右侧录入）</t>
  </si>
  <si>
    <t>地上：17个，B层11个，B2层138个，B3层206个</t>
    <phoneticPr fontId="134" type="noConversion"/>
  </si>
  <si>
    <t>车位</t>
    <phoneticPr fontId="134" type="noConversion"/>
  </si>
  <si>
    <t>地上</t>
    <phoneticPr fontId="134" type="noConversion"/>
  </si>
  <si>
    <t>B层</t>
    <phoneticPr fontId="134" type="noConversion"/>
  </si>
  <si>
    <t>地下一层</t>
    <phoneticPr fontId="134" type="noConversion"/>
  </si>
  <si>
    <t>地下三层</t>
    <phoneticPr fontId="134" type="noConversion"/>
  </si>
  <si>
    <t>B2层</t>
    <phoneticPr fontId="134" type="noConversion"/>
  </si>
  <si>
    <t>B3层</t>
    <phoneticPr fontId="134" type="noConversion"/>
  </si>
  <si>
    <t>地下四层</t>
    <phoneticPr fontId="134" type="noConversion"/>
  </si>
  <si>
    <t>为人防</t>
    <phoneticPr fontId="134" type="noConversion"/>
  </si>
  <si>
    <t>地下可收益车位</t>
    <phoneticPr fontId="134" type="noConversion"/>
  </si>
  <si>
    <r>
      <rPr>
        <sz val="10"/>
        <color indexed="8"/>
        <rFont val="Arial"/>
        <family val="2"/>
      </rPr>
      <t>2025</t>
    </r>
    <r>
      <rPr>
        <sz val="10"/>
        <color indexed="8"/>
        <rFont val="宋体"/>
        <family val="3"/>
        <charset val="134"/>
      </rPr>
      <t>年企业提供</t>
    </r>
    <phoneticPr fontId="3" type="noConversion"/>
  </si>
  <si>
    <t>企业提供原值</t>
    <phoneticPr fontId="8" type="noConversion"/>
  </si>
  <si>
    <t>2-3层</t>
    <phoneticPr fontId="134" type="noConversion"/>
  </si>
  <si>
    <t>观察</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</si>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</sst>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409]yyyy\-mm\-d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2"/>
      <charset val="134"/>
    </font>
    <font>
      <i/>
      <sz val="9"/>
      <color theme="1"/>
      <name val="Arial"/>
      <family val="2"/>
    </font>
    <font>
      <i/>
      <sz val="9"/>
      <color theme="1"/>
      <name val="宋体"/>
      <family val="3"/>
      <charset val="134"/>
    </font>
    <font>
      <sz val="10"/>
      <color indexed="8"/>
      <name val="Arial"/>
      <family val="3"/>
      <charset val="134"/>
    </font>
    <font>
      <sz val="11"/>
      <color theme="1"/>
      <name val="宋体"/>
      <family val="2"/>
      <charset val="134"/>
      <scheme val="minor"/>
    </font>
    <font>
      <sz val="11"/>
      <color indexed="8"/>
      <name val="Arial"/>
      <family val="3"/>
      <charset val="134"/>
    </font>
    <font>
      <sz val="11"/>
      <color indexed="62"/>
      <name val="宋体"/>
      <family val="3"/>
      <charset val="134"/>
    </font>
    <font>
      <sz val="11"/>
      <name val="Arial"/>
      <family val="3"/>
      <charset val="134"/>
    </font>
    <font>
      <sz val="10"/>
      <color rgb="FF000000"/>
      <name val="宋体"/>
      <family val="3"/>
      <charset val="134"/>
      <scheme val="minor"/>
    </font>
    <font>
      <sz val="9"/>
      <name val="等线"/>
      <family val="3"/>
      <charset val="134"/>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1"/>
      <color indexed="62"/>
      <name val="Arial"/>
      <family val="3"/>
      <charset val="134"/>
    </font>
    <font>
      <sz val="14"/>
      <name val="宋体"/>
      <family val="3"/>
      <charset val="134"/>
    </font>
    <font>
      <sz val="14"/>
      <name val="Arial"/>
      <family val="2"/>
    </font>
    <font>
      <sz val="10"/>
      <name val="微软雅黑"/>
      <family val="2"/>
      <charset val="134"/>
    </font>
    <font>
      <sz val="10"/>
      <color indexed="8"/>
      <name val="Arial"/>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alignment vertical="center"/>
    </xf>
  </cellStyleXfs>
  <cellXfs count="36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8" fillId="0" borderId="0" xfId="0" applyFon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0" applyNumberFormat="1" applyFont="1">
      <alignment vertical="center"/>
    </xf>
    <xf numFmtId="49" fontId="0" fillId="0" borderId="0" xfId="0" applyNumberFormat="1">
      <alignment vertical="center"/>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lignment vertical="center"/>
    </xf>
    <xf numFmtId="0" fontId="95" fillId="0" borderId="1" xfId="0" applyFont="1" applyBorder="1">
      <alignment vertical="center"/>
    </xf>
    <xf numFmtId="49" fontId="0" fillId="0" borderId="1" xfId="0" applyNumberFormat="1" applyBorder="1">
      <alignment vertical="center"/>
    </xf>
    <xf numFmtId="14" fontId="95" fillId="0" borderId="0" xfId="0" applyNumberFormat="1" applyFont="1">
      <alignment vertical="center"/>
    </xf>
    <xf numFmtId="0" fontId="77" fillId="7" borderId="5"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4" fillId="0" borderId="0" xfId="0" applyFont="1" applyAlignment="1">
      <alignment horizontal="right" vertical="center" wrapText="1"/>
    </xf>
    <xf numFmtId="0" fontId="98" fillId="24" borderId="0" xfId="0" applyFont="1" applyFill="1" applyAlignment="1">
      <alignment vertical="center" wrapText="1"/>
    </xf>
    <xf numFmtId="0" fontId="114" fillId="0" borderId="0" xfId="0" applyFont="1" applyAlignment="1">
      <alignment horizontal="left" vertical="center" wrapText="1"/>
    </xf>
    <xf numFmtId="0" fontId="276"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13" fillId="2" borderId="3" xfId="0" applyFont="1" applyFill="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19" fillId="0" borderId="1" xfId="19" applyFont="1" applyBorder="1" applyAlignment="1">
      <alignment horizontal="center" vertical="center" wrapText="1"/>
    </xf>
    <xf numFmtId="176" fontId="19" fillId="0" borderId="1" xfId="19" applyNumberFormat="1" applyFont="1" applyBorder="1" applyAlignment="1">
      <alignment horizontal="center" vertical="center" wrapText="1"/>
    </xf>
    <xf numFmtId="0" fontId="19" fillId="9" borderId="1" xfId="19" applyFont="1" applyFill="1" applyBorder="1" applyAlignment="1">
      <alignment horizontal="center" vertical="center" wrapText="1"/>
    </xf>
    <xf numFmtId="183" fontId="19" fillId="0" borderId="1" xfId="19" applyNumberFormat="1" applyFont="1" applyBorder="1" applyAlignment="1">
      <alignment horizontal="center" vertical="center" wrapText="1"/>
    </xf>
    <xf numFmtId="0" fontId="277" fillId="0" borderId="0" xfId="19">
      <alignment vertical="center"/>
    </xf>
    <xf numFmtId="0" fontId="19" fillId="0" borderId="1" xfId="19" applyFont="1" applyBorder="1" applyAlignment="1">
      <alignment horizontal="center" vertical="center"/>
    </xf>
    <xf numFmtId="176" fontId="19" fillId="0" borderId="1" xfId="19" applyNumberFormat="1" applyFont="1" applyBorder="1" applyAlignment="1">
      <alignment horizontal="center" vertical="center"/>
    </xf>
    <xf numFmtId="1" fontId="19" fillId="7" borderId="1" xfId="19" applyNumberFormat="1" applyFont="1" applyFill="1" applyBorder="1" applyAlignment="1">
      <alignment horizontal="center" vertical="center"/>
    </xf>
    <xf numFmtId="183" fontId="19" fillId="0" borderId="1" xfId="19" applyNumberFormat="1" applyFont="1" applyBorder="1" applyAlignment="1">
      <alignment horizontal="center" vertical="center"/>
    </xf>
    <xf numFmtId="0" fontId="19" fillId="5" borderId="1" xfId="19" applyFont="1" applyFill="1" applyBorder="1" applyAlignment="1">
      <alignment horizontal="center" vertical="center" wrapText="1"/>
    </xf>
    <xf numFmtId="0" fontId="19" fillId="5" borderId="1" xfId="19" applyFont="1" applyFill="1" applyBorder="1" applyAlignment="1">
      <alignment horizontal="center" vertical="center"/>
    </xf>
    <xf numFmtId="176" fontId="19" fillId="5" borderId="1" xfId="19" applyNumberFormat="1" applyFont="1" applyFill="1" applyBorder="1" applyAlignment="1">
      <alignment horizontal="center" vertical="center"/>
    </xf>
    <xf numFmtId="189" fontId="19" fillId="5" borderId="13" xfId="19" applyNumberFormat="1" applyFont="1" applyFill="1" applyBorder="1" applyAlignment="1">
      <alignment horizontal="center" vertical="center" wrapText="1"/>
    </xf>
    <xf numFmtId="31" fontId="19" fillId="5" borderId="1" xfId="19" applyNumberFormat="1" applyFont="1" applyFill="1" applyBorder="1" applyAlignment="1">
      <alignment horizontal="center" vertical="center" wrapText="1"/>
    </xf>
    <xf numFmtId="0" fontId="277" fillId="5" borderId="0" xfId="19" applyFill="1">
      <alignment vertical="center"/>
    </xf>
    <xf numFmtId="4" fontId="19" fillId="0" borderId="1" xfId="19" applyNumberFormat="1" applyFont="1" applyBorder="1" applyAlignment="1">
      <alignment horizontal="center" vertical="center"/>
    </xf>
    <xf numFmtId="0" fontId="19" fillId="9" borderId="1" xfId="19" applyFont="1" applyFill="1" applyBorder="1" applyAlignment="1">
      <alignment horizontal="center" vertical="center"/>
    </xf>
    <xf numFmtId="31" fontId="19" fillId="0" borderId="1" xfId="19" applyNumberFormat="1" applyFont="1" applyBorder="1" applyAlignment="1">
      <alignment horizontal="center" vertical="center" wrapText="1"/>
    </xf>
    <xf numFmtId="1" fontId="19" fillId="0" borderId="1" xfId="19" applyNumberFormat="1" applyFont="1" applyBorder="1" applyAlignment="1">
      <alignment horizontal="center" vertical="center"/>
    </xf>
    <xf numFmtId="0" fontId="19" fillId="0" borderId="0" xfId="19" applyFont="1" applyAlignment="1">
      <alignment horizontal="center" vertical="center"/>
    </xf>
    <xf numFmtId="196" fontId="19" fillId="0" borderId="1" xfId="19" applyNumberFormat="1" applyFont="1" applyBorder="1" applyAlignment="1">
      <alignment horizontal="center" vertical="center"/>
    </xf>
    <xf numFmtId="0" fontId="128" fillId="0" borderId="51"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181" fontId="279" fillId="12" borderId="0" xfId="0" applyNumberFormat="1" applyFont="1" applyFill="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8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80"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80"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281" fillId="12" borderId="176" xfId="0" applyFont="1" applyFill="1" applyBorder="1" applyAlignment="1">
      <alignment horizontal="center" vertical="center" wrapText="1"/>
    </xf>
    <xf numFmtId="0" fontId="281" fillId="12" borderId="177" xfId="0" applyFont="1" applyFill="1" applyBorder="1" applyAlignment="1">
      <alignment horizontal="center" vertical="center" wrapText="1"/>
    </xf>
    <xf numFmtId="196" fontId="281" fillId="12" borderId="177" xfId="0" applyNumberFormat="1" applyFont="1" applyFill="1" applyBorder="1" applyAlignment="1">
      <alignment horizontal="center" vertical="center" wrapText="1"/>
    </xf>
    <xf numFmtId="0" fontId="281" fillId="12" borderId="178" xfId="0" applyFont="1" applyFill="1" applyBorder="1" applyAlignment="1">
      <alignment horizontal="center" vertical="center" wrapText="1"/>
    </xf>
    <xf numFmtId="14" fontId="281" fillId="12" borderId="177" xfId="0" applyNumberFormat="1" applyFont="1" applyFill="1" applyBorder="1" applyAlignment="1">
      <alignment horizontal="center" vertical="center" wrapText="1"/>
    </xf>
    <xf numFmtId="14" fontId="283" fillId="12" borderId="177" xfId="0" applyNumberFormat="1" applyFont="1" applyFill="1" applyBorder="1" applyAlignment="1">
      <alignment horizontal="center" vertical="center" wrapText="1"/>
    </xf>
    <xf numFmtId="196" fontId="281" fillId="0" borderId="177" xfId="0" applyNumberFormat="1" applyFont="1" applyBorder="1" applyAlignment="1">
      <alignment horizontal="center" vertical="center"/>
    </xf>
    <xf numFmtId="14" fontId="281" fillId="0" borderId="177" xfId="0" applyNumberFormat="1" applyFont="1" applyBorder="1" applyAlignment="1">
      <alignment horizontal="center" vertical="center"/>
    </xf>
    <xf numFmtId="0" fontId="284" fillId="12" borderId="176" xfId="0" applyFont="1" applyFill="1" applyBorder="1" applyAlignment="1">
      <alignment horizontal="center" vertical="center" wrapText="1"/>
    </xf>
    <xf numFmtId="0" fontId="284" fillId="12" borderId="177" xfId="0" applyFont="1" applyFill="1" applyBorder="1" applyAlignment="1">
      <alignment horizontal="center" vertical="center" wrapText="1"/>
    </xf>
    <xf numFmtId="196" fontId="284" fillId="12" borderId="177" xfId="0" applyNumberFormat="1" applyFont="1" applyFill="1" applyBorder="1" applyAlignment="1">
      <alignment horizontal="center" vertical="center" wrapText="1"/>
    </xf>
    <xf numFmtId="14" fontId="284" fillId="12" borderId="177" xfId="0" applyNumberFormat="1" applyFont="1" applyFill="1" applyBorder="1" applyAlignment="1">
      <alignment horizontal="center" vertical="center" wrapText="1"/>
    </xf>
    <xf numFmtId="4" fontId="281" fillId="12" borderId="177" xfId="0" applyNumberFormat="1" applyFont="1" applyFill="1" applyBorder="1" applyAlignment="1">
      <alignment horizontal="center" vertical="center" wrapText="1"/>
    </xf>
    <xf numFmtId="14" fontId="284" fillId="0" borderId="178" xfId="0" applyNumberFormat="1" applyFont="1" applyBorder="1" applyAlignment="1">
      <alignment horizontal="center" vertical="center"/>
    </xf>
    <xf numFmtId="0" fontId="281" fillId="0" borderId="177" xfId="0" applyFont="1" applyBorder="1" applyAlignment="1">
      <alignment horizontal="center" vertical="center" wrapText="1"/>
    </xf>
    <xf numFmtId="196" fontId="281" fillId="0" borderId="177" xfId="0" applyNumberFormat="1" applyFont="1" applyBorder="1" applyAlignment="1">
      <alignment horizontal="center" vertical="center" wrapText="1"/>
    </xf>
    <xf numFmtId="14" fontId="284" fillId="12" borderId="178" xfId="0" applyNumberFormat="1" applyFont="1" applyFill="1" applyBorder="1" applyAlignment="1">
      <alignment horizontal="center" vertical="center" wrapText="1"/>
    </xf>
    <xf numFmtId="4" fontId="284" fillId="12" borderId="177" xfId="0" applyNumberFormat="1" applyFont="1" applyFill="1" applyBorder="1" applyAlignment="1">
      <alignment horizontal="center" vertical="center" wrapText="1"/>
    </xf>
    <xf numFmtId="196" fontId="284" fillId="0" borderId="177" xfId="0" applyNumberFormat="1" applyFont="1" applyBorder="1" applyAlignment="1">
      <alignment horizontal="center" vertical="center"/>
    </xf>
    <xf numFmtId="14" fontId="284" fillId="0" borderId="177" xfId="0" applyNumberFormat="1" applyFont="1" applyBorder="1" applyAlignment="1">
      <alignment horizontal="center" vertical="center"/>
    </xf>
    <xf numFmtId="0" fontId="285" fillId="12" borderId="176" xfId="0" applyFont="1" applyFill="1" applyBorder="1" applyAlignment="1">
      <alignment horizontal="center" vertical="center" wrapText="1"/>
    </xf>
    <xf numFmtId="0" fontId="285" fillId="12" borderId="177" xfId="0" applyFont="1" applyFill="1" applyBorder="1" applyAlignment="1">
      <alignment horizontal="center" vertical="center" wrapText="1"/>
    </xf>
    <xf numFmtId="196" fontId="285" fillId="12" borderId="177" xfId="0" applyNumberFormat="1" applyFont="1" applyFill="1" applyBorder="1" applyAlignment="1">
      <alignment horizontal="center" vertical="center" wrapText="1"/>
    </xf>
    <xf numFmtId="196" fontId="285" fillId="12" borderId="177" xfId="0" applyNumberFormat="1" applyFont="1" applyFill="1" applyBorder="1" applyAlignment="1">
      <alignment horizontal="right" vertical="center" wrapText="1"/>
    </xf>
    <xf numFmtId="0" fontId="285" fillId="12" borderId="177" xfId="0" applyFont="1" applyFill="1" applyBorder="1" applyAlignment="1">
      <alignment horizontal="right" vertical="center" wrapText="1"/>
    </xf>
    <xf numFmtId="0" fontId="276" fillId="0" borderId="0" xfId="0" applyFont="1">
      <alignment vertical="center"/>
    </xf>
    <xf numFmtId="0" fontId="276" fillId="5" borderId="78" xfId="0" applyFont="1" applyFill="1" applyBorder="1" applyAlignment="1" applyProtection="1">
      <alignment horizontal="center" vertical="center" wrapText="1"/>
      <protection locked="0"/>
    </xf>
    <xf numFmtId="181" fontId="224" fillId="12" borderId="0" xfId="0" applyNumberFormat="1" applyFont="1" applyFill="1" applyAlignment="1" applyProtection="1">
      <alignment horizontal="center" vertical="center" wrapText="1"/>
      <protection locked="0"/>
    </xf>
    <xf numFmtId="0" fontId="280" fillId="12" borderId="0" xfId="0" applyFont="1" applyFill="1" applyAlignment="1" applyProtection="1">
      <alignment horizontal="center" vertical="center"/>
      <protection locked="0"/>
    </xf>
    <xf numFmtId="0" fontId="286" fillId="12" borderId="0" xfId="0" applyFont="1" applyFill="1" applyAlignment="1" applyProtection="1">
      <alignment horizontal="center" vertical="center"/>
      <protection locked="0"/>
    </xf>
    <xf numFmtId="0" fontId="201" fillId="27" borderId="179" xfId="0" applyFont="1" applyFill="1" applyBorder="1" applyAlignment="1">
      <alignment horizontal="center" vertical="center"/>
    </xf>
    <xf numFmtId="0" fontId="201" fillId="27" borderId="179" xfId="0" applyFont="1" applyFill="1" applyBorder="1" applyAlignment="1">
      <alignment horizontal="center" vertical="center" wrapText="1"/>
    </xf>
    <xf numFmtId="0" fontId="47" fillId="0" borderId="179" xfId="0" applyFont="1" applyBorder="1" applyAlignment="1">
      <alignment horizontal="center" vertical="center" wrapText="1"/>
    </xf>
    <xf numFmtId="0" fontId="77" fillId="0" borderId="179" xfId="0" applyFont="1" applyBorder="1" applyAlignment="1">
      <alignment horizontal="center" vertical="center" wrapText="1"/>
    </xf>
    <xf numFmtId="43"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xf>
    <xf numFmtId="14"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wrapText="1"/>
    </xf>
    <xf numFmtId="194" fontId="289" fillId="0" borderId="1" xfId="0" applyNumberFormat="1" applyFont="1" applyBorder="1" applyAlignment="1">
      <alignment horizontal="right" vertical="center"/>
    </xf>
    <xf numFmtId="0" fontId="129" fillId="0" borderId="179" xfId="0" applyFont="1" applyBorder="1" applyAlignment="1">
      <alignment horizontal="center" vertical="center" wrapText="1"/>
    </xf>
    <xf numFmtId="0" fontId="163" fillId="0" borderId="179" xfId="0" applyFont="1" applyBorder="1" applyAlignment="1">
      <alignment horizontal="center" vertical="center" wrapText="1"/>
    </xf>
    <xf numFmtId="197" fontId="47" fillId="0" borderId="179" xfId="0" applyNumberFormat="1" applyFont="1" applyBorder="1" applyAlignment="1">
      <alignment horizontal="right" vertical="center" wrapText="1"/>
    </xf>
    <xf numFmtId="0" fontId="164" fillId="0" borderId="179" xfId="0" applyFont="1" applyBorder="1" applyAlignment="1">
      <alignment horizontal="center" vertical="center" wrapText="1"/>
    </xf>
    <xf numFmtId="14" fontId="0" fillId="0" borderId="1" xfId="0" applyNumberFormat="1" applyBorder="1" applyAlignment="1">
      <alignment horizontal="right" vertical="center" wrapText="1"/>
    </xf>
    <xf numFmtId="0" fontId="47" fillId="0" borderId="179" xfId="0" applyFont="1" applyBorder="1" applyAlignment="1">
      <alignment horizontal="right" vertical="center" wrapText="1"/>
    </xf>
    <xf numFmtId="0" fontId="80" fillId="0" borderId="180" xfId="0" applyFont="1" applyBorder="1" applyAlignment="1">
      <alignment horizontal="center" vertical="center"/>
    </xf>
    <xf numFmtId="0" fontId="54" fillId="0" borderId="180" xfId="0" applyFont="1" applyBorder="1">
      <alignment vertical="center"/>
    </xf>
    <xf numFmtId="43" fontId="54" fillId="0" borderId="180" xfId="0" applyNumberFormat="1" applyFont="1" applyBorder="1" applyAlignment="1">
      <alignment horizontal="right" vertical="center"/>
    </xf>
    <xf numFmtId="43" fontId="52" fillId="0" borderId="181" xfId="0" applyNumberFormat="1" applyFont="1" applyBorder="1" applyAlignment="1">
      <alignment horizontal="right" vertical="center" wrapText="1"/>
    </xf>
    <xf numFmtId="43" fontId="54" fillId="0" borderId="182" xfId="0" applyNumberFormat="1" applyFont="1" applyBorder="1" applyAlignment="1">
      <alignment horizontal="right" vertical="center"/>
    </xf>
    <xf numFmtId="0" fontId="54" fillId="0" borderId="182" xfId="0" applyFont="1" applyBorder="1" applyAlignment="1">
      <alignment horizontal="right"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196" fontId="54" fillId="0" borderId="1" xfId="0" applyNumberFormat="1" applyFont="1" applyBorder="1">
      <alignment vertical="center"/>
    </xf>
    <xf numFmtId="0" fontId="201" fillId="27" borderId="183" xfId="0" applyFont="1" applyFill="1" applyBorder="1" applyAlignment="1">
      <alignment horizontal="center" vertical="center" wrapText="1"/>
    </xf>
    <xf numFmtId="0" fontId="47" fillId="5" borderId="179" xfId="0" applyFont="1" applyFill="1" applyBorder="1" applyAlignment="1">
      <alignment horizontal="center" vertical="center" wrapText="1"/>
    </xf>
    <xf numFmtId="0" fontId="77" fillId="5" borderId="179" xfId="0" applyFont="1" applyFill="1" applyBorder="1" applyAlignment="1">
      <alignment horizontal="center" vertical="center" wrapText="1"/>
    </xf>
    <xf numFmtId="43" fontId="47" fillId="5" borderId="179" xfId="0" applyNumberFormat="1" applyFont="1" applyFill="1" applyBorder="1" applyAlignment="1">
      <alignment horizontal="right" vertical="center" wrapText="1"/>
    </xf>
    <xf numFmtId="14" fontId="289" fillId="5" borderId="1" xfId="0" applyNumberFormat="1" applyFont="1" applyFill="1" applyBorder="1" applyAlignment="1">
      <alignment horizontal="right" vertical="center"/>
    </xf>
    <xf numFmtId="14" fontId="47" fillId="5" borderId="179" xfId="0" applyNumberFormat="1" applyFont="1" applyFill="1" applyBorder="1" applyAlignment="1">
      <alignment horizontal="right" vertical="center" wrapText="1"/>
    </xf>
    <xf numFmtId="0" fontId="0" fillId="5" borderId="0" xfId="0" applyFill="1">
      <alignment vertical="center"/>
    </xf>
    <xf numFmtId="0" fontId="95" fillId="5" borderId="0" xfId="0" applyFont="1" applyFill="1">
      <alignment vertical="center"/>
    </xf>
    <xf numFmtId="43" fontId="0" fillId="5" borderId="0" xfId="0" applyNumberFormat="1" applyFill="1">
      <alignment vertical="center"/>
    </xf>
    <xf numFmtId="43" fontId="95" fillId="5" borderId="0" xfId="0" applyNumberFormat="1" applyFont="1" applyFill="1">
      <alignment vertical="center"/>
    </xf>
    <xf numFmtId="181" fontId="47" fillId="12" borderId="0" xfId="0" applyNumberFormat="1" applyFont="1" applyFill="1" applyProtection="1">
      <alignment vertical="center"/>
      <protection locked="0"/>
    </xf>
    <xf numFmtId="4" fontId="47" fillId="7" borderId="0" xfId="0" applyNumberFormat="1" applyFont="1" applyFill="1" applyProtection="1">
      <alignment vertical="center"/>
      <protection locked="0"/>
    </xf>
    <xf numFmtId="0" fontId="290" fillId="12" borderId="0" xfId="0" applyFont="1" applyFill="1" applyProtection="1">
      <alignment vertical="center"/>
      <protection locked="0"/>
    </xf>
    <xf numFmtId="0" fontId="77" fillId="7" borderId="0" xfId="0" applyFont="1" applyFill="1" applyProtection="1">
      <alignment vertical="center"/>
      <protection locked="0"/>
    </xf>
    <xf numFmtId="177" fontId="44" fillId="28" borderId="1" xfId="1" applyNumberFormat="1" applyFont="1" applyFill="1" applyBorder="1" applyAlignment="1" applyProtection="1">
      <alignment horizontal="center" vertical="center"/>
      <protection locked="0"/>
    </xf>
    <xf numFmtId="10" fontId="44" fillId="28" borderId="1" xfId="1" applyNumberFormat="1" applyFont="1" applyFill="1" applyBorder="1" applyAlignment="1" applyProtection="1">
      <alignment horizontal="center" vertical="center"/>
      <protection locked="0"/>
    </xf>
    <xf numFmtId="10" fontId="47" fillId="28" borderId="1" xfId="1" applyNumberFormat="1" applyFont="1" applyFill="1" applyBorder="1" applyAlignment="1" applyProtection="1">
      <alignment horizontal="center" vertical="center"/>
      <protection locked="0"/>
    </xf>
    <xf numFmtId="9" fontId="47" fillId="28" borderId="5" xfId="0"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81" fontId="52" fillId="28" borderId="61" xfId="0" applyNumberFormat="1" applyFont="1" applyFill="1" applyBorder="1" applyAlignment="1" applyProtection="1">
      <alignment horizontal="center" vertical="center"/>
      <protection locked="0"/>
    </xf>
    <xf numFmtId="179" fontId="47" fillId="28" borderId="23" xfId="0" applyNumberFormat="1" applyFont="1" applyFill="1" applyBorder="1" applyAlignment="1" applyProtection="1">
      <alignment horizontal="center" vertical="center"/>
      <protection locked="0"/>
    </xf>
    <xf numFmtId="43"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3" borderId="0" xfId="0" applyFont="1" applyFill="1" applyAlignment="1">
      <alignment horizontal="left" vertical="center" wrapText="1"/>
    </xf>
    <xf numFmtId="0" fontId="98" fillId="23"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0" fontId="287" fillId="0" borderId="0" xfId="0" applyFont="1" applyAlignment="1">
      <alignment horizontal="center" vertical="center"/>
    </xf>
    <xf numFmtId="0" fontId="288" fillId="0" borderId="0" xfId="0" applyFont="1" applyAlignment="1">
      <alignment horizontal="center" vertical="center"/>
    </xf>
    <xf numFmtId="0" fontId="288" fillId="0" borderId="0" xfId="0" applyFont="1" applyAlignment="1">
      <alignment horizontal="right" vertical="center"/>
    </xf>
    <xf numFmtId="0" fontId="281" fillId="12" borderId="1" xfId="0" applyFont="1" applyFill="1" applyBorder="1" applyAlignment="1">
      <alignment horizontal="left" vertical="center" wrapText="1"/>
    </xf>
    <xf numFmtId="0" fontId="120" fillId="0" borderId="1"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id="{E51A352C-E229-431F-9786-2C988B265BB8}"/>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id="{031040A9-D831-DAEE-3C1A-821382922DE5}"/>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id="{203179C7-468E-F2F6-B91A-A4EF27C317DA}"/>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id="{71DF69F1-BD0A-4A2A-B7DB-71FB078805EF}"/>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37</xdr:row>
      <xdr:rowOff>-1</xdr:rowOff>
    </xdr:to>
    <xdr:pic>
      <xdr:nvPicPr>
        <xdr:cNvPr id="2" name="图片 1">
          <a:extLst>
            <a:ext uri="{FF2B5EF4-FFF2-40B4-BE49-F238E27FC236}">
              <a16:creationId xmlns:a16="http://schemas.microsoft.com/office/drawing/2014/main" id="{14B3DE0C-375E-BD08-9DDD-B4F90D393BEA}"/>
            </a:ext>
          </a:extLst>
        </xdr:cNvPr>
        <xdr:cNvPicPr>
          <a:picLocks noChangeAspect="1"/>
        </xdr:cNvPicPr>
      </xdr:nvPicPr>
      <xdr:blipFill>
        <a:blip xmlns:r="http://schemas.openxmlformats.org/officeDocument/2006/relationships" r:embed="rId1"/>
        <a:stretch>
          <a:fillRect/>
        </a:stretch>
      </xdr:blipFill>
      <xdr:spPr>
        <a:xfrm>
          <a:off x="10811916" y="3058885"/>
          <a:ext cx="8194111" cy="4158343"/>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id="{93E57953-84DD-9BB5-011B-76DDDADD4C6A}"/>
            </a:ext>
          </a:extLst>
        </xdr:cNvPr>
        <xdr:cNvPicPr>
          <a:picLocks noChangeAspect="1"/>
        </xdr:cNvPicPr>
      </xdr:nvPicPr>
      <xdr:blipFill>
        <a:blip xmlns:r="http://schemas.openxmlformats.org/officeDocument/2006/relationships" r:embed="rId2"/>
        <a:stretch>
          <a:fillRect/>
        </a:stretch>
      </xdr:blipFill>
      <xdr:spPr>
        <a:xfrm>
          <a:off x="19166126" y="2536370"/>
          <a:ext cx="5312791" cy="5215040"/>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id="{5F58FB8C-3C1D-C5A2-607E-A301CC74132E}"/>
            </a:ext>
          </a:extLst>
        </xdr:cNvPr>
        <xdr:cNvPicPr>
          <a:picLocks noChangeAspect="1"/>
        </xdr:cNvPicPr>
      </xdr:nvPicPr>
      <xdr:blipFill>
        <a:blip xmlns:r="http://schemas.openxmlformats.org/officeDocument/2006/relationships" r:embed="rId3"/>
        <a:stretch>
          <a:fillRect/>
        </a:stretch>
      </xdr:blipFill>
      <xdr:spPr>
        <a:xfrm>
          <a:off x="8392885" y="15337972"/>
          <a:ext cx="3019048" cy="2952381"/>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id="{AC8989C4-43C5-5914-FACB-4CAA91F20682}"/>
            </a:ext>
          </a:extLst>
        </xdr:cNvPr>
        <xdr:cNvPicPr>
          <a:picLocks noChangeAspect="1"/>
        </xdr:cNvPicPr>
      </xdr:nvPicPr>
      <xdr:blipFill>
        <a:blip xmlns:r="http://schemas.openxmlformats.org/officeDocument/2006/relationships" r:embed="rId4"/>
        <a:stretch>
          <a:fillRect/>
        </a:stretch>
      </xdr:blipFill>
      <xdr:spPr>
        <a:xfrm>
          <a:off x="6781800" y="29972000"/>
          <a:ext cx="10066667" cy="7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id="{588C9020-47E7-4912-9405-0C41E39EBB31}"/>
            </a:ext>
          </a:extLst>
        </xdr:cNvPr>
        <xdr:cNvPicPr>
          <a:picLocks noChangeAspect="1"/>
        </xdr:cNvPicPr>
      </xdr:nvPicPr>
      <xdr:blipFill>
        <a:blip xmlns:r="http://schemas.openxmlformats.org/officeDocument/2006/relationships" r:embed="rId1"/>
        <a:stretch>
          <a:fillRect/>
        </a:stretch>
      </xdr:blipFill>
      <xdr:spPr>
        <a:xfrm>
          <a:off x="0" y="33866"/>
          <a:ext cx="3151171" cy="7035229"/>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id="{C3D52981-87DD-4EC4-A534-9FC7F84E926E}"/>
            </a:ext>
          </a:extLst>
        </xdr:cNvPr>
        <xdr:cNvPicPr>
          <a:picLocks noChangeAspect="1"/>
        </xdr:cNvPicPr>
      </xdr:nvPicPr>
      <xdr:blipFill>
        <a:blip xmlns:r="http://schemas.openxmlformats.org/officeDocument/2006/relationships" r:embed="rId2"/>
        <a:stretch>
          <a:fillRect/>
        </a:stretch>
      </xdr:blipFill>
      <xdr:spPr>
        <a:xfrm>
          <a:off x="3022600" y="0"/>
          <a:ext cx="3017839" cy="4801666"/>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id="{B41FD699-78EC-4419-8679-58AA59E665C5}"/>
            </a:ext>
          </a:extLst>
        </xdr:cNvPr>
        <xdr:cNvPicPr>
          <a:picLocks noChangeAspect="1"/>
        </xdr:cNvPicPr>
      </xdr:nvPicPr>
      <xdr:blipFill>
        <a:blip xmlns:r="http://schemas.openxmlformats.org/officeDocument/2006/relationships" r:embed="rId3"/>
        <a:stretch>
          <a:fillRect/>
        </a:stretch>
      </xdr:blipFill>
      <xdr:spPr>
        <a:xfrm>
          <a:off x="6720840" y="0"/>
          <a:ext cx="12935702" cy="6373115"/>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id="{2BA739FE-D55F-462D-AA7B-46DF70AFB7AD}"/>
            </a:ext>
          </a:extLst>
        </xdr:cNvPr>
        <xdr:cNvPicPr>
          <a:picLocks noChangeAspect="1"/>
        </xdr:cNvPicPr>
      </xdr:nvPicPr>
      <xdr:blipFill>
        <a:blip xmlns:r="http://schemas.openxmlformats.org/officeDocument/2006/relationships" r:embed="rId4"/>
        <a:stretch>
          <a:fillRect/>
        </a:stretch>
      </xdr:blipFill>
      <xdr:spPr>
        <a:xfrm>
          <a:off x="6629400" y="6316919"/>
          <a:ext cx="8979494" cy="460800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id="{AA17DB7F-75FF-477D-B67E-913CED17DF17}"/>
            </a:ext>
          </a:extLst>
        </xdr:cNvPr>
        <xdr:cNvPicPr>
          <a:picLocks noChangeAspect="1"/>
        </xdr:cNvPicPr>
      </xdr:nvPicPr>
      <xdr:blipFill>
        <a:blip xmlns:r="http://schemas.openxmlformats.org/officeDocument/2006/relationships" r:embed="rId5"/>
        <a:stretch>
          <a:fillRect/>
        </a:stretch>
      </xdr:blipFill>
      <xdr:spPr>
        <a:xfrm>
          <a:off x="6469380" y="10907922"/>
          <a:ext cx="8068921" cy="398621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id="{25FA68D7-CF61-8937-51B2-3164F356D21A}"/>
            </a:ext>
          </a:extLst>
        </xdr:cNvPr>
        <xdr:cNvPicPr>
          <a:picLocks noChangeAspect="1"/>
        </xdr:cNvPicPr>
      </xdr:nvPicPr>
      <xdr:blipFill>
        <a:blip xmlns:r="http://schemas.openxmlformats.org/officeDocument/2006/relationships" r:embed="rId6"/>
        <a:stretch>
          <a:fillRect/>
        </a:stretch>
      </xdr:blipFill>
      <xdr:spPr>
        <a:xfrm>
          <a:off x="6497174" y="14980920"/>
          <a:ext cx="10027331" cy="7439913"/>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id="{BB50AE55-2C4F-E8D0-5A32-4C454C1B0039}"/>
            </a:ext>
          </a:extLst>
        </xdr:cNvPr>
        <xdr:cNvPicPr>
          <a:picLocks noChangeAspect="1"/>
        </xdr:cNvPicPr>
      </xdr:nvPicPr>
      <xdr:blipFill>
        <a:blip xmlns:r="http://schemas.openxmlformats.org/officeDocument/2006/relationships" r:embed="rId7"/>
        <a:stretch>
          <a:fillRect/>
        </a:stretch>
      </xdr:blipFill>
      <xdr:spPr>
        <a:xfrm>
          <a:off x="6443252" y="22532340"/>
          <a:ext cx="8561159" cy="6967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83A66D0-D6F8-4876-3470-27977B1B5242}"/>
            </a:ext>
          </a:extLst>
        </xdr:cNvPr>
        <xdr:cNvPicPr>
          <a:picLocks noChangeAspect="1"/>
        </xdr:cNvPicPr>
      </xdr:nvPicPr>
      <xdr:blipFill>
        <a:blip xmlns:r="http://schemas.openxmlformats.org/officeDocument/2006/relationships" r:embed="rId1"/>
        <a:stretch>
          <a:fillRect/>
        </a:stretch>
      </xdr:blipFill>
      <xdr:spPr>
        <a:xfrm>
          <a:off x="0" y="7825740"/>
          <a:ext cx="1490476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E63D89A0-699C-0E1F-0A18-1FA49A06245F}"/>
            </a:ext>
          </a:extLst>
        </xdr:cNvPr>
        <xdr:cNvPicPr>
          <a:picLocks noChangeAspect="1"/>
        </xdr:cNvPicPr>
      </xdr:nvPicPr>
      <xdr:blipFill>
        <a:blip xmlns:r="http://schemas.openxmlformats.org/officeDocument/2006/relationships" r:embed="rId2"/>
        <a:stretch>
          <a:fillRect/>
        </a:stretch>
      </xdr:blipFill>
      <xdr:spPr>
        <a:xfrm>
          <a:off x="0" y="15544800"/>
          <a:ext cx="9085714" cy="7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id="{02F3D186-9510-129E-3DBE-5CFE8DA7B376}"/>
            </a:ext>
          </a:extLst>
        </xdr:cNvPr>
        <xdr:cNvPicPr>
          <a:picLocks noChangeAspect="1"/>
        </xdr:cNvPicPr>
      </xdr:nvPicPr>
      <xdr:blipFill>
        <a:blip xmlns:r="http://schemas.openxmlformats.org/officeDocument/2006/relationships" r:embed="rId1"/>
        <a:stretch>
          <a:fillRect/>
        </a:stretch>
      </xdr:blipFill>
      <xdr:spPr>
        <a:xfrm>
          <a:off x="0" y="0"/>
          <a:ext cx="135333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id="{AA353A8B-882F-F174-B880-F9A7E3C890F2}"/>
            </a:ext>
          </a:extLst>
        </xdr:cNvPr>
        <xdr:cNvPicPr>
          <a:picLocks noChangeAspect="1"/>
        </xdr:cNvPicPr>
      </xdr:nvPicPr>
      <xdr:blipFill>
        <a:blip xmlns:r="http://schemas.openxmlformats.org/officeDocument/2006/relationships" r:embed="rId2"/>
        <a:stretch>
          <a:fillRect/>
        </a:stretch>
      </xdr:blipFill>
      <xdr:spPr>
        <a:xfrm>
          <a:off x="609600" y="6949440"/>
          <a:ext cx="740000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id="{9B55196D-7B99-412A-810B-62B278F2E2AE}"/>
            </a:ext>
          </a:extLst>
        </xdr:cNvPr>
        <xdr:cNvPicPr>
          <a:picLocks noChangeAspect="1"/>
        </xdr:cNvPicPr>
      </xdr:nvPicPr>
      <xdr:blipFill>
        <a:blip xmlns:r="http://schemas.openxmlformats.org/officeDocument/2006/relationships" r:embed="rId3"/>
        <a:stretch>
          <a:fillRect/>
        </a:stretch>
      </xdr:blipFill>
      <xdr:spPr>
        <a:xfrm>
          <a:off x="8023860" y="6682740"/>
          <a:ext cx="1278095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id="{29EED991-7201-98C6-4C64-F5ED0DABF172}"/>
            </a:ext>
          </a:extLst>
        </xdr:cNvPr>
        <xdr:cNvPicPr>
          <a:picLocks noChangeAspect="1"/>
        </xdr:cNvPicPr>
      </xdr:nvPicPr>
      <xdr:blipFill>
        <a:blip xmlns:r="http://schemas.openxmlformats.org/officeDocument/2006/relationships" r:embed="rId4"/>
        <a:stretch>
          <a:fillRect/>
        </a:stretch>
      </xdr:blipFill>
      <xdr:spPr>
        <a:xfrm>
          <a:off x="1386840" y="26334720"/>
          <a:ext cx="6285714" cy="7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1B7B82CA-5137-5F00-E390-CE5D7DDF2B78}"/>
            </a:ext>
          </a:extLst>
        </xdr:cNvPr>
        <xdr:cNvPicPr>
          <a:picLocks noChangeAspect="1"/>
        </xdr:cNvPicPr>
      </xdr:nvPicPr>
      <xdr:blipFill>
        <a:blip xmlns:r="http://schemas.openxmlformats.org/officeDocument/2006/relationships" r:embed="rId1"/>
        <a:stretch>
          <a:fillRect/>
        </a:stretch>
      </xdr:blipFill>
      <xdr:spPr>
        <a:xfrm>
          <a:off x="0" y="0"/>
          <a:ext cx="1315238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北京市西城区平安里西大街28号楼1层101等[34]套房地产抵押价值预评估</v>
      </c>
    </row>
    <row r="3" spans="1:2">
      <c r="A3" s="1115" t="s">
        <v>523</v>
      </c>
      <c r="B3" s="1116">
        <f>'预评函-封皮'!B40</f>
        <v>0</v>
      </c>
    </row>
    <row r="4" spans="1:2">
      <c r="A4" s="1115" t="s">
        <v>524</v>
      </c>
      <c r="B4" s="1116" t="str">
        <f ca="1">'预评函-封皮'!B46</f>
        <v>郑燚（注册号：1120070131)、（注册号：0)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受贵公司委托，我公司对北京市西城区平安里西大街28号楼1层101等[34]套房地产抵押价值进行了预评估。</v>
      </c>
    </row>
    <row r="7" spans="1:2">
      <c r="A7" s="1115" t="s">
        <v>566</v>
      </c>
      <c r="B7" s="1116"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2025年3月18日（评估专业人员实地查勘之日）</v>
      </c>
    </row>
    <row r="13" spans="1:2">
      <c r="A13" s="1115" t="s">
        <v>529</v>
      </c>
      <c r="B13" s="1116"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330646</v>
      </c>
    </row>
    <row r="21" spans="1:2">
      <c r="A21" s="1115" t="s">
        <v>537</v>
      </c>
      <c r="B21" s="1116">
        <f ca="1">'预评函-2'!D7</f>
        <v>64571</v>
      </c>
    </row>
    <row r="22" spans="1:2">
      <c r="A22" s="1115" t="s">
        <v>538</v>
      </c>
      <c r="B22" s="1116" t="str">
        <f ca="1">'预评函-2'!D6</f>
        <v>叁拾叁亿零陆佰肆拾陆万元整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330646</v>
      </c>
    </row>
    <row r="31" spans="1:2">
      <c r="A31" s="1115" t="s">
        <v>576</v>
      </c>
      <c r="B31" s="1116">
        <f ca="1">'预评函-2'!D15</f>
        <v>64571</v>
      </c>
    </row>
    <row r="32" spans="1:2">
      <c r="A32" s="1115" t="s">
        <v>543</v>
      </c>
      <c r="B32" s="1116" t="str">
        <f ca="1">'预评函-2'!D14</f>
        <v>叁拾叁亿零陆佰肆拾陆万元整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4.抵押净值</v>
      </c>
    </row>
    <row r="38" spans="1:2">
      <c r="A38" s="1115" t="s">
        <v>597</v>
      </c>
      <c r="B38" s="1116">
        <f ca="1">'预评函-2'!D19</f>
        <v>125701</v>
      </c>
    </row>
    <row r="39" spans="1:2">
      <c r="A39" s="1115" t="s">
        <v>545</v>
      </c>
      <c r="B39" s="1116">
        <f ca="1">'预评函-2'!D21</f>
        <v>24548</v>
      </c>
    </row>
    <row r="40" spans="1:2">
      <c r="A40" s="1115" t="s">
        <v>546</v>
      </c>
      <c r="B40" s="1116" t="str">
        <f ca="1">'预评函-2'!D20</f>
        <v>壹拾贰亿伍仟柒佰零壹万元整</v>
      </c>
    </row>
    <row r="41" spans="1:2">
      <c r="A41" s="1115" t="s">
        <v>592</v>
      </c>
      <c r="B41" s="1116" t="str">
        <f>'预评函-3'!A4</f>
        <v>北京市西城区平安里西大街28号楼1层101等[34]套房地产</v>
      </c>
    </row>
    <row r="42" spans="1:2" ht="31.2">
      <c r="A42" s="1115" t="s">
        <v>590</v>
      </c>
      <c r="B42" s="1116" t="str">
        <f>'预评函-3'!B2</f>
        <v>建筑面积</v>
      </c>
    </row>
    <row r="43" spans="1:2">
      <c r="A43" s="1115" t="s">
        <v>591</v>
      </c>
      <c r="B43" s="1116">
        <f>'预评函-3'!B4</f>
        <v>51206.530000000006</v>
      </c>
    </row>
    <row r="44" spans="1:2" ht="31.2">
      <c r="A44" s="1115" t="s">
        <v>575</v>
      </c>
      <c r="B44" s="1116" t="str">
        <f>'预评函-3'!C2</f>
        <v>(分摊)土地面积</v>
      </c>
    </row>
    <row r="45" spans="1:2">
      <c r="A45" s="1115" t="s">
        <v>547</v>
      </c>
      <c r="B45" s="1116">
        <f>'预评函-3'!C4</f>
        <v>6088.55</v>
      </c>
    </row>
    <row r="46" spans="1:2">
      <c r="A46" s="1115" t="s">
        <v>573</v>
      </c>
      <c r="B46" s="1116" t="str">
        <f>'预评函-3'!D2</f>
        <v>出让国有建设用地使用权价值</v>
      </c>
    </row>
    <row r="47" spans="1:2">
      <c r="A47" s="1115" t="s">
        <v>548</v>
      </c>
      <c r="B47" s="1116">
        <f>'预评函-3'!D4</f>
        <v>0</v>
      </c>
    </row>
    <row r="48" spans="1:2">
      <c r="A48" s="1115" t="s">
        <v>549</v>
      </c>
      <c r="B48" s="1116">
        <f>'预评函-3'!E4</f>
        <v>0</v>
      </c>
    </row>
    <row r="49" spans="1:2">
      <c r="A49" s="1115" t="s">
        <v>550</v>
      </c>
      <c r="B49" s="1116" t="str">
        <f>'预评函-3'!D5</f>
        <v>零元整</v>
      </c>
    </row>
    <row r="50" spans="1:2">
      <c r="A50" s="1115" t="s">
        <v>574</v>
      </c>
      <c r="B50" s="1116" t="str">
        <f>'预评函-3'!F2</f>
        <v>在建建筑物价值</v>
      </c>
    </row>
    <row r="51" spans="1:2">
      <c r="A51" s="1115" t="s">
        <v>551</v>
      </c>
      <c r="B51" s="1116">
        <f>'预评函-3'!F4</f>
        <v>0</v>
      </c>
    </row>
    <row r="52" spans="1:2">
      <c r="A52" s="1115" t="s">
        <v>552</v>
      </c>
      <c r="B52" s="1116">
        <f>'预评函-3'!G4</f>
        <v>0</v>
      </c>
    </row>
    <row r="53" spans="1:2">
      <c r="A53" s="1115" t="s">
        <v>580</v>
      </c>
      <c r="B53" s="1116" t="str">
        <f>'预评函-3'!F5</f>
        <v>零元整</v>
      </c>
    </row>
    <row r="54" spans="1:2">
      <c r="A54" s="1115" t="s">
        <v>598</v>
      </c>
      <c r="B54" s="1116" t="str">
        <f>'预评函-3'!A8</f>
        <v>房地产抵押价值</v>
      </c>
    </row>
    <row r="55" spans="1:2">
      <c r="A55" s="1115" t="s">
        <v>581</v>
      </c>
      <c r="B55" s="1116" t="str">
        <f>'预评函-3'!A10</f>
        <v/>
      </c>
    </row>
    <row r="56" spans="1:2">
      <c r="A56" s="1115" t="s">
        <v>582</v>
      </c>
      <c r="B56" s="1116" t="str">
        <f>'预评函-3'!A12</f>
        <v>抵押净值</v>
      </c>
    </row>
    <row r="57" spans="1:2" s="1111" customFormat="1" ht="16.2" thickBot="1">
      <c r="A57" s="1118" t="s">
        <v>599</v>
      </c>
      <c r="B57" s="1119" t="str">
        <f>'预评函-3'!A6</f>
        <v>估价师知悉的法定优先受偿款</v>
      </c>
    </row>
    <row r="58" spans="1:2" s="1114" customFormat="1" ht="16.2"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1120070131</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4" width="21.109375" style="1401" customWidth="1"/>
    <col min="25" max="16384" width="9" style="1401"/>
  </cols>
  <sheetData>
    <row r="1" spans="1:23" s="1436" customFormat="1" ht="43.2">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2575</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2576</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2291</v>
      </c>
      <c r="C17" s="1438"/>
    </row>
    <row r="18" spans="1:3">
      <c r="A18" s="1437" t="s">
        <v>1046</v>
      </c>
      <c r="B18" s="1437" t="s">
        <v>2431</v>
      </c>
      <c r="C18" s="1438"/>
    </row>
    <row r="19" spans="1:3">
      <c r="A19" s="1437" t="s">
        <v>1047</v>
      </c>
      <c r="B19" s="1437" t="s">
        <v>3524</v>
      </c>
      <c r="C19" s="1438"/>
    </row>
    <row r="20" spans="1:3">
      <c r="A20" s="1437" t="s">
        <v>1048</v>
      </c>
      <c r="B20" s="1437" t="s">
        <v>3526</v>
      </c>
      <c r="C20" s="1438"/>
    </row>
    <row r="21" spans="1:3">
      <c r="A21" s="1437" t="s">
        <v>1049</v>
      </c>
      <c r="B21" s="1437" t="s">
        <v>3528</v>
      </c>
      <c r="C21" s="1438"/>
    </row>
    <row r="22" spans="1:3">
      <c r="A22" s="1437" t="s">
        <v>1050</v>
      </c>
      <c r="B22" s="1437" t="s">
        <v>3530</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3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443" t="s">
        <v>385</v>
      </c>
      <c r="C54" s="1441" t="s">
        <v>583</v>
      </c>
    </row>
    <row r="55" spans="1:4">
      <c r="A55" s="3340"/>
      <c r="B55" s="1443" t="s">
        <v>386</v>
      </c>
      <c r="C55" s="1441" t="s">
        <v>584</v>
      </c>
    </row>
    <row r="56" spans="1:4">
      <c r="A56" s="3340"/>
      <c r="B56" s="1443" t="s">
        <v>387</v>
      </c>
      <c r="C56" s="1441" t="s">
        <v>588</v>
      </c>
    </row>
    <row r="57" spans="1:4">
      <c r="A57" s="33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0"/>
    <col min="8" max="8" width="5.44140625" style="2750" customWidth="1"/>
    <col min="9" max="13" width="9.44140625" style="2791" customWidth="1"/>
    <col min="14" max="18" width="9.44140625" style="2750" customWidth="1"/>
    <col min="19" max="16384" width="15.21875" style="2750"/>
  </cols>
  <sheetData>
    <row r="1" spans="1:18">
      <c r="A1" s="2747" t="s">
        <v>2498</v>
      </c>
      <c r="B1" s="2748"/>
      <c r="C1" s="2748"/>
      <c r="D1" s="2748"/>
      <c r="E1" s="2748"/>
      <c r="F1" s="2749"/>
      <c r="I1" s="3125" t="s">
        <v>2591</v>
      </c>
      <c r="J1" s="2774"/>
      <c r="K1" s="2774"/>
      <c r="L1" s="2774"/>
      <c r="M1" s="2774"/>
      <c r="N1" s="2959"/>
      <c r="O1" s="2959"/>
      <c r="P1" s="2959"/>
      <c r="Q1" s="2959"/>
      <c r="R1" s="2959"/>
    </row>
    <row r="2" spans="1:18">
      <c r="A2" s="2751"/>
      <c r="B2" s="2752"/>
      <c r="C2" s="2752"/>
      <c r="D2" s="2752"/>
      <c r="E2" s="2752"/>
      <c r="F2" s="2753"/>
      <c r="I2" s="3341" t="s">
        <v>2578</v>
      </c>
      <c r="J2" s="3341"/>
      <c r="K2" s="3341"/>
      <c r="L2" s="3341"/>
      <c r="M2" s="3341"/>
      <c r="N2" s="3341"/>
      <c r="O2" s="3341"/>
      <c r="P2" s="3341"/>
      <c r="Q2" s="3341"/>
      <c r="R2" s="3341"/>
    </row>
    <row r="3" spans="1:18">
      <c r="A3" s="2754" t="s">
        <v>2499</v>
      </c>
      <c r="B3" s="2755">
        <f>项目基本情况!D3</f>
        <v>45734</v>
      </c>
      <c r="C3" s="2757"/>
      <c r="D3" s="2757"/>
      <c r="E3" s="2757"/>
      <c r="F3" s="2753"/>
      <c r="I3" s="2769"/>
      <c r="J3" s="2769" t="s">
        <v>2582</v>
      </c>
      <c r="K3" s="2769" t="s">
        <v>2583</v>
      </c>
      <c r="L3" s="2769" t="s">
        <v>2584</v>
      </c>
      <c r="M3" s="2769" t="s">
        <v>2585</v>
      </c>
      <c r="N3" s="3126" t="s">
        <v>2586</v>
      </c>
      <c r="O3" s="3126" t="s">
        <v>2587</v>
      </c>
      <c r="P3" s="3126" t="s">
        <v>2588</v>
      </c>
      <c r="Q3" s="3126" t="s">
        <v>2589</v>
      </c>
      <c r="R3" s="3126" t="s">
        <v>2590</v>
      </c>
    </row>
    <row r="4" spans="1:18">
      <c r="A4" s="2754" t="s">
        <v>2500</v>
      </c>
      <c r="B4" s="2757" t="s">
        <v>2501</v>
      </c>
      <c r="C4" s="2757" t="s">
        <v>2502</v>
      </c>
      <c r="D4" s="2757" t="s">
        <v>2503</v>
      </c>
      <c r="E4" s="2757" t="s">
        <v>2504</v>
      </c>
      <c r="F4" s="2753"/>
      <c r="I4" s="2769" t="s">
        <v>2579</v>
      </c>
      <c r="J4" s="2769">
        <v>80</v>
      </c>
      <c r="K4" s="2769">
        <v>70</v>
      </c>
      <c r="L4" s="2769">
        <v>20</v>
      </c>
      <c r="M4" s="2769">
        <v>30</v>
      </c>
      <c r="N4" s="2757">
        <v>45</v>
      </c>
      <c r="O4" s="2757">
        <v>60</v>
      </c>
      <c r="P4" s="2757">
        <v>50</v>
      </c>
      <c r="Q4" s="2757">
        <v>20</v>
      </c>
      <c r="R4" s="2757">
        <v>375</v>
      </c>
    </row>
    <row r="5" spans="1:18">
      <c r="A5" s="2758">
        <v>40</v>
      </c>
      <c r="B5" s="2755">
        <v>46375</v>
      </c>
      <c r="C5" s="2757">
        <f>ROUNDDOWN(MIN((B5-B3)/365,A5),2)</f>
        <v>1.75</v>
      </c>
      <c r="D5" s="2759">
        <f>IF(ISERROR(ROUND(POWER(1+E5,A5-C5)*(POWER(1+E5,C5)-1)/(POWER(1+E5,A5)-1),3)),0,ROUND(POWER(1+E5,A5-C5)*(POWER(1+E5,C5)-1)/(POWER(1+E5,A5)-1),4))</f>
        <v>8.3799999999999999E-2</v>
      </c>
      <c r="E5" s="2760">
        <v>0.04</v>
      </c>
      <c r="F5" s="2753"/>
      <c r="I5" s="2769" t="s">
        <v>2580</v>
      </c>
      <c r="J5" s="2769">
        <v>70</v>
      </c>
      <c r="K5" s="2769">
        <v>60</v>
      </c>
      <c r="L5" s="2769">
        <v>15</v>
      </c>
      <c r="M5" s="2769">
        <v>25</v>
      </c>
      <c r="N5" s="2757">
        <v>40</v>
      </c>
      <c r="O5" s="2757">
        <v>50</v>
      </c>
      <c r="P5" s="2757">
        <v>40</v>
      </c>
      <c r="Q5" s="2757">
        <v>15</v>
      </c>
      <c r="R5" s="2757">
        <v>315</v>
      </c>
    </row>
    <row r="6" spans="1:18">
      <c r="A6" s="2758">
        <v>50</v>
      </c>
      <c r="B6" s="2755">
        <v>50028</v>
      </c>
      <c r="C6" s="2757">
        <f>ROUNDDOWN(MIN((B6-B3)/365,A6),2)</f>
        <v>11.76</v>
      </c>
      <c r="D6" s="2759">
        <f>IF(ISERROR(ROUND(POWER(1+E6,A6-C6)*(POWER(1+E6,C6)-1)/(POWER(1+E6,A6)-1),3)),0,ROUND(POWER(1+E6,A6-C6)*(POWER(1+E6,C6)-1)/(POWER(1+E6,A6)-1),4))</f>
        <v>0.43</v>
      </c>
      <c r="E6" s="2760">
        <v>0.04</v>
      </c>
      <c r="F6" s="2753"/>
      <c r="I6" s="2769" t="s">
        <v>2581</v>
      </c>
      <c r="J6" s="2769">
        <v>60</v>
      </c>
      <c r="K6" s="2769">
        <v>50</v>
      </c>
      <c r="L6" s="2769">
        <v>10</v>
      </c>
      <c r="M6" s="2769">
        <v>20</v>
      </c>
      <c r="N6" s="2757">
        <v>35</v>
      </c>
      <c r="O6" s="2757">
        <v>40</v>
      </c>
      <c r="P6" s="2757">
        <v>30</v>
      </c>
      <c r="Q6" s="2757">
        <v>10</v>
      </c>
      <c r="R6" s="2757">
        <v>255</v>
      </c>
    </row>
    <row r="7" spans="1:18">
      <c r="A7" s="2758">
        <v>70</v>
      </c>
      <c r="B7" s="2755">
        <v>57333</v>
      </c>
      <c r="C7" s="2757">
        <f>ROUNDDOWN(MIN((B7-B3)/365,A7),2)</f>
        <v>31.77</v>
      </c>
      <c r="D7" s="2759">
        <f>IF(ISERROR(ROUND(POWER(1+E7,A7-C7)*(POWER(1+E7,C7)-1)/(POWER(1+E7,A7)-1),3)),0,ROUND(POWER(1+E7,A7-C7)*(POWER(1+E7,C7)-1)/(POWER(1+E7,A7)-1),4))</f>
        <v>0.76119999999999999</v>
      </c>
      <c r="E7" s="2760">
        <v>0.04</v>
      </c>
      <c r="F7" s="2753"/>
    </row>
    <row r="8" spans="1:18">
      <c r="A8" s="2751"/>
      <c r="B8" s="2752"/>
      <c r="C8" s="2752"/>
      <c r="D8" s="2752"/>
      <c r="E8" s="2752"/>
      <c r="F8" s="2753"/>
    </row>
    <row r="9" spans="1:18">
      <c r="A9" s="2754" t="s">
        <v>2505</v>
      </c>
      <c r="B9" s="2757"/>
      <c r="C9" s="2757"/>
      <c r="D9" s="2757"/>
      <c r="E9" s="2757"/>
      <c r="F9" s="2761"/>
    </row>
    <row r="10" spans="1:18">
      <c r="A10" s="2754" t="s">
        <v>2506</v>
      </c>
      <c r="B10" s="2757"/>
      <c r="C10" s="2757"/>
      <c r="D10" s="2757" t="s">
        <v>2504</v>
      </c>
      <c r="E10" s="2757"/>
      <c r="F10" s="2761" t="s">
        <v>2503</v>
      </c>
    </row>
    <row r="11" spans="1:18">
      <c r="A11" s="2754" t="s">
        <v>2507</v>
      </c>
      <c r="B11" s="2762">
        <v>70</v>
      </c>
      <c r="C11" s="2757" t="s">
        <v>2508</v>
      </c>
      <c r="D11" s="2762">
        <v>4.4999999999999998E-2</v>
      </c>
      <c r="E11" s="2757" t="s">
        <v>2509</v>
      </c>
      <c r="F11" s="2763">
        <f>ROUND(1-(1/(POWER(1+D11,B11))),4)</f>
        <v>0.95409999999999995</v>
      </c>
    </row>
    <row r="12" spans="1:18">
      <c r="A12" s="2754" t="s">
        <v>2510</v>
      </c>
      <c r="B12" s="2762">
        <v>50</v>
      </c>
      <c r="C12" s="2757" t="s">
        <v>2511</v>
      </c>
      <c r="D12" s="2762">
        <v>4.4999999999999998E-2</v>
      </c>
      <c r="E12" s="2757" t="s">
        <v>2512</v>
      </c>
      <c r="F12" s="2763">
        <f>ROUND(1-(1/(POWER(1+D12,B12))),4)</f>
        <v>0.88929999999999998</v>
      </c>
    </row>
    <row r="13" spans="1:18">
      <c r="A13" s="2754" t="s">
        <v>2513</v>
      </c>
      <c r="B13" s="2757"/>
      <c r="C13" s="2757"/>
      <c r="D13" s="2752"/>
      <c r="E13" s="2752"/>
      <c r="F13" s="2753"/>
    </row>
    <row r="14" spans="1:18">
      <c r="A14" s="2754" t="s">
        <v>2514</v>
      </c>
      <c r="B14" s="2762">
        <v>5000</v>
      </c>
      <c r="C14" s="2756"/>
      <c r="D14" s="2752"/>
      <c r="E14" s="2752"/>
      <c r="F14" s="2753"/>
    </row>
    <row r="15" spans="1:18">
      <c r="A15" s="2754" t="s">
        <v>2515</v>
      </c>
      <c r="B15" s="2757">
        <f>ROUND(B14*F12/F11,2)</f>
        <v>4660.41</v>
      </c>
      <c r="C15" s="2757">
        <f>ROUND(F12/F11,4)</f>
        <v>0.93210000000000004</v>
      </c>
      <c r="D15" s="2752"/>
      <c r="E15" s="2752"/>
      <c r="F15" s="2753"/>
    </row>
    <row r="16" spans="1:18">
      <c r="A16" s="2754" t="s">
        <v>2516</v>
      </c>
      <c r="B16" s="2757"/>
      <c r="C16" s="2757"/>
      <c r="D16" s="2752"/>
      <c r="E16" s="2752"/>
      <c r="F16" s="2753"/>
    </row>
    <row r="17" spans="1:14">
      <c r="A17" s="2754" t="s">
        <v>2515</v>
      </c>
      <c r="B17" s="2762">
        <v>4810</v>
      </c>
      <c r="C17" s="2756"/>
      <c r="D17" s="2752"/>
      <c r="E17" s="2752"/>
      <c r="F17" s="2753"/>
    </row>
    <row r="18" spans="1:14" ht="15" thickBot="1">
      <c r="A18" s="2764" t="s">
        <v>2514</v>
      </c>
      <c r="B18" s="2765">
        <f>ROUND(B17*F11/F12,2)</f>
        <v>5160.49</v>
      </c>
      <c r="C18" s="2765">
        <f>ROUND(F11/F12,4)</f>
        <v>1.0729</v>
      </c>
      <c r="D18" s="2766"/>
      <c r="E18" s="2766"/>
      <c r="F18" s="2767"/>
    </row>
    <row r="19" spans="1:14" ht="15" thickBot="1"/>
    <row r="20" spans="1:14" s="2800" customFormat="1" ht="15" thickTop="1">
      <c r="A20" s="2797" t="s">
        <v>2517</v>
      </c>
      <c r="B20" s="2798"/>
      <c r="C20" s="2798"/>
      <c r="D20" s="2798"/>
      <c r="E20" s="2798"/>
      <c r="F20" s="2798"/>
      <c r="G20" s="2799"/>
      <c r="I20" s="2801" t="s">
        <v>2562</v>
      </c>
      <c r="J20" s="2801" t="s">
        <v>2567</v>
      </c>
      <c r="K20" s="2801"/>
      <c r="L20" s="2801"/>
      <c r="M20" s="2801"/>
    </row>
    <row r="21" spans="1:14">
      <c r="A21" s="2768"/>
      <c r="B21" s="2769" t="s">
        <v>2518</v>
      </c>
      <c r="C21" s="2769" t="s">
        <v>2519</v>
      </c>
      <c r="D21" s="2769" t="s">
        <v>2520</v>
      </c>
      <c r="E21" s="2769" t="s">
        <v>2521</v>
      </c>
      <c r="F21" s="2769" t="s">
        <v>2522</v>
      </c>
      <c r="G21" s="2770" t="s">
        <v>2523</v>
      </c>
      <c r="I21" s="2791">
        <v>5</v>
      </c>
      <c r="J21" s="2791">
        <v>54.2</v>
      </c>
    </row>
    <row r="22" spans="1:14">
      <c r="A22" s="2768" t="s">
        <v>2524</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4">
      <c r="A23" s="2768" t="s">
        <v>2525</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2565</v>
      </c>
      <c r="N23" s="3143" t="s">
        <v>2566</v>
      </c>
    </row>
    <row r="24" spans="1:14">
      <c r="A24" s="2768" t="s">
        <v>2526</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2564</v>
      </c>
      <c r="N24" s="3143">
        <v>10</v>
      </c>
    </row>
    <row r="25" spans="1:14">
      <c r="A25" s="2768" t="s">
        <v>2527</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2568</v>
      </c>
      <c r="N25" s="3143">
        <v>8</v>
      </c>
    </row>
    <row r="26" spans="1:14">
      <c r="A26" s="2773"/>
      <c r="B26" s="2774"/>
      <c r="C26" s="2774"/>
      <c r="D26" s="2774"/>
      <c r="E26" s="2774"/>
      <c r="F26" s="2774"/>
      <c r="G26" s="2775"/>
      <c r="I26" s="2791">
        <v>30</v>
      </c>
      <c r="J26" s="2791">
        <v>90.5</v>
      </c>
      <c r="K26" s="2791">
        <f t="shared" si="2"/>
        <v>4.2000000000000028</v>
      </c>
      <c r="L26" s="2791" t="s">
        <v>2569</v>
      </c>
      <c r="N26" s="3143">
        <v>5</v>
      </c>
    </row>
    <row r="27" spans="1:14">
      <c r="A27" s="2773" t="s">
        <v>2528</v>
      </c>
      <c r="B27" s="2774"/>
      <c r="C27" s="2774"/>
      <c r="D27" s="2774"/>
      <c r="E27" s="2774"/>
      <c r="F27" s="2774"/>
      <c r="G27" s="2775"/>
      <c r="I27" s="2791">
        <v>35</v>
      </c>
      <c r="J27" s="2791">
        <v>93.8</v>
      </c>
      <c r="K27" s="2791">
        <f t="shared" si="2"/>
        <v>3.2999999999999972</v>
      </c>
      <c r="L27" s="2791" t="s">
        <v>2570</v>
      </c>
      <c r="N27" s="3143">
        <v>3</v>
      </c>
    </row>
    <row r="28" spans="1:14">
      <c r="A28" s="2773" t="s">
        <v>2529</v>
      </c>
      <c r="B28" s="2774"/>
      <c r="C28" s="2774"/>
      <c r="D28" s="2774"/>
      <c r="E28" s="2774"/>
      <c r="F28" s="2774"/>
      <c r="G28" s="2775"/>
      <c r="I28" s="2791">
        <v>40</v>
      </c>
      <c r="J28" s="2791">
        <v>96.4</v>
      </c>
      <c r="K28" s="2791">
        <f t="shared" si="2"/>
        <v>2.6000000000000085</v>
      </c>
      <c r="L28" s="2791" t="s">
        <v>2571</v>
      </c>
      <c r="N28" s="3143">
        <v>2</v>
      </c>
    </row>
    <row r="29" spans="1:14">
      <c r="A29" s="2773" t="s">
        <v>2530</v>
      </c>
      <c r="B29" s="2774"/>
      <c r="C29" s="2774"/>
      <c r="D29" s="2774"/>
      <c r="E29" s="2774"/>
      <c r="F29" s="2774"/>
      <c r="G29" s="2775"/>
      <c r="I29" s="2791">
        <v>45</v>
      </c>
      <c r="J29" s="2791">
        <v>98.4</v>
      </c>
      <c r="K29" s="2791">
        <f t="shared" si="2"/>
        <v>2</v>
      </c>
    </row>
    <row r="30" spans="1:14">
      <c r="A30" s="2773" t="s">
        <v>2531</v>
      </c>
      <c r="B30" s="2774"/>
      <c r="C30" s="2774"/>
      <c r="D30" s="2774"/>
      <c r="E30" s="2774"/>
      <c r="F30" s="2774"/>
      <c r="G30" s="2775"/>
      <c r="I30" s="2791">
        <v>50</v>
      </c>
      <c r="J30" s="2791">
        <v>100</v>
      </c>
      <c r="K30" s="2791">
        <f t="shared" si="2"/>
        <v>1.5999999999999943</v>
      </c>
    </row>
    <row r="31" spans="1:14">
      <c r="A31" s="2773" t="s">
        <v>2532</v>
      </c>
      <c r="B31" s="2774"/>
      <c r="C31" s="2774"/>
      <c r="D31" s="2774"/>
      <c r="E31" s="2774"/>
      <c r="F31" s="2774"/>
      <c r="G31" s="2775"/>
      <c r="I31" s="2791" t="s">
        <v>2563</v>
      </c>
    </row>
    <row r="32" spans="1:14">
      <c r="A32" s="2773" t="s">
        <v>2533</v>
      </c>
      <c r="B32" s="2774"/>
      <c r="C32" s="2774"/>
      <c r="D32" s="2774"/>
      <c r="E32" s="2774"/>
      <c r="F32" s="2774"/>
      <c r="G32" s="2775"/>
    </row>
    <row r="33" spans="1:14">
      <c r="A33" s="2773" t="s">
        <v>2534</v>
      </c>
      <c r="B33" s="2774"/>
      <c r="C33" s="2774"/>
      <c r="D33" s="2774"/>
      <c r="E33" s="2774"/>
      <c r="F33" s="2774"/>
      <c r="G33" s="2775"/>
      <c r="I33" s="2791" t="s">
        <v>2562</v>
      </c>
      <c r="J33" s="2791" t="s">
        <v>2572</v>
      </c>
    </row>
    <row r="34" spans="1:14">
      <c r="A34" s="2773" t="s">
        <v>2535</v>
      </c>
      <c r="B34" s="2774"/>
      <c r="C34" s="2774"/>
      <c r="D34" s="2774"/>
      <c r="E34" s="2774"/>
      <c r="F34" s="2774"/>
      <c r="G34" s="2775"/>
      <c r="I34" s="2791">
        <v>5</v>
      </c>
      <c r="J34" s="2791">
        <v>55.1</v>
      </c>
    </row>
    <row r="35" spans="1:14">
      <c r="A35" s="2773" t="s">
        <v>2536</v>
      </c>
      <c r="B35" s="2774"/>
      <c r="C35" s="2774"/>
      <c r="D35" s="2774"/>
      <c r="E35" s="2774"/>
      <c r="F35" s="2774"/>
      <c r="G35" s="2775"/>
      <c r="I35" s="2791">
        <v>10</v>
      </c>
      <c r="J35" s="2791">
        <v>67</v>
      </c>
      <c r="K35" s="2791">
        <f>J35-J34</f>
        <v>11.899999999999999</v>
      </c>
    </row>
    <row r="36" spans="1:14">
      <c r="A36" s="2773" t="s">
        <v>2537</v>
      </c>
      <c r="B36" s="2774"/>
      <c r="C36" s="2774"/>
      <c r="D36" s="2774"/>
      <c r="E36" s="2774"/>
      <c r="F36" s="2774"/>
      <c r="G36" s="2775"/>
      <c r="I36" s="2791">
        <v>15</v>
      </c>
      <c r="J36" s="2791">
        <v>76.3</v>
      </c>
      <c r="K36" s="2791">
        <f t="shared" ref="K36:K41" si="3">J36-J35</f>
        <v>9.2999999999999972</v>
      </c>
      <c r="L36" s="2791" t="s">
        <v>2565</v>
      </c>
      <c r="N36" s="3143" t="s">
        <v>2566</v>
      </c>
    </row>
    <row r="37" spans="1:14">
      <c r="A37" s="2773" t="s">
        <v>2538</v>
      </c>
      <c r="B37" s="2774"/>
      <c r="C37" s="2774"/>
      <c r="D37" s="2774"/>
      <c r="E37" s="2774"/>
      <c r="F37" s="2774"/>
      <c r="G37" s="2775"/>
      <c r="I37" s="2791">
        <v>20</v>
      </c>
      <c r="J37" s="2791">
        <v>83.6</v>
      </c>
      <c r="K37" s="2791">
        <f t="shared" si="3"/>
        <v>7.2999999999999972</v>
      </c>
      <c r="L37" s="2791" t="s">
        <v>2564</v>
      </c>
      <c r="N37" s="3143">
        <v>10</v>
      </c>
    </row>
    <row r="38" spans="1:14">
      <c r="A38" s="2773" t="s">
        <v>2539</v>
      </c>
      <c r="B38" s="2774"/>
      <c r="C38" s="2774"/>
      <c r="D38" s="2774"/>
      <c r="E38" s="2774"/>
      <c r="F38" s="2774"/>
      <c r="G38" s="2775"/>
      <c r="I38" s="2791">
        <v>25</v>
      </c>
      <c r="J38" s="2791">
        <v>89.3</v>
      </c>
      <c r="K38" s="2791">
        <f t="shared" si="3"/>
        <v>5.7000000000000028</v>
      </c>
      <c r="L38" s="2791" t="s">
        <v>2568</v>
      </c>
      <c r="N38" s="3143">
        <v>8</v>
      </c>
    </row>
    <row r="39" spans="1:14">
      <c r="A39" s="2773"/>
      <c r="B39" s="2774"/>
      <c r="C39" s="2774"/>
      <c r="D39" s="2774"/>
      <c r="E39" s="2774"/>
      <c r="F39" s="2774"/>
      <c r="G39" s="2775"/>
      <c r="I39" s="2791">
        <v>30</v>
      </c>
      <c r="J39" s="2791">
        <v>93.8</v>
      </c>
      <c r="K39" s="2791">
        <f t="shared" si="3"/>
        <v>4.5</v>
      </c>
      <c r="L39" s="2791" t="s">
        <v>2569</v>
      </c>
      <c r="N39" s="3143">
        <v>6</v>
      </c>
    </row>
    <row r="40" spans="1:14">
      <c r="A40" s="2776" t="s">
        <v>2540</v>
      </c>
      <c r="B40" s="2777"/>
      <c r="C40" s="2777"/>
      <c r="D40" s="2777"/>
      <c r="E40" s="2777"/>
      <c r="F40" s="2777"/>
      <c r="G40" s="2778"/>
      <c r="I40" s="2791">
        <v>35</v>
      </c>
      <c r="J40" s="2791">
        <v>97.2</v>
      </c>
      <c r="K40" s="2791">
        <f t="shared" si="3"/>
        <v>3.4000000000000057</v>
      </c>
      <c r="L40" s="2791" t="s">
        <v>2570</v>
      </c>
      <c r="N40" s="3143">
        <v>3</v>
      </c>
    </row>
    <row r="41" spans="1:14">
      <c r="A41" s="2779" t="s">
        <v>2541</v>
      </c>
      <c r="B41" s="2780" t="s">
        <v>2542</v>
      </c>
      <c r="C41" s="2781" t="s">
        <v>2543</v>
      </c>
      <c r="D41" s="2781" t="s">
        <v>2544</v>
      </c>
      <c r="E41" s="2782"/>
      <c r="F41" s="2783"/>
      <c r="G41" s="2784"/>
      <c r="I41" s="2791">
        <v>40</v>
      </c>
      <c r="J41" s="2791">
        <v>100</v>
      </c>
      <c r="K41" s="2791">
        <f t="shared" si="3"/>
        <v>2.7999999999999972</v>
      </c>
    </row>
    <row r="42" spans="1:14">
      <c r="A42" s="2779" t="s">
        <v>2545</v>
      </c>
      <c r="B42" s="2780" t="s">
        <v>2546</v>
      </c>
      <c r="C42" s="2781" t="s">
        <v>2547</v>
      </c>
      <c r="D42" s="2785" t="s">
        <v>2548</v>
      </c>
      <c r="E42" s="2777" t="s">
        <v>2549</v>
      </c>
      <c r="F42" s="2777"/>
      <c r="G42" s="2778"/>
    </row>
    <row r="43" spans="1:14">
      <c r="A43" s="2779" t="s">
        <v>2550</v>
      </c>
      <c r="B43" s="2780" t="s">
        <v>2551</v>
      </c>
      <c r="C43" s="2781" t="s">
        <v>2552</v>
      </c>
      <c r="D43" s="2781" t="s">
        <v>2553</v>
      </c>
      <c r="E43" s="2782" t="s">
        <v>2554</v>
      </c>
      <c r="F43" s="2783"/>
      <c r="G43" s="2784"/>
      <c r="I43" s="2791" t="s">
        <v>2562</v>
      </c>
      <c r="J43" s="2791" t="s">
        <v>2573</v>
      </c>
    </row>
    <row r="44" spans="1:14">
      <c r="A44" s="2779" t="s">
        <v>2555</v>
      </c>
      <c r="B44" s="2780" t="s">
        <v>2556</v>
      </c>
      <c r="C44" s="2781" t="s">
        <v>2557</v>
      </c>
      <c r="D44" s="2785">
        <v>0.5</v>
      </c>
      <c r="E44" s="2782" t="s">
        <v>2558</v>
      </c>
      <c r="F44" s="2783"/>
      <c r="G44" s="2784"/>
      <c r="I44" s="2791">
        <v>30</v>
      </c>
      <c r="J44" s="2791">
        <v>81.7</v>
      </c>
    </row>
    <row r="45" spans="1:14" ht="15" thickBot="1">
      <c r="A45" s="2786" t="s">
        <v>2559</v>
      </c>
      <c r="B45" s="2787" t="s">
        <v>2546</v>
      </c>
      <c r="C45" s="2788" t="s">
        <v>2546</v>
      </c>
      <c r="D45" s="2788" t="s">
        <v>2560</v>
      </c>
      <c r="E45" s="2789" t="s">
        <v>2561</v>
      </c>
      <c r="F45" s="2789"/>
      <c r="G45" s="2790"/>
      <c r="I45" s="2791">
        <v>40</v>
      </c>
      <c r="J45" s="2791">
        <v>89.2</v>
      </c>
      <c r="K45" s="2791">
        <f>J45-J44</f>
        <v>7.5</v>
      </c>
    </row>
    <row r="46" spans="1:14">
      <c r="I46" s="2791">
        <v>50</v>
      </c>
      <c r="J46" s="2791">
        <v>94.3</v>
      </c>
      <c r="K46" s="2791">
        <f t="shared" ref="K46:K47" si="4">J46-J45</f>
        <v>5.0999999999999943</v>
      </c>
    </row>
    <row r="47" spans="1:14">
      <c r="I47" s="2791">
        <v>60</v>
      </c>
      <c r="J47" s="2791">
        <v>97.7</v>
      </c>
      <c r="K47" s="2791">
        <f t="shared" si="4"/>
        <v>3.4000000000000057</v>
      </c>
    </row>
    <row r="48" spans="1:14" ht="15" thickBot="1"/>
    <row r="49" spans="1:4">
      <c r="A49" s="2747" t="s">
        <v>3388</v>
      </c>
    </row>
    <row r="50" spans="1:4">
      <c r="A50" s="3135" t="s">
        <v>3389</v>
      </c>
      <c r="B50" s="3135" t="s">
        <v>3390</v>
      </c>
      <c r="C50" s="3135" t="s">
        <v>3391</v>
      </c>
      <c r="D50" s="3135" t="s">
        <v>3392</v>
      </c>
    </row>
    <row r="51" spans="1:4">
      <c r="A51" s="3135" t="s">
        <v>3393</v>
      </c>
      <c r="B51" s="2756">
        <f>B52+B53</f>
        <v>15000</v>
      </c>
      <c r="C51" s="3136">
        <f>D51/B51</f>
        <v>2666.6666666666665</v>
      </c>
      <c r="D51" s="2756">
        <f>D52+D53</f>
        <v>40000000</v>
      </c>
    </row>
    <row r="52" spans="1:4">
      <c r="A52" s="3137" t="s">
        <v>3394</v>
      </c>
      <c r="B52" s="3138">
        <v>10000</v>
      </c>
      <c r="C52" s="3138">
        <v>1500</v>
      </c>
      <c r="D52" s="3139">
        <f>C52*B52</f>
        <v>15000000</v>
      </c>
    </row>
    <row r="53" spans="1:4">
      <c r="A53" s="3137" t="s">
        <v>3395</v>
      </c>
      <c r="B53" s="3138">
        <v>5000</v>
      </c>
      <c r="C53" s="3138">
        <v>5000</v>
      </c>
      <c r="D53" s="3139">
        <f>C53*B53</f>
        <v>25000000</v>
      </c>
    </row>
    <row r="54" spans="1:4">
      <c r="A54" s="3135" t="s">
        <v>3396</v>
      </c>
      <c r="B54" s="2756">
        <f>B51</f>
        <v>15000</v>
      </c>
      <c r="C54" s="2762">
        <v>700</v>
      </c>
      <c r="D54" s="2756">
        <f t="shared" ref="D54:D55" si="5">C54*B54</f>
        <v>10500000</v>
      </c>
    </row>
    <row r="55" spans="1:4">
      <c r="A55" s="3135" t="s">
        <v>3397</v>
      </c>
      <c r="B55" s="2756">
        <f>B51</f>
        <v>15000</v>
      </c>
      <c r="C55" s="2762">
        <v>1500</v>
      </c>
      <c r="D55" s="2756">
        <f t="shared" si="5"/>
        <v>22500000</v>
      </c>
    </row>
    <row r="56" spans="1:4">
      <c r="A56" s="3135" t="s">
        <v>3398</v>
      </c>
      <c r="B56" s="2756">
        <f>B51</f>
        <v>15000</v>
      </c>
      <c r="C56" s="3140">
        <f>C51+C54+C55</f>
        <v>4866.6666666666661</v>
      </c>
      <c r="D56" s="2756">
        <f>D51+D54+D55</f>
        <v>73000000</v>
      </c>
    </row>
    <row r="58" spans="1:4">
      <c r="A58" s="3135" t="s">
        <v>3399</v>
      </c>
      <c r="B58" s="3141">
        <v>0.05</v>
      </c>
      <c r="C58" s="2756">
        <f>C56*(1+B58)</f>
        <v>5110</v>
      </c>
      <c r="D58" s="2756">
        <f>D56*B58</f>
        <v>3650000</v>
      </c>
    </row>
    <row r="60" spans="1:4">
      <c r="A60" s="3135" t="s">
        <v>3400</v>
      </c>
      <c r="B60" s="2762">
        <v>3500</v>
      </c>
      <c r="C60" s="2762">
        <f>C53</f>
        <v>5000</v>
      </c>
      <c r="D60" s="2756">
        <f>C60*B60</f>
        <v>17500000</v>
      </c>
    </row>
    <row r="62" spans="1:4">
      <c r="A62" s="3135" t="s">
        <v>3401</v>
      </c>
      <c r="B62" s="2762">
        <f>B51</f>
        <v>15000</v>
      </c>
      <c r="C62" s="3142">
        <f>D62/B62</f>
        <v>6276.666666666667</v>
      </c>
      <c r="D62" s="276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2168</v>
      </c>
      <c r="B1" s="3349"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50"/>
      <c r="D1" s="3350"/>
      <c r="E1" s="3350"/>
      <c r="F1" s="3350"/>
      <c r="G1" s="3350"/>
      <c r="H1" s="3350"/>
      <c r="I1" s="3351"/>
      <c r="J1" s="2239"/>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1614"/>
      <c r="U1" s="1614"/>
      <c r="V1" s="1614"/>
      <c r="W1" s="1614"/>
      <c r="X1" s="1614"/>
      <c r="Y1" s="1614"/>
      <c r="Z1" s="1614"/>
      <c r="AA1" s="1614"/>
      <c r="AB1" s="1614"/>
    </row>
    <row r="2" spans="1:30">
      <c r="A2" s="2178" t="s">
        <v>2169</v>
      </c>
      <c r="B2" s="122"/>
      <c r="D2" s="2440"/>
      <c r="E2" s="2434"/>
      <c r="F2" s="2434"/>
      <c r="G2" s="2435"/>
      <c r="H2" s="2435"/>
      <c r="I2" s="2435"/>
      <c r="J2" s="2239"/>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北京市西城区平安里西大街28号楼1层101等[34]套房地产</v>
      </c>
      <c r="T2" s="1614"/>
      <c r="U2" s="1614"/>
      <c r="V2" s="1614"/>
      <c r="W2" s="1614"/>
      <c r="X2" s="1614"/>
      <c r="Y2" s="1614"/>
      <c r="Z2" s="1614"/>
      <c r="AA2" s="1614"/>
      <c r="AB2" s="1614"/>
    </row>
    <row r="3" spans="1:30">
      <c r="A3" s="294" t="s">
        <v>2170</v>
      </c>
      <c r="B3" s="2181">
        <v>45734</v>
      </c>
      <c r="C3" s="2182" t="s">
        <v>2171</v>
      </c>
      <c r="D3" s="2181">
        <f>B3</f>
        <v>45734</v>
      </c>
      <c r="E3" s="2435"/>
      <c r="F3" s="2435"/>
      <c r="G3" s="2435"/>
      <c r="H3" s="2435"/>
      <c r="I3" s="2435"/>
      <c r="J3" s="2239"/>
      <c r="K3" s="2179"/>
      <c r="L3" s="2180"/>
      <c r="M3" s="2180"/>
      <c r="N3" s="2178"/>
      <c r="O3" s="1462"/>
      <c r="P3" s="2178"/>
      <c r="Q3" s="2178"/>
      <c r="R3" s="2178"/>
      <c r="S3" s="1557"/>
      <c r="T3" s="1614"/>
      <c r="U3" s="1614"/>
      <c r="V3" s="1614"/>
      <c r="W3" s="1614"/>
      <c r="X3" s="1614"/>
      <c r="Y3" s="1614"/>
      <c r="Z3" s="1614"/>
      <c r="AA3" s="1614"/>
      <c r="AB3" s="1614"/>
    </row>
    <row r="4" spans="1:30" ht="13.8" thickBot="1">
      <c r="A4" s="1024" t="s">
        <v>2172</v>
      </c>
      <c r="B4" s="2183" t="s">
        <v>3665</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39"/>
      <c r="K4" s="2185" t="str">
        <f ca="1">CONCATENATE(B4,"（注册号：",C4,")、",D4,"（注册号：",E4,")")</f>
        <v>郑燚（注册号：1120070131)、（注册号：0)</v>
      </c>
      <c r="L4" s="2180"/>
      <c r="M4" s="2180"/>
      <c r="N4" s="2178"/>
      <c r="O4" s="1462"/>
      <c r="P4" s="2178"/>
      <c r="Q4" s="2178"/>
      <c r="R4" s="2178"/>
      <c r="S4" s="1557"/>
      <c r="T4" s="1614"/>
      <c r="U4" s="1614"/>
      <c r="V4" s="1614"/>
      <c r="W4" s="1614"/>
      <c r="X4" s="1614"/>
      <c r="Y4" s="1614"/>
      <c r="Z4" s="1614"/>
      <c r="AA4" s="1614"/>
      <c r="AB4" s="1614"/>
    </row>
    <row r="5" spans="1:30" ht="13.8" thickTop="1">
      <c r="A5" s="2186" t="s">
        <v>2173</v>
      </c>
      <c r="B5" s="2187"/>
      <c r="C5" s="2188"/>
      <c r="D5" s="2189"/>
      <c r="E5" s="2435"/>
      <c r="F5" s="2435"/>
      <c r="G5" s="2435"/>
      <c r="H5" s="2435"/>
      <c r="I5" s="2435"/>
      <c r="J5" s="2239"/>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2174</v>
      </c>
      <c r="B6" s="2191"/>
      <c r="C6" s="2192"/>
      <c r="D6" s="2193"/>
      <c r="E6" s="2434"/>
      <c r="F6" s="2435"/>
      <c r="G6" s="2435"/>
      <c r="H6" s="2435"/>
      <c r="I6" s="2435"/>
      <c r="J6" s="2239"/>
      <c r="K6" s="2394" t="str">
        <f>IF(COUNTIF(B6,"*上海银行*"),"上海银行","")</f>
        <v/>
      </c>
      <c r="L6" s="2392"/>
      <c r="M6" s="2392"/>
      <c r="N6" s="2239"/>
      <c r="O6" s="1666"/>
      <c r="P6" s="2239"/>
      <c r="Q6" s="2239"/>
      <c r="R6" s="2239"/>
    </row>
    <row r="7" spans="1:30">
      <c r="A7" s="2190" t="s">
        <v>2175</v>
      </c>
      <c r="B7" s="3157" t="s">
        <v>3481</v>
      </c>
      <c r="C7" s="2192"/>
      <c r="D7" s="2193"/>
      <c r="E7" s="2434"/>
      <c r="F7" s="2435"/>
      <c r="G7" s="2435"/>
      <c r="H7" s="2435"/>
      <c r="I7" s="2435"/>
      <c r="J7" s="2239"/>
      <c r="K7" s="2395"/>
      <c r="L7" s="2392"/>
      <c r="M7" s="2392"/>
      <c r="N7" s="2239"/>
      <c r="O7" s="1666"/>
      <c r="P7" s="2239"/>
      <c r="Q7" s="2239"/>
      <c r="R7" s="2239"/>
    </row>
    <row r="8" spans="1:30">
      <c r="A8" s="2194" t="s">
        <v>2176</v>
      </c>
      <c r="B8" s="2195" t="s">
        <v>3403</v>
      </c>
      <c r="C8" s="2196"/>
      <c r="D8" s="3352" t="s">
        <v>2177</v>
      </c>
      <c r="E8" s="2197" t="s">
        <v>3404</v>
      </c>
      <c r="F8" s="2198"/>
      <c r="G8" s="2435"/>
      <c r="H8" s="2435"/>
      <c r="I8" s="2435"/>
      <c r="J8" s="2239"/>
      <c r="K8" s="2393"/>
      <c r="L8" s="2392"/>
      <c r="M8" s="2392"/>
      <c r="N8" s="2239"/>
      <c r="O8" s="1666"/>
      <c r="P8" s="2239"/>
      <c r="Q8" s="2239"/>
      <c r="R8" s="2239"/>
    </row>
    <row r="9" spans="1:30" ht="13.8" thickBot="1">
      <c r="A9" s="2199" t="s">
        <v>2178</v>
      </c>
      <c r="B9" s="2200" t="s">
        <v>3404</v>
      </c>
      <c r="C9" s="2201"/>
      <c r="D9" s="3353"/>
      <c r="E9" s="2200" t="s">
        <v>587</v>
      </c>
      <c r="F9" s="2202"/>
      <c r="G9" s="2436"/>
      <c r="H9" s="2436"/>
      <c r="I9" s="2436"/>
      <c r="J9" s="2239"/>
      <c r="K9" s="2395"/>
      <c r="L9" s="2392"/>
      <c r="M9" s="2392"/>
      <c r="N9" s="2239"/>
      <c r="O9" s="1666"/>
      <c r="P9" s="2239"/>
      <c r="Q9" s="2239"/>
      <c r="R9" s="2239"/>
    </row>
    <row r="10" spans="1:30" ht="13.8" thickTop="1">
      <c r="A10" s="2203" t="s">
        <v>2179</v>
      </c>
      <c r="B10" s="2204" t="s">
        <v>3405</v>
      </c>
      <c r="C10" s="2205"/>
      <c r="D10" s="2189"/>
      <c r="E10" s="2206" t="s">
        <v>2180</v>
      </c>
      <c r="F10" s="3145" t="s">
        <v>3407</v>
      </c>
      <c r="G10" s="2437"/>
      <c r="H10" s="2438"/>
      <c r="I10" s="2439"/>
      <c r="J10" s="2239"/>
      <c r="K10" s="2395"/>
      <c r="L10" s="2392"/>
      <c r="M10" s="2392"/>
      <c r="N10" s="2239"/>
      <c r="O10" s="1666"/>
      <c r="P10" s="2239"/>
      <c r="Q10" s="2239"/>
      <c r="R10" s="2239"/>
    </row>
    <row r="11" spans="1:30" ht="36">
      <c r="A11" s="2207" t="s">
        <v>2181</v>
      </c>
      <c r="B11" s="2208" t="s">
        <v>3406</v>
      </c>
      <c r="C11" s="3146" t="s">
        <v>3408</v>
      </c>
      <c r="D11" s="2209"/>
      <c r="E11" s="2178"/>
      <c r="F11" s="2178"/>
      <c r="G11" s="2178"/>
      <c r="H11" s="2178"/>
      <c r="I11" s="2178"/>
      <c r="J11" s="2793"/>
      <c r="K11" s="2392"/>
      <c r="L11" s="2392"/>
      <c r="M11" s="2392"/>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2" t="s">
        <v>2574</v>
      </c>
      <c r="J12" s="2794"/>
      <c r="K12" s="2392"/>
      <c r="L12" s="2392"/>
      <c r="M12" s="2239"/>
      <c r="N12" s="1666"/>
      <c r="O12" s="2239"/>
      <c r="P12" s="2239"/>
      <c r="Q12" s="2239"/>
      <c r="AD12" s="1614"/>
    </row>
    <row r="13" spans="1:30">
      <c r="A13" s="3113" t="s">
        <v>3330</v>
      </c>
      <c r="B13" s="2212" t="s">
        <v>2190</v>
      </c>
      <c r="C13" s="800">
        <f>最新租赁台账!H7</f>
        <v>47113</v>
      </c>
      <c r="D13" s="800">
        <v>52662</v>
      </c>
      <c r="E13" s="800">
        <v>56314</v>
      </c>
      <c r="F13" s="800">
        <f>E13</f>
        <v>56314</v>
      </c>
      <c r="G13" s="800">
        <f>F13</f>
        <v>56314</v>
      </c>
      <c r="H13" s="800">
        <f>最新租赁台账!H13</f>
        <v>47238</v>
      </c>
      <c r="I13" s="800">
        <v>56178</v>
      </c>
      <c r="J13" s="2794"/>
      <c r="K13" s="2392"/>
      <c r="L13" s="2392"/>
      <c r="M13" s="2239"/>
      <c r="N13" s="1666"/>
      <c r="O13" s="2239"/>
      <c r="P13" s="2239"/>
      <c r="Q13" s="2239"/>
      <c r="AD13" s="1614"/>
    </row>
    <row r="14" spans="1:30">
      <c r="A14" s="1015"/>
      <c r="B14" s="2212" t="s">
        <v>2191</v>
      </c>
      <c r="C14" s="2213"/>
      <c r="D14" s="2213">
        <v>40</v>
      </c>
      <c r="E14" s="2213">
        <v>50</v>
      </c>
      <c r="F14" s="2213">
        <v>50</v>
      </c>
      <c r="G14" s="2213">
        <v>50</v>
      </c>
      <c r="H14" s="2213"/>
      <c r="I14" s="2213"/>
      <c r="J14" s="2795"/>
      <c r="K14" s="2392"/>
      <c r="L14" s="2392"/>
      <c r="M14" s="2239"/>
      <c r="N14" s="1666"/>
      <c r="O14" s="2239"/>
      <c r="P14" s="2239"/>
      <c r="Q14" s="2239"/>
      <c r="AD14" s="1614"/>
    </row>
    <row r="15" spans="1:30">
      <c r="A15" s="312"/>
      <c r="B15" s="2214" t="s">
        <v>2192</v>
      </c>
      <c r="C15" s="2215">
        <f>IF(A13="出让",IF(C13="","",ROUNDDOWN(MIN((C13-$D$3)/365,C14),2)),C14)</f>
        <v>3.77</v>
      </c>
      <c r="D15" s="2215">
        <f>IF(A13="出让",IF(D13="","",ROUNDDOWN(MIN((D13-$D$3)/365,D14),2)),D14)</f>
        <v>18.98</v>
      </c>
      <c r="E15" s="2215">
        <f>IF(A13="出让",IF(E13="","",ROUNDDOWN(MIN((E13-$D$3)/365,E14),2)),E14)</f>
        <v>28.98</v>
      </c>
      <c r="F15" s="2215">
        <f>IF(A13="出让",IF(F13="","",ROUNDDOWN(MIN((F13-$D$3)/365,F14),2)),F14)</f>
        <v>28.98</v>
      </c>
      <c r="G15" s="2215">
        <f>IF(A13="出让",IF(G13="","",ROUNDDOWN(MIN((G13-$D$3)/365,G14),2)),G14)</f>
        <v>28.98</v>
      </c>
      <c r="H15" s="2215">
        <f>IF(A13="出让",IF(H13="","",ROUNDDOWN(MIN((H13-$D$3)/365,H14),2)),H14)</f>
        <v>4.12</v>
      </c>
      <c r="I15" s="2215">
        <f>IF(A13="出让",IF(I13="","",ROUNDDOWN(MIN((I13-$D$3)/365,I14),2)),I14)</f>
        <v>28.61</v>
      </c>
      <c r="J15" s="2796"/>
      <c r="K15" s="1666"/>
      <c r="L15" s="1666"/>
      <c r="M15" s="2239"/>
      <c r="N15" s="1666"/>
      <c r="O15" s="2239"/>
      <c r="P15" s="2239"/>
      <c r="Q15" s="2239"/>
      <c r="AD15" s="1614"/>
    </row>
    <row r="16" spans="1:30">
      <c r="A16" s="2206" t="s">
        <v>2193</v>
      </c>
      <c r="B16" s="3359"/>
      <c r="C16" s="3360"/>
      <c r="D16" s="3361"/>
      <c r="E16" s="2216" t="s">
        <v>2194</v>
      </c>
      <c r="F16" s="3362">
        <f>E15</f>
        <v>28.98</v>
      </c>
      <c r="G16" s="3363"/>
      <c r="H16" s="3363"/>
      <c r="I16" s="3364"/>
      <c r="J16" s="2239"/>
      <c r="K16" s="2396"/>
      <c r="L16" s="1666"/>
      <c r="M16" s="1666"/>
      <c r="N16" s="2239"/>
      <c r="O16" s="1666"/>
      <c r="P16" s="2239"/>
      <c r="Q16" s="2239"/>
      <c r="R16" s="2239"/>
    </row>
    <row r="17" spans="1:28">
      <c r="A17" s="305" t="s">
        <v>2195</v>
      </c>
      <c r="B17" s="294" t="s">
        <v>2196</v>
      </c>
      <c r="C17" s="8">
        <f>'数据-汇总表'!E3</f>
        <v>51206.530000000006</v>
      </c>
      <c r="D17" s="1252" t="s">
        <v>2197</v>
      </c>
      <c r="E17" s="3365" t="s">
        <v>2198</v>
      </c>
      <c r="F17" s="3366"/>
      <c r="G17" s="3366"/>
      <c r="H17" s="3366"/>
      <c r="I17" s="3367"/>
      <c r="J17" s="2239"/>
      <c r="K17" s="2397"/>
      <c r="L17" s="1666"/>
      <c r="M17" s="1666"/>
      <c r="N17" s="2239"/>
      <c r="O17" s="1666"/>
      <c r="P17" s="2239"/>
      <c r="Q17" s="2239"/>
      <c r="R17" s="2239"/>
      <c r="S17" s="2239"/>
      <c r="T17" s="2239"/>
      <c r="U17" s="2239"/>
      <c r="V17" s="2239"/>
    </row>
    <row r="18" spans="1:28" ht="24.6" thickBot="1">
      <c r="A18" s="2217" t="s">
        <v>2199</v>
      </c>
      <c r="B18" s="1024" t="s">
        <v>2200</v>
      </c>
      <c r="C18" s="2218">
        <f>'数据-汇总表'!D3</f>
        <v>6088.55</v>
      </c>
      <c r="D18" s="1026" t="s">
        <v>2201</v>
      </c>
      <c r="E18" s="3368" t="s">
        <v>2202</v>
      </c>
      <c r="F18" s="3369"/>
      <c r="G18" s="3369"/>
      <c r="H18" s="3369"/>
      <c r="I18" s="3370"/>
      <c r="J18" s="2239"/>
      <c r="K18" s="2397"/>
      <c r="L18" s="1666"/>
      <c r="M18" s="1666"/>
      <c r="N18" s="2239"/>
      <c r="O18" s="1666"/>
      <c r="P18" s="2239"/>
      <c r="Q18" s="2239"/>
      <c r="R18" s="2239"/>
      <c r="S18" s="2239"/>
      <c r="T18" s="2239"/>
      <c r="U18" s="2239"/>
      <c r="V18" s="2239"/>
    </row>
    <row r="19" spans="1:28" ht="37.200000000000003" thickTop="1" thickBot="1">
      <c r="A19" s="319" t="s">
        <v>1055</v>
      </c>
      <c r="B19" s="299" t="s">
        <v>2203</v>
      </c>
      <c r="C19" s="1451" t="s">
        <v>3409</v>
      </c>
      <c r="D19" s="1452" t="s">
        <v>2204</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2205</v>
      </c>
      <c r="B20" s="3355" t="s">
        <v>2206</v>
      </c>
      <c r="C20" s="3356"/>
      <c r="D20" s="3357" t="s">
        <v>2207</v>
      </c>
      <c r="E20" s="3358"/>
      <c r="F20" s="2423" t="s">
        <v>1056</v>
      </c>
      <c r="G20" s="2435"/>
      <c r="H20" s="2435"/>
      <c r="I20" s="2435"/>
      <c r="J20" s="2239"/>
      <c r="K20" s="335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2"/>
      <c r="P20" s="2178"/>
      <c r="Q20" s="2178"/>
      <c r="R20" s="2178"/>
      <c r="S20" s="2178"/>
      <c r="T20" s="2178"/>
      <c r="U20" s="2178"/>
      <c r="V20" s="2178"/>
      <c r="W20" s="1614"/>
      <c r="X20" s="1614"/>
      <c r="Y20" s="1614"/>
      <c r="Z20" s="1614"/>
      <c r="AA20" s="1614"/>
      <c r="AB20" s="1614"/>
    </row>
    <row r="21" spans="1:28" ht="36.6" thickBot="1">
      <c r="A21" s="2410"/>
      <c r="B21" s="2411" t="s">
        <v>2209</v>
      </c>
      <c r="C21" s="2289" t="s">
        <v>1057</v>
      </c>
      <c r="D21" s="1456" t="s">
        <v>2210</v>
      </c>
      <c r="E21" s="2412" t="s">
        <v>1057</v>
      </c>
      <c r="F21" s="2424"/>
      <c r="G21" s="2435"/>
      <c r="H21" s="2435"/>
      <c r="I21" s="2435"/>
      <c r="J21" s="2239"/>
      <c r="K21" s="335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0"/>
      <c r="B22" s="2413" t="s">
        <v>2211</v>
      </c>
      <c r="C22" s="2289" t="s">
        <v>1058</v>
      </c>
      <c r="D22" s="2435"/>
      <c r="E22" s="2435"/>
      <c r="F22" s="2435"/>
      <c r="G22" s="2435"/>
      <c r="H22" s="2435"/>
      <c r="I22" s="2435"/>
      <c r="J22" s="2239"/>
      <c r="K22" s="335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4" t="s">
        <v>2212</v>
      </c>
      <c r="B23" s="2286" t="s">
        <v>2213</v>
      </c>
      <c r="C23" s="2415"/>
      <c r="D23" s="2416" t="s">
        <v>2213</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6" t="s">
        <v>1059</v>
      </c>
      <c r="C24" s="2265"/>
      <c r="D24" s="2414" t="s">
        <v>1059</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6" t="s">
        <v>1060</v>
      </c>
      <c r="C25" s="2265"/>
      <c r="D25" s="2414" t="s">
        <v>1060</v>
      </c>
      <c r="E25" s="2418"/>
      <c r="F25" s="2435"/>
      <c r="G25" s="2435"/>
      <c r="H25" s="2435"/>
      <c r="I25" s="2435"/>
      <c r="J25" s="2239"/>
      <c r="K25" s="2395"/>
      <c r="L25" s="2392"/>
      <c r="M25" s="2392"/>
      <c r="N25" s="2239"/>
      <c r="O25" s="1666"/>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6"/>
      <c r="P26" s="2239"/>
      <c r="Q26" s="2239"/>
      <c r="R26" s="2239"/>
      <c r="S26" s="2239"/>
      <c r="T26" s="2239"/>
      <c r="U26" s="2239"/>
      <c r="V26" s="2239"/>
    </row>
    <row r="27" spans="1:28" ht="13.8" thickTop="1">
      <c r="A27" s="3343" t="s">
        <v>2214</v>
      </c>
      <c r="B27" s="312" t="s">
        <v>2215</v>
      </c>
      <c r="C27" s="2219" t="s">
        <v>3410</v>
      </c>
      <c r="D27" s="2220"/>
      <c r="E27" s="2435"/>
      <c r="F27" s="2435"/>
      <c r="G27" s="2435"/>
      <c r="H27" s="2435"/>
      <c r="I27" s="2435"/>
      <c r="J27" s="2239"/>
      <c r="K27" s="2396"/>
      <c r="L27" s="1666"/>
      <c r="M27" s="1666"/>
      <c r="N27" s="2239"/>
      <c r="O27" s="1666"/>
      <c r="P27" s="2239"/>
      <c r="Q27" s="2239"/>
      <c r="R27" s="2239"/>
      <c r="S27" s="2239"/>
      <c r="T27" s="2239"/>
      <c r="U27" s="2239"/>
      <c r="V27" s="2239"/>
    </row>
    <row r="28" spans="1:28">
      <c r="A28" s="3343"/>
      <c r="B28" s="294" t="s">
        <v>2216</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343"/>
      <c r="B29" s="294" t="s">
        <v>2217</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344"/>
      <c r="B30" s="294" t="s">
        <v>2218</v>
      </c>
      <c r="C30" s="3345"/>
      <c r="D30" s="3346"/>
      <c r="E30" s="2435"/>
      <c r="F30" s="2435"/>
      <c r="G30" s="2435"/>
      <c r="H30" s="2435"/>
      <c r="I30" s="2435"/>
      <c r="J30" s="2239"/>
      <c r="K30" s="2395"/>
      <c r="L30" s="2392"/>
      <c r="M30" s="2392"/>
      <c r="N30" s="2239"/>
      <c r="O30" s="1666"/>
      <c r="P30" s="2239"/>
      <c r="Q30" s="2239"/>
      <c r="R30" s="2239"/>
      <c r="S30" s="2239"/>
      <c r="T30" s="2239"/>
      <c r="U30" s="2239"/>
      <c r="V30" s="2239"/>
    </row>
    <row r="31" spans="1:28">
      <c r="A31" s="3347" t="s">
        <v>2219</v>
      </c>
      <c r="B31" s="2225" t="s">
        <v>3411</v>
      </c>
      <c r="C31" s="12" t="str">
        <f>IF(B31="现房","成新及维护状况正常否",IF(B31="在建","工程状态是否正常",IF(B31="土地","是否闲置","-")))</f>
        <v>成新及维护状况正常否</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348"/>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348"/>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2220</v>
      </c>
      <c r="B34" s="1866"/>
      <c r="C34" s="1866"/>
      <c r="D34" s="1866"/>
      <c r="E34" s="1866"/>
      <c r="F34" s="1866"/>
      <c r="G34" s="1866"/>
      <c r="H34" s="1866"/>
      <c r="I34" s="2435"/>
      <c r="J34" s="2239"/>
      <c r="K34" s="8">
        <f>COUNTIF(B34:H34,"——")</f>
        <v>0</v>
      </c>
      <c r="L34" s="315" t="s">
        <v>2221</v>
      </c>
      <c r="M34" s="315" t="s">
        <v>2222</v>
      </c>
      <c r="N34" s="315" t="s">
        <v>2223</v>
      </c>
      <c r="O34" s="315" t="s">
        <v>2224</v>
      </c>
      <c r="P34" s="315" t="s">
        <v>2225</v>
      </c>
      <c r="Q34" s="315" t="s">
        <v>2226</v>
      </c>
      <c r="R34" s="315" t="s">
        <v>2227</v>
      </c>
      <c r="S34" s="3342" t="s">
        <v>2228</v>
      </c>
      <c r="T34" s="315" t="str">
        <f>NUMBERSTRING(7-K34,1)&amp;"通"</f>
        <v>七通</v>
      </c>
      <c r="U34" s="2239"/>
      <c r="V34" s="2239"/>
    </row>
    <row r="35" spans="1:30">
      <c r="A35" s="2230"/>
      <c r="B35" s="3342" t="s">
        <v>2229</v>
      </c>
      <c r="C35" s="3342"/>
      <c r="D35" s="3342"/>
      <c r="E35" s="3342"/>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2"/>
      <c r="T35" s="138" t="str">
        <f>IF(T34="一通",L35,IF(T34="二通",M35,IF(T34="三通",N35,IF(T34="四通",O35,IF(T34="五通",P35,IF(T34="六通",Q35,R35))))))</f>
        <v>、、、、、、</v>
      </c>
      <c r="U35" s="2239"/>
      <c r="V35" s="2239"/>
    </row>
    <row r="36" spans="1:30">
      <c r="A36" s="2179"/>
      <c r="B36" s="8" t="s">
        <v>2185</v>
      </c>
      <c r="C36" s="8" t="s">
        <v>2186</v>
      </c>
      <c r="D36" s="8" t="s">
        <v>2184</v>
      </c>
      <c r="E36" s="8" t="s">
        <v>2189</v>
      </c>
      <c r="F36" s="2792" t="s">
        <v>2577</v>
      </c>
      <c r="G36" s="2435"/>
      <c r="H36" s="2435"/>
      <c r="I36" s="2435"/>
      <c r="J36" s="2239"/>
      <c r="K36" s="2395"/>
      <c r="L36" s="2392"/>
      <c r="M36" s="2392"/>
      <c r="N36" s="2239"/>
      <c r="O36" s="1666"/>
      <c r="P36" s="2239"/>
      <c r="Q36" s="2239"/>
      <c r="R36" s="2239"/>
      <c r="S36" s="2239"/>
      <c r="T36" s="2239"/>
      <c r="U36" s="2239"/>
      <c r="V36" s="2239"/>
    </row>
    <row r="37" spans="1:30">
      <c r="A37" s="2408" t="s">
        <v>2230</v>
      </c>
      <c r="B37" s="2231" t="s">
        <v>184</v>
      </c>
      <c r="C37" s="2231" t="s">
        <v>144</v>
      </c>
      <c r="D37" s="2231"/>
      <c r="E37" s="2231"/>
      <c r="F37" s="2231"/>
      <c r="G37" s="2435"/>
      <c r="H37" s="2435"/>
      <c r="I37" s="2435"/>
      <c r="J37" s="2239"/>
      <c r="K37" s="2395"/>
      <c r="L37" s="2392"/>
      <c r="M37" s="2392"/>
      <c r="N37" s="2239"/>
      <c r="O37" s="1666"/>
      <c r="P37" s="2239"/>
      <c r="Q37" s="2239"/>
      <c r="R37" s="2239"/>
      <c r="S37" s="2239"/>
      <c r="T37" s="2239"/>
      <c r="U37" s="2239"/>
      <c r="V37" s="2239"/>
    </row>
    <row r="38" spans="1:30" ht="13.8" thickBot="1">
      <c r="A38" s="2409" t="s">
        <v>2231</v>
      </c>
      <c r="B38" s="3249" t="s">
        <v>3846</v>
      </c>
      <c r="C38" s="3249" t="s">
        <v>3847</v>
      </c>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4"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2"/>
      <c r="J40" s="2239"/>
      <c r="K40" s="2394"/>
      <c r="L40" s="1666"/>
      <c r="M40" s="1666"/>
      <c r="N40" s="2239"/>
      <c r="O40" s="1666"/>
      <c r="P40" s="2239"/>
      <c r="Q40" s="2239"/>
      <c r="R40" s="2239"/>
      <c r="S40" s="2239"/>
      <c r="T40" s="2239"/>
      <c r="U40" s="2239"/>
      <c r="V40" s="2239"/>
    </row>
    <row r="41" spans="1:30">
      <c r="A41" s="2236" t="s">
        <v>2233</v>
      </c>
      <c r="B41" s="1623"/>
      <c r="C41" s="1277"/>
      <c r="D41" s="2178"/>
      <c r="E41" s="2178"/>
      <c r="F41" s="2178"/>
      <c r="G41" s="2178"/>
      <c r="H41" s="2178"/>
      <c r="I41" s="1462"/>
      <c r="J41" s="2239"/>
      <c r="K41" s="2395"/>
      <c r="L41" s="2392"/>
      <c r="M41" s="2392"/>
      <c r="N41" s="2239"/>
      <c r="O41" s="1666"/>
      <c r="P41" s="2239"/>
      <c r="Q41" s="2239"/>
      <c r="R41" s="2239"/>
      <c r="S41" s="2239"/>
      <c r="T41" s="2239"/>
      <c r="U41" s="2239"/>
      <c r="V41" s="2239"/>
    </row>
    <row r="42" spans="1:30" ht="25.2">
      <c r="A42" s="315"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3" sqref="P33"/>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customWidth="1"/>
    <col min="18" max="18" width="9.21875" style="1459" customWidth="1"/>
    <col min="19" max="19" width="10.88671875" style="1459" customWidth="1"/>
    <col min="20" max="21" width="10.77734375" style="1459" customWidth="1"/>
    <col min="22" max="22" width="10.88671875" style="1459" customWidth="1"/>
    <col min="23" max="27" width="10.77734375" style="1459" customWidth="1"/>
    <col min="28" max="28" width="10.88671875" style="1459"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f>面积!B11</f>
        <v>6088.55</v>
      </c>
      <c r="B3" s="11">
        <f>IF(C3="否",G5-AT5,G5)</f>
        <v>51206.530000000006</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1071</v>
      </c>
      <c r="B5" s="1255"/>
      <c r="C5" s="1255"/>
      <c r="D5" s="1256"/>
      <c r="E5" s="13" t="s">
        <v>0</v>
      </c>
      <c r="F5" s="13">
        <f>SUM(F13:F587)</f>
        <v>0</v>
      </c>
      <c r="G5" s="13">
        <f>SUM(G13:G587)</f>
        <v>51206.530000000006</v>
      </c>
      <c r="H5" s="13">
        <f t="shared" ref="H5:AT5" si="0">SUM(H13:H656)</f>
        <v>50794.750000000007</v>
      </c>
      <c r="I5" s="13">
        <f t="shared" si="0"/>
        <v>7355.85</v>
      </c>
      <c r="J5" s="13">
        <f t="shared" si="0"/>
        <v>0</v>
      </c>
      <c r="K5" s="13">
        <f t="shared" si="0"/>
        <v>1846.41</v>
      </c>
      <c r="L5" s="13">
        <f t="shared" si="0"/>
        <v>0</v>
      </c>
      <c r="M5" s="13">
        <f t="shared" si="0"/>
        <v>33765.460000000006</v>
      </c>
      <c r="N5" s="13">
        <f t="shared" si="0"/>
        <v>0</v>
      </c>
      <c r="O5" s="13">
        <f t="shared" si="0"/>
        <v>7827.03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411.78000000000003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411.78000000000003</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51206.530000000006</v>
      </c>
      <c r="BA5" s="15">
        <f t="shared" si="1"/>
        <v>50794.750000000007</v>
      </c>
      <c r="BB5" s="15">
        <f t="shared" si="1"/>
        <v>7355.85</v>
      </c>
      <c r="BC5" s="15">
        <f t="shared" si="1"/>
        <v>1846.41</v>
      </c>
      <c r="BD5" s="15">
        <f t="shared" si="1"/>
        <v>33765.460000000006</v>
      </c>
      <c r="BE5" s="15">
        <f t="shared" si="1"/>
        <v>7827.03</v>
      </c>
      <c r="BF5" s="15">
        <f t="shared" si="1"/>
        <v>0</v>
      </c>
      <c r="BG5" s="15">
        <f t="shared" si="1"/>
        <v>0</v>
      </c>
      <c r="BH5" s="15">
        <f t="shared" si="1"/>
        <v>0</v>
      </c>
      <c r="BI5" s="15">
        <f t="shared" si="1"/>
        <v>0</v>
      </c>
      <c r="BJ5" s="15">
        <f t="shared" si="1"/>
        <v>0</v>
      </c>
      <c r="BK5" s="15">
        <f t="shared" si="1"/>
        <v>0</v>
      </c>
      <c r="BL5" s="15">
        <f t="shared" si="1"/>
        <v>411.78000000000003</v>
      </c>
      <c r="BM5" s="15">
        <f t="shared" si="1"/>
        <v>0</v>
      </c>
      <c r="BN5" s="15">
        <f t="shared" si="1"/>
        <v>0</v>
      </c>
      <c r="BO5" s="15">
        <f t="shared" si="1"/>
        <v>0</v>
      </c>
      <c r="BP5" s="15">
        <f t="shared" si="1"/>
        <v>0</v>
      </c>
      <c r="BQ5" s="15">
        <f t="shared" si="1"/>
        <v>411.78000000000003</v>
      </c>
      <c r="BR5" s="15">
        <f t="shared" si="1"/>
        <v>0</v>
      </c>
      <c r="BS5" s="15">
        <f t="shared" si="1"/>
        <v>0</v>
      </c>
      <c r="BT5" s="16">
        <f t="shared" si="1"/>
        <v>0</v>
      </c>
    </row>
    <row r="6" spans="1:72" s="1473" customFormat="1" ht="13.2">
      <c r="A6" s="12" t="s">
        <v>1072</v>
      </c>
      <c r="B6" s="1470"/>
      <c r="C6" s="1470"/>
      <c r="D6" s="1471"/>
      <c r="E6" s="13">
        <f>H6+AC6+AT6</f>
        <v>6088.54</v>
      </c>
      <c r="F6" s="13" t="s">
        <v>0</v>
      </c>
      <c r="G6" s="13" t="s">
        <v>1</v>
      </c>
      <c r="H6" s="17">
        <f>SUMIF(I$12:AB$12,"总值",I6:AB6)</f>
        <v>6039.58</v>
      </c>
      <c r="I6" s="13">
        <f t="shared" ref="I6:AB6" si="2">ROUND($A$3*I5/$B$3,2)</f>
        <v>874.62</v>
      </c>
      <c r="J6" s="13">
        <f t="shared" si="2"/>
        <v>0</v>
      </c>
      <c r="K6" s="13">
        <f t="shared" si="2"/>
        <v>219.54</v>
      </c>
      <c r="L6" s="13">
        <f t="shared" si="2"/>
        <v>0</v>
      </c>
      <c r="M6" s="13">
        <f t="shared" si="2"/>
        <v>4014.77</v>
      </c>
      <c r="N6" s="13">
        <f t="shared" si="2"/>
        <v>0</v>
      </c>
      <c r="O6" s="13">
        <f t="shared" si="2"/>
        <v>930.65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48.96</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6088.55</v>
      </c>
      <c r="AZ6" s="13" t="s">
        <v>2</v>
      </c>
      <c r="BA6" s="13">
        <f>ROUND($AY$6*BA5/$AZ$5,2)</f>
        <v>6039.59</v>
      </c>
      <c r="BB6" s="13">
        <f>ROUND($AY$6*BB5/$AZ$5,2)</f>
        <v>874.62</v>
      </c>
      <c r="BC6" s="13">
        <f t="shared" ref="BC6:BH6" si="4">ROUND($AY$6*BC5/$AZ$5,2)</f>
        <v>219.54</v>
      </c>
      <c r="BD6" s="13">
        <f t="shared" si="4"/>
        <v>4014.77</v>
      </c>
      <c r="BE6" s="13">
        <f t="shared" si="4"/>
        <v>930.65</v>
      </c>
      <c r="BF6" s="13">
        <f t="shared" si="4"/>
        <v>0</v>
      </c>
      <c r="BG6" s="13">
        <f t="shared" si="4"/>
        <v>0</v>
      </c>
      <c r="BH6" s="13">
        <f t="shared" si="4"/>
        <v>0</v>
      </c>
      <c r="BI6" s="13">
        <f t="shared" ref="BI6:BT6" si="5">ROUND($AY$6*BI5/$AZ$5,2)</f>
        <v>0</v>
      </c>
      <c r="BJ6" s="13">
        <f t="shared" si="5"/>
        <v>0</v>
      </c>
      <c r="BK6" s="13">
        <f t="shared" si="5"/>
        <v>0</v>
      </c>
      <c r="BL6" s="13">
        <f t="shared" si="5"/>
        <v>48.96</v>
      </c>
      <c r="BM6" s="13">
        <f t="shared" si="5"/>
        <v>0</v>
      </c>
      <c r="BN6" s="13">
        <f t="shared" si="5"/>
        <v>0</v>
      </c>
      <c r="BO6" s="13">
        <f t="shared" si="5"/>
        <v>0</v>
      </c>
      <c r="BP6" s="13">
        <f t="shared" si="5"/>
        <v>0</v>
      </c>
      <c r="BQ6" s="13">
        <f t="shared" si="5"/>
        <v>48.96</v>
      </c>
      <c r="BR6" s="13">
        <f t="shared" si="5"/>
        <v>0</v>
      </c>
      <c r="BS6" s="13">
        <f t="shared" si="5"/>
        <v>0</v>
      </c>
      <c r="BT6" s="19">
        <f t="shared" si="5"/>
        <v>0</v>
      </c>
    </row>
    <row r="7" spans="1:72" s="1464" customFormat="1" ht="25.2">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4"/>
      <c r="H9" s="1486" t="s">
        <v>1091</v>
      </c>
      <c r="I9" s="1487" t="s">
        <v>3486</v>
      </c>
      <c r="J9" s="758"/>
      <c r="K9" s="1487" t="s">
        <v>3487</v>
      </c>
      <c r="L9" s="758"/>
      <c r="M9" s="1487" t="s">
        <v>3486</v>
      </c>
      <c r="N9" s="758"/>
      <c r="O9" s="1487" t="s">
        <v>3487</v>
      </c>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3.2">
      <c r="A10" s="1478"/>
      <c r="B10" s="1478"/>
      <c r="C10" s="1478"/>
      <c r="D10" s="1478"/>
      <c r="E10" s="1478"/>
      <c r="F10" s="1478"/>
      <c r="G10" s="1004"/>
      <c r="H10" s="25"/>
      <c r="I10" s="1487" t="s">
        <v>673</v>
      </c>
      <c r="J10" s="758"/>
      <c r="K10" s="1493" t="s">
        <v>673</v>
      </c>
      <c r="L10" s="758"/>
      <c r="M10" s="1493" t="s">
        <v>21</v>
      </c>
      <c r="N10" s="758"/>
      <c r="O10" s="1493" t="s">
        <v>3331</v>
      </c>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t="str">
        <f>M10</f>
        <v>办公</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26.4">
      <c r="A13" s="628"/>
      <c r="B13" s="628"/>
      <c r="C13" s="628" t="str">
        <f>面积!K4</f>
        <v>地上1-3商业</v>
      </c>
      <c r="D13" s="1509" t="s">
        <v>3409</v>
      </c>
      <c r="E13" s="13">
        <f>IF($C$3="是",ROUND($A$3*G13/$B$3,2),ROUND($A$3*(G13-AT13)/$B$3,2))</f>
        <v>874.62</v>
      </c>
      <c r="F13" s="29"/>
      <c r="G13" s="30">
        <f>H13+AC13+AT13</f>
        <v>7355.85</v>
      </c>
      <c r="H13" s="17">
        <f>SUMIF(I$12:AB$12,"总值",I13:AB13)</f>
        <v>7355.85</v>
      </c>
      <c r="I13" s="1510">
        <f>面积!L4</f>
        <v>7355.85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地上1-3商业</v>
      </c>
      <c r="AY13" s="1256">
        <f>ROUND($AY$6*AZ13/$AZ$5,2)</f>
        <v>874.62</v>
      </c>
      <c r="AZ13" s="13">
        <f>BA13+BL13</f>
        <v>7355.85</v>
      </c>
      <c r="BA13" s="13">
        <f>SUM(BB13:BK13)</f>
        <v>7355.85</v>
      </c>
      <c r="BB13" s="13">
        <f>IF($D13="是",I13-J13,0)</f>
        <v>7355.85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8"/>
      <c r="B14" s="628"/>
      <c r="C14" s="628" t="str">
        <f>面积!K5</f>
        <v>地下商业</v>
      </c>
      <c r="D14" s="1509" t="s">
        <v>3409</v>
      </c>
      <c r="E14" s="13">
        <f>IF($C$3="是",ROUND($A$3*G14/$B$3,2),ROUND($A$3*(G14-AT14)/$B$3,2))</f>
        <v>219.54</v>
      </c>
      <c r="F14" s="29"/>
      <c r="G14" s="30">
        <f>H14+AC14+AT14</f>
        <v>1846.41</v>
      </c>
      <c r="H14" s="17">
        <f>SUMIF(I$12:AB$12,"总值",I14:AB14)</f>
        <v>1846.41</v>
      </c>
      <c r="I14" s="1510"/>
      <c r="J14" s="1510"/>
      <c r="K14" s="1510">
        <f>面积!L5</f>
        <v>1846.41</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地下商业</v>
      </c>
      <c r="AY14" s="1256">
        <f>ROUND($AY$6*AZ14/$AZ$5,2)</f>
        <v>219.54</v>
      </c>
      <c r="AZ14" s="13">
        <f>BA14+BL14</f>
        <v>1846.41</v>
      </c>
      <c r="BA14" s="13">
        <f>SUM(BB14:BK14)</f>
        <v>1846.41</v>
      </c>
      <c r="BB14" s="13">
        <f>IF($D14="是",I14-J14,0)</f>
        <v>0</v>
      </c>
      <c r="BC14" s="13">
        <f>IF($D14="是",K14-L14,0)</f>
        <v>1846.41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8"/>
      <c r="B15" s="628"/>
      <c r="C15" s="628" t="str">
        <f>面积!K6</f>
        <v>地上办公</v>
      </c>
      <c r="D15" s="1509" t="s">
        <v>3409</v>
      </c>
      <c r="E15" s="13">
        <f>IF($C$3="是",ROUND($A$3*G15/$B$3,2),ROUND($A$3*(G15-AT15)/$B$3,2))</f>
        <v>4014.77</v>
      </c>
      <c r="F15" s="29"/>
      <c r="G15" s="30">
        <f>H15+AC15+AT15</f>
        <v>33765.460000000006</v>
      </c>
      <c r="H15" s="17">
        <f>SUMIF(I$12:AB$12,"总值",I15:AB15)</f>
        <v>33765.460000000006</v>
      </c>
      <c r="I15" s="1510"/>
      <c r="J15" s="1510"/>
      <c r="K15" s="1510"/>
      <c r="L15" s="1510"/>
      <c r="M15" s="1510">
        <f>面积!L6</f>
        <v>33765.460000000006</v>
      </c>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地上办公</v>
      </c>
      <c r="AY15" s="1256">
        <f>ROUND($AY$6*AZ15/$AZ$5,2)</f>
        <v>4014.77</v>
      </c>
      <c r="AZ15" s="13">
        <f>BA15+BL15</f>
        <v>33765.460000000006</v>
      </c>
      <c r="BA15" s="13">
        <f>SUM(BB15:BK15)</f>
        <v>33765.460000000006</v>
      </c>
      <c r="BB15" s="13">
        <f>IF($D15="是",I15-J15,0)</f>
        <v>0</v>
      </c>
      <c r="BC15" s="13">
        <f>IF($D15="是",K15-L15,0)</f>
        <v>0</v>
      </c>
      <c r="BD15" s="13">
        <f>IF($D15="是",M15-N15,0)</f>
        <v>33765.460000000006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8"/>
      <c r="B16" s="628"/>
      <c r="C16" s="628" t="str">
        <f>面积!K7</f>
        <v>地下车位</v>
      </c>
      <c r="D16" s="1509" t="s">
        <v>3409</v>
      </c>
      <c r="E16" s="13">
        <f>IF($C$3="是",ROUND($A$3*G16/$B$3,2),ROUND($A$3*(G16-AT16)/$B$3,2))</f>
        <v>930.65</v>
      </c>
      <c r="F16" s="29"/>
      <c r="G16" s="30">
        <f>H16+AC16+AT16</f>
        <v>7827.03</v>
      </c>
      <c r="H16" s="17">
        <f>SUMIF(I$12:AB$12,"总值",I16:AB16)</f>
        <v>7827.03</v>
      </c>
      <c r="I16" s="1510"/>
      <c r="J16" s="1510"/>
      <c r="K16" s="1510"/>
      <c r="L16" s="1510"/>
      <c r="M16" s="1510"/>
      <c r="N16" s="1510"/>
      <c r="O16" s="1510">
        <f>面积!L7</f>
        <v>7827.03</v>
      </c>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地下车位</v>
      </c>
      <c r="AY16" s="1256">
        <f>ROUND($AY$6*AZ16/$AZ$5,2)</f>
        <v>930.65</v>
      </c>
      <c r="AZ16" s="13">
        <f>BA16+BL16</f>
        <v>7827.03</v>
      </c>
      <c r="BA16" s="13">
        <f>SUM(BB16:BK16)</f>
        <v>7827.03</v>
      </c>
      <c r="BB16" s="13">
        <f>IF($D16="是",I16-J16,0)</f>
        <v>0</v>
      </c>
      <c r="BC16" s="13">
        <f>IF($D16="是",K16-L16,0)</f>
        <v>0</v>
      </c>
      <c r="BD16" s="13">
        <f>IF($D16="是",M16-N16,0)</f>
        <v>0</v>
      </c>
      <c r="BE16" s="13">
        <f>IF($D16="是",O16-P16,0)</f>
        <v>7827.03</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8"/>
      <c r="B17" s="628"/>
      <c r="C17" s="628" t="str">
        <f>面积!K8</f>
        <v>地下库房</v>
      </c>
      <c r="D17" s="1509" t="s">
        <v>3409</v>
      </c>
      <c r="E17" s="13">
        <f>IF($C$3="是",ROUND($A$3*G17/$B$3,2),ROUND($A$3*(G17-AT17)/$B$3,2))</f>
        <v>48.96</v>
      </c>
      <c r="F17" s="29"/>
      <c r="G17" s="30">
        <f>H17+AC17+AT17</f>
        <v>411.78000000000003</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411.78000000000003</v>
      </c>
      <c r="AD17" s="986"/>
      <c r="AE17" s="986"/>
      <c r="AF17" s="986"/>
      <c r="AG17" s="986"/>
      <c r="AH17" s="986"/>
      <c r="AI17" s="986"/>
      <c r="AJ17" s="986"/>
      <c r="AK17" s="986"/>
      <c r="AL17" s="986">
        <f>面积!L8</f>
        <v>411.78000000000003</v>
      </c>
      <c r="AM17" s="986"/>
      <c r="AN17" s="986"/>
      <c r="AO17" s="986"/>
      <c r="AP17" s="986"/>
      <c r="AQ17" s="986"/>
      <c r="AR17" s="986"/>
      <c r="AS17" s="986"/>
      <c r="AT17" s="29"/>
      <c r="AU17" s="1511"/>
      <c r="AV17" s="8">
        <f t="shared" si="6"/>
        <v>0</v>
      </c>
      <c r="AW17" s="8">
        <f t="shared" si="6"/>
        <v>0</v>
      </c>
      <c r="AX17" s="8" t="str">
        <f t="shared" si="6"/>
        <v>地下库房</v>
      </c>
      <c r="AY17" s="1256">
        <f>ROUND($AY$6*AZ17/$AZ$5,2)</f>
        <v>48.96</v>
      </c>
      <c r="AZ17" s="13">
        <f>BA17+BL17</f>
        <v>411.78000000000003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411.78000000000003</v>
      </c>
      <c r="BM17" s="13">
        <f>IF($D17="是",AD17-AE17,0)</f>
        <v>0</v>
      </c>
      <c r="BN17" s="13">
        <f>IF($D17="是",AF17-AG17,0)</f>
        <v>0</v>
      </c>
      <c r="BO17" s="13">
        <f>IF($D17="是",AH17-AI17,0)</f>
        <v>0</v>
      </c>
      <c r="BP17" s="13">
        <f>IF($D17="是",AJ17-AK17,0)</f>
        <v>0</v>
      </c>
      <c r="BQ17" s="13">
        <f>IF($D17="是",AL17-AM17,0)</f>
        <v>411.78000000000003</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1"/>
  <sheetViews>
    <sheetView view="pageBreakPreview" zoomScale="70" zoomScaleNormal="100" zoomScaleSheetLayoutView="70" workbookViewId="0">
      <selection activeCell="G39" sqref="G39:K42"/>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1130</v>
      </c>
      <c r="B1" s="1067"/>
      <c r="C1" s="1067"/>
      <c r="D1" s="1067"/>
      <c r="E1" s="1067"/>
      <c r="F1" s="1067"/>
      <c r="G1" s="1067"/>
      <c r="H1" s="1067"/>
      <c r="I1" s="1067"/>
      <c r="J1" s="1067"/>
      <c r="K1" s="1067"/>
      <c r="L1" s="1067"/>
      <c r="M1" s="1067"/>
      <c r="N1" s="1067"/>
      <c r="O1" s="1067"/>
      <c r="P1" s="1067"/>
    </row>
    <row r="2" spans="1:16" ht="14.4">
      <c r="A2" s="3380" t="s">
        <v>1131</v>
      </c>
      <c r="B2" s="3380"/>
      <c r="C2" s="3380"/>
      <c r="D2" s="745" t="s">
        <v>1107</v>
      </c>
      <c r="E2" s="1519" t="s">
        <v>1108</v>
      </c>
      <c r="F2" s="2432"/>
      <c r="G2" s="2425"/>
      <c r="H2" s="2426"/>
      <c r="I2" s="2142" t="s">
        <v>1132</v>
      </c>
      <c r="J2" s="2432"/>
      <c r="K2" s="2432"/>
      <c r="L2" s="2432"/>
      <c r="M2" s="2432"/>
      <c r="N2" s="2433"/>
      <c r="O2" s="2432"/>
      <c r="P2" s="2432"/>
    </row>
    <row r="3" spans="1:16" ht="15" thickBot="1">
      <c r="A3" s="3381" t="s">
        <v>1105</v>
      </c>
      <c r="B3" s="3381"/>
      <c r="C3" s="3381"/>
      <c r="D3" s="41">
        <f>'数据-基础表'!AY6</f>
        <v>6088.55</v>
      </c>
      <c r="E3" s="41">
        <f>'数据-基础表'!AZ5</f>
        <v>51206.530000000006</v>
      </c>
      <c r="F3" s="2432"/>
      <c r="G3" s="42"/>
      <c r="H3" s="43" t="s">
        <v>1106</v>
      </c>
      <c r="I3" s="799">
        <f>ROUND('数据-基础表'!B3/'数据-基础表'!A3,2)</f>
        <v>8.41</v>
      </c>
      <c r="J3" s="2432"/>
      <c r="K3" s="2432"/>
      <c r="L3" s="2432"/>
      <c r="M3" s="2432"/>
      <c r="N3" s="2433"/>
      <c r="O3" s="2432"/>
      <c r="P3" s="2432"/>
    </row>
    <row r="4" spans="1:16" ht="14.4">
      <c r="A4" s="3382"/>
      <c r="B4" s="3383"/>
      <c r="C4" s="3384"/>
      <c r="D4" s="1520" t="s">
        <v>1107</v>
      </c>
      <c r="E4" s="1521" t="s">
        <v>1108</v>
      </c>
      <c r="F4" s="2432"/>
      <c r="G4" s="2427" t="s">
        <v>1133</v>
      </c>
      <c r="H4" s="43" t="s">
        <v>1113</v>
      </c>
      <c r="I4" s="799">
        <f>ROUND(SUMIF('数据-基础表'!I9:AS9,"地上",'数据-基础表'!I5:AS5)/'数据-基础表'!A3,2)</f>
        <v>6.82</v>
      </c>
      <c r="J4" s="2432"/>
      <c r="K4" s="2432"/>
      <c r="L4" s="2432"/>
      <c r="M4" s="2432"/>
      <c r="N4" s="2433"/>
      <c r="O4" s="2432"/>
      <c r="P4" s="2432"/>
    </row>
    <row r="5" spans="1:16" ht="14.4">
      <c r="A5" s="42" t="s">
        <v>1109</v>
      </c>
      <c r="B5" s="3385" t="s">
        <v>1110</v>
      </c>
      <c r="C5" s="3385"/>
      <c r="D5" s="43">
        <f>ROUND($D$3*E5/$E$3,2)</f>
        <v>0</v>
      </c>
      <c r="E5" s="44">
        <f>SUMIF('数据-基础表'!$11:$11,"住宅",'数据-基础表'!$5:$5)</f>
        <v>0</v>
      </c>
      <c r="F5" s="2432"/>
      <c r="G5" s="42"/>
      <c r="H5" s="43" t="s">
        <v>1106</v>
      </c>
      <c r="I5" s="799">
        <f>ROUND(E31/D31,2)</f>
        <v>8.41</v>
      </c>
      <c r="J5" s="2432"/>
      <c r="K5" s="2432"/>
      <c r="L5" s="2432"/>
      <c r="M5" s="2432"/>
      <c r="N5" s="2432"/>
      <c r="O5" s="2432"/>
      <c r="P5" s="2432"/>
    </row>
    <row r="6" spans="1:16" ht="15" thickBot="1">
      <c r="A6" s="1523"/>
      <c r="B6" s="3385" t="s">
        <v>1111</v>
      </c>
      <c r="C6" s="3385"/>
      <c r="D6" s="43">
        <f>ROUND($D$3*E6/$E$3,2)</f>
        <v>6088.55</v>
      </c>
      <c r="E6" s="44">
        <f>E3-E5</f>
        <v>51206.530000000006</v>
      </c>
      <c r="F6" s="2432"/>
      <c r="G6" s="1525" t="s">
        <v>1112</v>
      </c>
      <c r="H6" s="45" t="s">
        <v>1113</v>
      </c>
      <c r="I6" s="2428">
        <f>ROUND(F31/D31,2)</f>
        <v>6.82</v>
      </c>
      <c r="J6" s="2432"/>
      <c r="K6" s="2432"/>
      <c r="L6" s="2432"/>
      <c r="M6" s="2432"/>
      <c r="N6" s="2432"/>
      <c r="O6" s="2432"/>
      <c r="P6" s="2432"/>
    </row>
    <row r="7" spans="1:16" ht="15" thickBot="1">
      <c r="A7" s="3377"/>
      <c r="B7" s="3378"/>
      <c r="C7" s="3379"/>
      <c r="D7" s="1520" t="s">
        <v>1107</v>
      </c>
      <c r="E7" s="1524"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4889.3999999999996</v>
      </c>
      <c r="E8" s="46">
        <f>SUMIF('数据-基础表'!BB10:BK10,"地上",'数据-基础表'!BB5:BK5)</f>
        <v>41121.310000000005</v>
      </c>
      <c r="F8" s="2432"/>
      <c r="G8" s="2432"/>
      <c r="H8" s="2432"/>
      <c r="I8" s="2432"/>
      <c r="J8" s="2432"/>
      <c r="K8" s="2432"/>
      <c r="L8" s="2432"/>
      <c r="M8" s="2432"/>
      <c r="N8" s="2432"/>
      <c r="O8" s="2432"/>
      <c r="P8" s="2432"/>
    </row>
    <row r="9" spans="1:16" ht="14.4">
      <c r="A9" s="1525"/>
      <c r="B9" s="1526"/>
      <c r="C9" s="43" t="s">
        <v>1119</v>
      </c>
      <c r="D9" s="43">
        <f t="shared" si="0"/>
        <v>0</v>
      </c>
      <c r="E9" s="47">
        <v>0</v>
      </c>
      <c r="F9" s="2432"/>
      <c r="G9" s="2432"/>
      <c r="H9" s="2432"/>
      <c r="I9" s="2432"/>
      <c r="J9" s="2432"/>
      <c r="K9" s="2432"/>
      <c r="L9" s="2432"/>
      <c r="M9" s="2432"/>
      <c r="N9" s="2432"/>
      <c r="O9" s="2432"/>
      <c r="P9" s="2432"/>
    </row>
    <row r="10" spans="1:16" ht="14.4">
      <c r="A10" s="1525"/>
      <c r="B10" s="1526"/>
      <c r="C10" s="43" t="s">
        <v>1128</v>
      </c>
      <c r="D10" s="43">
        <f t="shared" si="0"/>
        <v>219.54</v>
      </c>
      <c r="E10" s="46">
        <f>SUMPRODUCT(('数据-基础表'!BB10:BK10="地下")*('数据-基础表'!BB11:BK11="商业")*('数据-基础表'!BB5:BK5))</f>
        <v>1846.41</v>
      </c>
      <c r="F10" s="2432"/>
      <c r="G10" s="2432"/>
      <c r="H10" s="2432"/>
      <c r="I10" s="2432"/>
      <c r="J10" s="2432"/>
      <c r="K10" s="2432"/>
      <c r="L10" s="2432"/>
      <c r="M10" s="2432"/>
      <c r="N10" s="2432"/>
      <c r="O10" s="2432"/>
      <c r="P10" s="2432"/>
    </row>
    <row r="11" spans="1:16" ht="14.4">
      <c r="A11" s="1525"/>
      <c r="B11" s="1526"/>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5"/>
      <c r="B12" s="1526"/>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5"/>
      <c r="B13" s="1526"/>
      <c r="C13" s="43" t="s">
        <v>1122</v>
      </c>
      <c r="D13" s="43">
        <f t="shared" si="0"/>
        <v>930.65</v>
      </c>
      <c r="E13" s="46">
        <f>SUMPRODUCT(('数据-基础表'!BB10:BK10="地下")*('数据-基础表'!BB11:BK11="车库")*('数据-基础表'!BB5:BK5))</f>
        <v>7827.03</v>
      </c>
      <c r="F13" s="2432"/>
      <c r="G13" s="2432"/>
      <c r="H13" s="2432"/>
      <c r="I13" s="2432"/>
      <c r="J13" s="2432"/>
      <c r="K13" s="2432"/>
      <c r="L13" s="2432"/>
      <c r="M13" s="2432"/>
      <c r="N13" s="2432"/>
      <c r="O13" s="2432"/>
      <c r="P13" s="2432"/>
    </row>
    <row r="14" spans="1:16" ht="14.4">
      <c r="A14" s="1525"/>
      <c r="B14" s="1526"/>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3"/>
      <c r="B16" s="1526"/>
      <c r="C16" s="45" t="s">
        <v>1123</v>
      </c>
      <c r="D16" s="45">
        <f>SUM(D8:D15)</f>
        <v>6039.5899999999992</v>
      </c>
      <c r="E16" s="48">
        <f>SUM(E8:E15)</f>
        <v>50794.750000000007</v>
      </c>
      <c r="F16" s="2432"/>
      <c r="G16" s="2432"/>
      <c r="H16" s="1527" t="s">
        <v>1135</v>
      </c>
      <c r="I16" s="1528"/>
      <c r="J16" s="1067"/>
      <c r="K16" s="3374" t="s">
        <v>1135</v>
      </c>
      <c r="L16" s="3375"/>
      <c r="M16" s="3375"/>
      <c r="N16" s="3375"/>
      <c r="O16" s="3375"/>
      <c r="P16" s="3376"/>
    </row>
    <row r="17" spans="1:19" ht="14.4">
      <c r="A17" s="1529" t="s">
        <v>1136</v>
      </c>
      <c r="B17" s="1530" t="s">
        <v>1137</v>
      </c>
      <c r="C17" s="1531" t="s">
        <v>1138</v>
      </c>
      <c r="D17" s="1532" t="s">
        <v>1126</v>
      </c>
      <c r="E17" s="1533" t="s">
        <v>1127</v>
      </c>
      <c r="F17" s="1534"/>
      <c r="G17" s="1535"/>
      <c r="H17" s="1536" t="s">
        <v>1139</v>
      </c>
      <c r="I17" s="1537" t="s">
        <v>1124</v>
      </c>
      <c r="J17" s="1067"/>
      <c r="K17" s="3371" t="s">
        <v>1140</v>
      </c>
      <c r="L17" s="3372"/>
      <c r="M17" s="3373"/>
      <c r="N17" s="3371" t="s">
        <v>1141</v>
      </c>
      <c r="O17" s="3372"/>
      <c r="P17" s="3373"/>
      <c r="R17" s="766" t="s">
        <v>1142</v>
      </c>
      <c r="S17" s="54"/>
    </row>
    <row r="18" spans="1:19" ht="14.4">
      <c r="A18" s="1525"/>
      <c r="B18" s="1522"/>
      <c r="C18" s="1538"/>
      <c r="D18" s="1539"/>
      <c r="E18" s="1540" t="s">
        <v>1143</v>
      </c>
      <c r="F18" s="1541" t="s">
        <v>1144</v>
      </c>
      <c r="G18" s="1542" t="s">
        <v>1145</v>
      </c>
      <c r="H18" s="977" t="s">
        <v>1146</v>
      </c>
      <c r="I18" s="1543" t="s">
        <v>1147</v>
      </c>
      <c r="J18" s="1067"/>
      <c r="K18" s="977" t="s">
        <v>1148</v>
      </c>
      <c r="L18" s="1544" t="s">
        <v>1149</v>
      </c>
      <c r="M18" s="799" t="s">
        <v>1150</v>
      </c>
      <c r="N18" s="977" t="s">
        <v>1148</v>
      </c>
      <c r="O18" s="1544" t="s">
        <v>1149</v>
      </c>
      <c r="P18" s="799" t="s">
        <v>1150</v>
      </c>
      <c r="R18" s="43" t="s">
        <v>1151</v>
      </c>
      <c r="S18" s="43" t="s">
        <v>1152</v>
      </c>
    </row>
    <row r="19" spans="1:19" ht="14.4">
      <c r="A19" s="1545"/>
      <c r="B19" s="45" t="s">
        <v>1125</v>
      </c>
      <c r="C19" s="3107" t="str">
        <f>'数据-基础表'!C13</f>
        <v>地上1-3商业</v>
      </c>
      <c r="D19" s="43">
        <f>ROUND($D$3*E19/$E$3,2)</f>
        <v>874.62</v>
      </c>
      <c r="E19" s="51">
        <f t="shared" ref="E19:E26" si="1">SUM(F19:G19)</f>
        <v>7355.85</v>
      </c>
      <c r="F19" s="2549">
        <f>'数据-基础表'!G13</f>
        <v>7355.85</v>
      </c>
      <c r="G19" s="1239"/>
      <c r="H19" s="637">
        <f>ROUND($D$3*I19/$E$3,2)</f>
        <v>7.09</v>
      </c>
      <c r="I19" s="46">
        <f t="shared" ref="I19:I26" si="2">IF($I$17="自定义",P19,M19)</f>
        <v>59.63</v>
      </c>
      <c r="J19" s="1067"/>
      <c r="K19" s="637">
        <f t="shared" ref="K19:K26" si="3">ROUND(E$28*E19/E$27,2)</f>
        <v>59.63</v>
      </c>
      <c r="L19" s="43">
        <f t="shared" ref="L19:L26" si="4">ROUND(IF(COUNTIF(C19,"*住宅*")&gt;0,E$29*E19/E$32,0),2)</f>
        <v>0</v>
      </c>
      <c r="M19" s="46">
        <f>K19+L19</f>
        <v>59.63</v>
      </c>
      <c r="N19" s="1546"/>
      <c r="O19" s="1547"/>
      <c r="P19" s="46">
        <f>N19+O19</f>
        <v>0</v>
      </c>
      <c r="R19" s="43">
        <f t="shared" ref="R19:S26" si="5">D19+H19</f>
        <v>881.71</v>
      </c>
      <c r="S19" s="51">
        <f t="shared" si="5"/>
        <v>7415.4800000000005</v>
      </c>
    </row>
    <row r="20" spans="1:19" ht="14.4">
      <c r="A20" s="1545"/>
      <c r="B20" s="45" t="s">
        <v>1153</v>
      </c>
      <c r="C20" s="3107" t="str">
        <f>'数据-基础表'!C14</f>
        <v>地下商业</v>
      </c>
      <c r="D20" s="43">
        <f t="shared" ref="D20:D26" si="6">ROUND($D$3*E20/$E$3,2)</f>
        <v>219.54</v>
      </c>
      <c r="E20" s="51">
        <f t="shared" si="1"/>
        <v>1846.41</v>
      </c>
      <c r="F20" s="2549"/>
      <c r="G20" s="1239">
        <f>'数据-基础表'!G14</f>
        <v>1846.41</v>
      </c>
      <c r="H20" s="637">
        <f t="shared" ref="H20:H26" si="7">ROUND($D$3*I20/$E$3,2)</f>
        <v>1.78</v>
      </c>
      <c r="I20" s="46">
        <f t="shared" si="2"/>
        <v>14.97</v>
      </c>
      <c r="J20" s="1067"/>
      <c r="K20" s="637">
        <f t="shared" si="3"/>
        <v>14.97</v>
      </c>
      <c r="L20" s="43">
        <f t="shared" si="4"/>
        <v>0</v>
      </c>
      <c r="M20" s="46">
        <f t="shared" ref="M20:M26" si="8">K20+L20</f>
        <v>14.97</v>
      </c>
      <c r="N20" s="1546"/>
      <c r="O20" s="1547"/>
      <c r="P20" s="46">
        <f t="shared" ref="P20:P26" si="9">N20+O20</f>
        <v>0</v>
      </c>
      <c r="R20" s="43">
        <f t="shared" si="5"/>
        <v>221.32</v>
      </c>
      <c r="S20" s="51">
        <f t="shared" si="5"/>
        <v>1861.38</v>
      </c>
    </row>
    <row r="21" spans="1:19" ht="14.4">
      <c r="A21" s="1545"/>
      <c r="B21" s="45" t="s">
        <v>1153</v>
      </c>
      <c r="C21" s="3107" t="str">
        <f>'数据-基础表'!C15</f>
        <v>地上办公</v>
      </c>
      <c r="D21" s="43">
        <f t="shared" si="6"/>
        <v>4014.77</v>
      </c>
      <c r="E21" s="51">
        <f t="shared" si="1"/>
        <v>33765.460000000006</v>
      </c>
      <c r="F21" s="2549">
        <f>'数据-基础表'!G15</f>
        <v>33765.460000000006</v>
      </c>
      <c r="G21" s="1239"/>
      <c r="H21" s="637">
        <f t="shared" si="7"/>
        <v>32.549999999999997</v>
      </c>
      <c r="I21" s="46">
        <f t="shared" si="2"/>
        <v>273.73</v>
      </c>
      <c r="J21" s="1067"/>
      <c r="K21" s="637">
        <f t="shared" si="3"/>
        <v>273.73</v>
      </c>
      <c r="L21" s="43">
        <f t="shared" si="4"/>
        <v>0</v>
      </c>
      <c r="M21" s="46">
        <f t="shared" si="8"/>
        <v>273.73</v>
      </c>
      <c r="N21" s="1546"/>
      <c r="O21" s="1547"/>
      <c r="P21" s="46">
        <f t="shared" si="9"/>
        <v>0</v>
      </c>
      <c r="R21" s="43">
        <f t="shared" si="5"/>
        <v>4047.32</v>
      </c>
      <c r="S21" s="51">
        <f t="shared" si="5"/>
        <v>34039.19000000001</v>
      </c>
    </row>
    <row r="22" spans="1:19" ht="14.4">
      <c r="A22" s="1545"/>
      <c r="B22" s="45" t="s">
        <v>1153</v>
      </c>
      <c r="C22" s="3107" t="str">
        <f>'数据-基础表'!C16</f>
        <v>地下车位</v>
      </c>
      <c r="D22" s="43">
        <f t="shared" si="6"/>
        <v>930.65</v>
      </c>
      <c r="E22" s="51">
        <f t="shared" si="1"/>
        <v>7827.03</v>
      </c>
      <c r="F22" s="2550"/>
      <c r="G22" s="2551">
        <f>'数据-基础表'!G16</f>
        <v>7827.03</v>
      </c>
      <c r="H22" s="637">
        <f t="shared" si="7"/>
        <v>7.54</v>
      </c>
      <c r="I22" s="46">
        <f t="shared" si="2"/>
        <v>63.45</v>
      </c>
      <c r="J22" s="1067"/>
      <c r="K22" s="637">
        <f t="shared" si="3"/>
        <v>63.45</v>
      </c>
      <c r="L22" s="43">
        <f t="shared" si="4"/>
        <v>0</v>
      </c>
      <c r="M22" s="46">
        <f t="shared" si="8"/>
        <v>63.45</v>
      </c>
      <c r="N22" s="1546"/>
      <c r="O22" s="1547"/>
      <c r="P22" s="46">
        <f t="shared" si="9"/>
        <v>0</v>
      </c>
      <c r="R22" s="43">
        <f t="shared" si="5"/>
        <v>938.18999999999994</v>
      </c>
      <c r="S22" s="51">
        <f t="shared" si="5"/>
        <v>7890.48</v>
      </c>
    </row>
    <row r="23" spans="1:19" ht="14.4">
      <c r="A23" s="1545"/>
      <c r="B23" s="45" t="s">
        <v>1153</v>
      </c>
      <c r="C23" s="3108"/>
      <c r="D23" s="43">
        <f>ROUND($D$3*E23/$E$3,2)</f>
        <v>0</v>
      </c>
      <c r="E23" s="51">
        <f>SUM(F23:G23)</f>
        <v>0</v>
      </c>
      <c r="F23" s="2550"/>
      <c r="G23" s="2551"/>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ht="14.4">
      <c r="A24" s="1545"/>
      <c r="B24" s="45" t="s">
        <v>1153</v>
      </c>
      <c r="C24" s="3108"/>
      <c r="D24" s="43">
        <f>ROUND($D$3*E24/$E$3,2)</f>
        <v>0</v>
      </c>
      <c r="E24" s="51">
        <f>SUM(F24:G24)</f>
        <v>0</v>
      </c>
      <c r="F24" s="2550"/>
      <c r="G24" s="2551"/>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ht="14.4">
      <c r="A25" s="1545"/>
      <c r="B25" s="45" t="s">
        <v>1153</v>
      </c>
      <c r="C25" s="3108"/>
      <c r="D25" s="43">
        <f t="shared" si="6"/>
        <v>0</v>
      </c>
      <c r="E25" s="51">
        <f t="shared" si="1"/>
        <v>0</v>
      </c>
      <c r="F25" s="2550"/>
      <c r="G25" s="2551"/>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ht="14.4">
      <c r="A26" s="1545"/>
      <c r="B26" s="45" t="s">
        <v>1153</v>
      </c>
      <c r="C26" s="53"/>
      <c r="D26" s="43">
        <f t="shared" si="6"/>
        <v>0</v>
      </c>
      <c r="E26" s="51">
        <f t="shared" si="1"/>
        <v>0</v>
      </c>
      <c r="F26" s="2550"/>
      <c r="G26" s="2551"/>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28.2" thickBot="1">
      <c r="A27" s="1545"/>
      <c r="B27" s="43"/>
      <c r="C27" s="1550" t="s">
        <v>1154</v>
      </c>
      <c r="D27" s="1068">
        <f>SUM(D19:D26)</f>
        <v>6039.58</v>
      </c>
      <c r="E27" s="1069">
        <f>IF(SUM(E19:E26)='数据-基础表'!BA5,SUM(E19:E26),IF(F27="地上面积有误","面积有误","地下面积有误"))</f>
        <v>50794.750000000007</v>
      </c>
      <c r="F27" s="1068">
        <f>IF(SUM(F19:F26)=E8,SUM(F19:F26),"地上面积有误")</f>
        <v>41121.310000000005</v>
      </c>
      <c r="G27" s="1070">
        <f>SUM(G19:G26)</f>
        <v>9673.44</v>
      </c>
      <c r="H27" s="1071">
        <f>SUM(H19:H26)</f>
        <v>48.959999999999994</v>
      </c>
      <c r="I27" s="1072">
        <f>SUM(I19:I26)</f>
        <v>411.78000000000003</v>
      </c>
      <c r="J27" s="1067"/>
      <c r="K27" s="1073">
        <f>SUM(K19:K26)</f>
        <v>411.78000000000003</v>
      </c>
      <c r="L27" s="782">
        <f>SUM(L19:L26)</f>
        <v>0</v>
      </c>
      <c r="M27" s="1074">
        <f>SUM(M19:M26)</f>
        <v>411.78000000000003</v>
      </c>
      <c r="N27" s="1073">
        <f t="shared" ref="N27:O27" si="10">SUM(N19:N26)</f>
        <v>0</v>
      </c>
      <c r="O27" s="782">
        <f t="shared" si="10"/>
        <v>0</v>
      </c>
      <c r="P27" s="94">
        <f>SUM(P19:P26)</f>
        <v>0</v>
      </c>
      <c r="R27" s="965" t="str">
        <f>IF(SUM(R19:R26)=$D$3,SUM(R19:R26),SUM(R19:R26)&amp;"误差"&amp;ROUND(SUM(R19:R26)-$D$3,2))</f>
        <v>6088.54误差-0.01</v>
      </c>
      <c r="S27" s="43">
        <f>IF(SUM(S19:S26)=$E$3,SUM(S19:S26),SUM(S19:S26)&amp;"误差"&amp;ROUND(SUM(S19:S26)-E3,2))</f>
        <v>51206.530000000013</v>
      </c>
    </row>
    <row r="28" spans="1:19" ht="14.4">
      <c r="A28" s="1545"/>
      <c r="B28" s="45" t="s">
        <v>1155</v>
      </c>
      <c r="C28" s="54" t="s">
        <v>1156</v>
      </c>
      <c r="D28" s="43">
        <f>ROUND($D$3*E28/$E$3,2)</f>
        <v>48.96</v>
      </c>
      <c r="E28" s="51">
        <f>SUM(F28:G28)</f>
        <v>411.78000000000003</v>
      </c>
      <c r="F28" s="54">
        <f>'数据-基础表'!BQ5+'数据-基础表'!BS5</f>
        <v>411.78000000000003</v>
      </c>
      <c r="G28" s="55">
        <f>'数据-基础表'!BR5+'数据-基础表'!BT5</f>
        <v>0</v>
      </c>
      <c r="H28" s="2432"/>
      <c r="I28" s="2432"/>
      <c r="J28" s="2432"/>
      <c r="K28" s="2432"/>
      <c r="L28" s="2432"/>
      <c r="M28" s="2432"/>
      <c r="N28" s="2432"/>
      <c r="O28" s="2432"/>
      <c r="P28" s="2432"/>
    </row>
    <row r="29" spans="1:19" ht="14.4">
      <c r="A29" s="1545"/>
      <c r="B29" s="45" t="s">
        <v>1155</v>
      </c>
      <c r="C29" s="1551"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5"/>
      <c r="B30" s="45"/>
      <c r="C30" s="1552" t="s">
        <v>1154</v>
      </c>
      <c r="D30" s="1068">
        <f>SUM(D28:D29)</f>
        <v>48.96</v>
      </c>
      <c r="E30" s="1068">
        <f>SUM(E28:E29)</f>
        <v>411.78000000000003</v>
      </c>
      <c r="F30" s="1068">
        <f>SUM(F28:F29)</f>
        <v>411.78000000000003</v>
      </c>
      <c r="G30" s="1070">
        <f>SUM(G28:G29)</f>
        <v>0</v>
      </c>
      <c r="H30" s="2432"/>
      <c r="I30" s="2432"/>
      <c r="J30" s="2432"/>
      <c r="K30" s="2432"/>
      <c r="L30" s="2432"/>
      <c r="M30" s="2432"/>
      <c r="N30" s="2432"/>
      <c r="O30" s="2432"/>
      <c r="P30" s="2432"/>
    </row>
    <row r="31" spans="1:19" ht="15" thickBot="1">
      <c r="A31" s="1553"/>
      <c r="B31" s="96"/>
      <c r="C31" s="782" t="s">
        <v>1158</v>
      </c>
      <c r="D31" s="643">
        <f>D27+D30</f>
        <v>6088.54</v>
      </c>
      <c r="E31" s="643">
        <f>E27+E30</f>
        <v>51206.530000000006</v>
      </c>
      <c r="F31" s="644">
        <f>F27+F30</f>
        <v>41533.090000000004</v>
      </c>
      <c r="G31" s="645">
        <f>G27+G30</f>
        <v>9673.44</v>
      </c>
      <c r="H31" s="2432"/>
      <c r="I31" s="2432"/>
      <c r="J31" s="2432"/>
      <c r="K31" s="2432"/>
      <c r="L31" s="2432"/>
      <c r="M31" s="2432"/>
      <c r="N31" s="2432"/>
      <c r="O31" s="2432"/>
      <c r="P31" s="2432"/>
    </row>
    <row r="32" spans="1:19" ht="14.4">
      <c r="A32" s="1522"/>
      <c r="B32" s="1522" t="s">
        <v>1159</v>
      </c>
      <c r="C32" s="1522"/>
      <c r="D32" s="1522"/>
      <c r="E32" s="987">
        <f>SUMIF(C19:C26,"*住宅*",E19:E26)</f>
        <v>0</v>
      </c>
      <c r="F32" s="1522"/>
      <c r="G32" s="1522"/>
      <c r="H32" s="2432"/>
      <c r="I32" s="2432"/>
      <c r="J32" s="2432"/>
      <c r="K32" s="2432"/>
      <c r="L32" s="2432"/>
      <c r="M32" s="2432"/>
      <c r="N32" s="2432"/>
      <c r="O32" s="2432"/>
      <c r="P32" s="2432"/>
    </row>
    <row r="33" spans="4:9">
      <c r="D33" s="1554"/>
    </row>
    <row r="39" spans="4:9">
      <c r="G39" s="1518">
        <f>1-0.188</f>
        <v>0.81200000000000006</v>
      </c>
      <c r="H39" s="1518">
        <v>80000</v>
      </c>
    </row>
    <row r="40" spans="4:9">
      <c r="G40" s="1518">
        <v>0.188</v>
      </c>
      <c r="H40" s="1518">
        <v>20000</v>
      </c>
    </row>
    <row r="41" spans="4:9">
      <c r="H41" s="1518">
        <f>G39*H39+G40*H40</f>
        <v>68720</v>
      </c>
      <c r="I41" s="1518">
        <f>H41/H39</f>
        <v>0.85899999999999999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Z7" sqref="Z7"/>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10.441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12" style="1557" customWidth="1"/>
    <col min="22" max="22" width="6.33203125" style="1557" customWidth="1"/>
    <col min="23" max="30" width="6.77734375" style="1557" customWidth="1"/>
    <col min="31" max="31" width="8" style="1557" customWidth="1"/>
    <col min="32" max="33" width="7.21875" style="1557" customWidth="1"/>
    <col min="34" max="34" width="10.88671875" style="1557" customWidth="1"/>
    <col min="35" max="35" width="15.33203125" style="1557" customWidth="1"/>
    <col min="36"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 thickBot="1">
      <c r="A2" s="1558" t="s">
        <v>1161</v>
      </c>
      <c r="B2" s="981">
        <f>项目基本情况!D3</f>
        <v>45734</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3.2">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3497</v>
      </c>
      <c r="O5" s="1573" t="s">
        <v>1181</v>
      </c>
      <c r="P5" s="1576" t="s">
        <v>1182</v>
      </c>
      <c r="Q5" s="58" t="s">
        <v>1183</v>
      </c>
      <c r="R5" s="1577" t="s">
        <v>1184</v>
      </c>
      <c r="S5" s="1578" t="s">
        <v>1185</v>
      </c>
      <c r="T5" s="1579" t="s">
        <v>1186</v>
      </c>
      <c r="U5" s="982" t="s">
        <v>1187</v>
      </c>
      <c r="V5" s="504" t="s">
        <v>1188</v>
      </c>
      <c r="W5" s="504" t="s">
        <v>1189</v>
      </c>
      <c r="X5" s="60"/>
      <c r="Y5" s="59" t="s">
        <v>1190</v>
      </c>
      <c r="Z5" s="1097" t="s">
        <v>1187</v>
      </c>
      <c r="AA5" s="504" t="s">
        <v>1188</v>
      </c>
      <c r="AB5" s="504" t="s">
        <v>1189</v>
      </c>
      <c r="AC5" s="60"/>
      <c r="AD5" s="60" t="s">
        <v>1190</v>
      </c>
      <c r="AE5" s="982" t="s">
        <v>1191</v>
      </c>
      <c r="AF5" s="504" t="s">
        <v>1192</v>
      </c>
      <c r="AG5" s="59" t="s">
        <v>1193</v>
      </c>
      <c r="AH5" s="982" t="s">
        <v>1194</v>
      </c>
      <c r="AI5" s="1097" t="s">
        <v>1195</v>
      </c>
      <c r="AJ5" s="1097" t="s">
        <v>1196</v>
      </c>
      <c r="AK5" s="504" t="s">
        <v>1197</v>
      </c>
      <c r="AL5" s="504" t="s">
        <v>1198</v>
      </c>
      <c r="AM5" s="59" t="s">
        <v>1199</v>
      </c>
      <c r="AN5" s="1580" t="s">
        <v>1200</v>
      </c>
      <c r="AO5" s="1450" t="s">
        <v>1201</v>
      </c>
      <c r="AP5" s="965"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地上1-3商业</v>
      </c>
      <c r="B6" s="1583" t="str">
        <f>IF(A6=0,"","经营性")</f>
        <v>经营性</v>
      </c>
      <c r="C6" s="1584" t="s">
        <v>673</v>
      </c>
      <c r="D6" s="802">
        <f>SUMIF(项目基本情况!C$12:I$12,C6,项目基本情况!C$14:I$14)</f>
        <v>40</v>
      </c>
      <c r="E6" s="801">
        <f>IF(B6="","",SUMIF(项目基本情况!C$12:I$12,C6,项目基本情况!C$13:I$13))</f>
        <v>52662</v>
      </c>
      <c r="F6" s="61">
        <f>SUMIF(项目基本情况!C$12:I$12,C6,项目基本情况!C$15:I$15)</f>
        <v>18.98</v>
      </c>
      <c r="G6" s="62">
        <f>IF(ISERROR(ROUND(POWER(1+H6,D6-F6)*(POWER(1+H6,F6)-1)/(POWER(1+H6,D6)-1),3)),0,ROUND(POWER(1+H6,D6-F6)*(POWER(1+H6,F6)-1)/(POWER(1+H6,D6)-1),3))</f>
        <v>0.70399999999999996</v>
      </c>
      <c r="H6" s="691">
        <v>0.05</v>
      </c>
      <c r="I6" s="691">
        <v>5.5E-2</v>
      </c>
      <c r="J6" s="63">
        <v>7.0000000000000007E-2</v>
      </c>
      <c r="K6" s="967">
        <f>SUMIF('数据-汇总表'!C$19:C$33,A6,'数据-汇总表'!E$19:E$33)</f>
        <v>7355.85</v>
      </c>
      <c r="L6" s="692">
        <v>6000</v>
      </c>
      <c r="M6" s="64">
        <f t="shared" ref="M6:M14" si="0">ROUND(K6*L6/10000,0)</f>
        <v>4414</v>
      </c>
      <c r="N6" s="3294">
        <v>0.8</v>
      </c>
      <c r="O6" s="64" t="str">
        <f>IF($N$5="成新度","——",ROUND(M6*N6,0))</f>
        <v>——</v>
      </c>
      <c r="P6" s="65" t="str">
        <f>IF($N$5="成新度","——",M6-O6)</f>
        <v>——</v>
      </c>
      <c r="Q6" s="3295">
        <v>0.2</v>
      </c>
      <c r="R6" s="66">
        <f ca="1">SUMIF('数据-汇总表'!C$19:C$33,A6,'数据-汇总表'!R$19:R$27)</f>
        <v>881.71</v>
      </c>
      <c r="S6" s="49">
        <f>IF('数据-汇总表'!$I$17="按面积比例",SUMIF('数据-汇总表'!C$19:C$33,A6,'数据-汇总表'!K$19:K$33),SUMIF('数据-汇总表'!C$19:C$33,A6,'数据-汇总表'!N$19:N$33))</f>
        <v>59.63</v>
      </c>
      <c r="T6" s="1088">
        <f>ROUND($L$14*S6/10000,0)</f>
        <v>36</v>
      </c>
      <c r="U6" s="3296">
        <f>6.87</f>
        <v>6.87</v>
      </c>
      <c r="V6" s="67">
        <v>0</v>
      </c>
      <c r="W6" s="67">
        <v>0</v>
      </c>
      <c r="X6" s="976"/>
      <c r="Y6" s="68">
        <f>N6</f>
        <v>0.8</v>
      </c>
      <c r="Z6" s="69">
        <f>ROUND(Z21*(1+AA6)^AF6,1)</f>
        <v>10</v>
      </c>
      <c r="AA6" s="63">
        <v>0.02</v>
      </c>
      <c r="AB6" s="63">
        <v>0.1</v>
      </c>
      <c r="AC6" s="976"/>
      <c r="AD6" s="70">
        <v>0.79</v>
      </c>
      <c r="AE6" s="977">
        <f ca="1">IF(AN6="",0,SUMIF(INDIRECT("'"&amp;AN6&amp;"'"&amp;"!E:E"),$AE$5,INDIRECT("'"&amp;AN6&amp;"'"&amp;"!F:F")))</f>
        <v>18.98</v>
      </c>
      <c r="AF6" s="74">
        <f>项目基本情况!C15</f>
        <v>3.77</v>
      </c>
      <c r="AG6" s="130">
        <f ca="1">IF(AF6="",0,AE6-AF6)</f>
        <v>15.21</v>
      </c>
      <c r="AH6" s="71"/>
      <c r="AI6" s="73">
        <v>365</v>
      </c>
      <c r="AJ6" s="74"/>
      <c r="AK6" s="75">
        <v>3.0000000000000001E-3</v>
      </c>
      <c r="AL6" s="76">
        <v>1E-3</v>
      </c>
      <c r="AM6" s="77">
        <v>1.4999999999999999E-2</v>
      </c>
      <c r="AN6" s="1585" t="s">
        <v>3523</v>
      </c>
      <c r="AO6" s="50">
        <f ca="1">SUMIF(INDIRECT("'"&amp;AN6&amp;"'"&amp;"!A:A"),"总价",INDIRECT("'"&amp;AN6&amp;"'"&amp;"!B:B"))</f>
        <v>23866</v>
      </c>
      <c r="AP6" s="1586">
        <f>IF(C6="住宅",K6*L6,0)</f>
        <v>0</v>
      </c>
      <c r="AQ6" s="50">
        <f>ROUND($L$14*$N$14*S6/10000,0)</f>
        <v>29</v>
      </c>
      <c r="AR6" s="50">
        <f>ROUND($L$14*(1-$N$14)*S6/10000,0)</f>
        <v>7</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地下商业</v>
      </c>
      <c r="B7" s="1583" t="str">
        <f t="shared" ref="B7:B13" si="1">IF(A7=0,"","经营性")</f>
        <v>经营性</v>
      </c>
      <c r="C7" s="1584" t="s">
        <v>673</v>
      </c>
      <c r="D7" s="802">
        <f>SUMIF(项目基本情况!C$12:I$12,C7,项目基本情况!C$14:I$14)</f>
        <v>40</v>
      </c>
      <c r="E7" s="801">
        <f>IF(B7="","",SUMIF(项目基本情况!C$12:I$12,C7,项目基本情况!C$13:I$13))</f>
        <v>52662</v>
      </c>
      <c r="F7" s="61">
        <f>SUMIF(项目基本情况!C$12:I$12,C7,项目基本情况!C$15:I$15)</f>
        <v>18.98</v>
      </c>
      <c r="G7" s="62">
        <f t="shared" ref="G7:G11" si="2">IF(ISERROR(ROUND(POWER(1+H7,D7-F7)*(POWER(1+H7,F7)-1)/(POWER(1+H7,D7)-1),3)),0,ROUND(POWER(1+H7,D7-F7)*(POWER(1+H7,F7)-1)/(POWER(1+H7,D7)-1),3))</f>
        <v>0.70399999999999996</v>
      </c>
      <c r="H7" s="691">
        <f>H6</f>
        <v>0.05</v>
      </c>
      <c r="I7" s="691">
        <f>I6</f>
        <v>5.5E-2</v>
      </c>
      <c r="J7" s="63">
        <f>J6</f>
        <v>7.0000000000000007E-2</v>
      </c>
      <c r="K7" s="967">
        <f>SUMIF('数据-汇总表'!C$19:C$33,A7,'数据-汇总表'!E$19:E$33)</f>
        <v>1846.41</v>
      </c>
      <c r="L7" s="692">
        <f>L6</f>
        <v>6000</v>
      </c>
      <c r="M7" s="64">
        <f t="shared" si="0"/>
        <v>1108</v>
      </c>
      <c r="N7" s="3294">
        <f>N6</f>
        <v>0.8</v>
      </c>
      <c r="O7" s="64" t="str">
        <f t="shared" ref="O7:O14" si="3">IF($N$5="成新度","——",ROUND(M7*N7,0))</f>
        <v>——</v>
      </c>
      <c r="P7" s="65" t="str">
        <f t="shared" ref="P7:P14" si="4">IF($N$5="成新度","——",M7-O7)</f>
        <v>——</v>
      </c>
      <c r="Q7" s="3295">
        <f>Q6</f>
        <v>0.2</v>
      </c>
      <c r="R7" s="66">
        <f ca="1">SUMIF('数据-汇总表'!C$19:C$33,A7,'数据-汇总表'!R$19:R$27)</f>
        <v>221.32</v>
      </c>
      <c r="S7" s="49">
        <f>IF('数据-汇总表'!$I$17="按面积比例",SUMIF('数据-汇总表'!C$19:C$33,A7,'数据-汇总表'!K$19:K$33),SUMIF('数据-汇总表'!C$19:C$33,A7,'数据-汇总表'!N$19:N$33))</f>
        <v>14.97</v>
      </c>
      <c r="T7" s="1088">
        <f t="shared" ref="T7:T13" si="5">ROUND($L$14*S7/10000,0)</f>
        <v>9</v>
      </c>
      <c r="U7" s="3296">
        <f>W22</f>
        <v>4.8000000000000007</v>
      </c>
      <c r="V7" s="67">
        <v>0.02</v>
      </c>
      <c r="W7" s="67">
        <v>0.1</v>
      </c>
      <c r="X7" s="976"/>
      <c r="Y7" s="68">
        <f t="shared" ref="Y7:Y9" si="6">N7</f>
        <v>0.8</v>
      </c>
      <c r="Z7" s="69"/>
      <c r="AA7" s="63"/>
      <c r="AB7" s="63"/>
      <c r="AC7" s="976"/>
      <c r="AD7" s="70"/>
      <c r="AE7" s="977">
        <f t="shared" ref="AE7:AE13" ca="1" si="7">IF(AN7="",0,SUMIF(INDIRECT("'"&amp;AN7&amp;"'"&amp;"!E:E"),$AE$5,INDIRECT("'"&amp;AN7&amp;"'"&amp;"!F:F")))</f>
        <v>18.98</v>
      </c>
      <c r="AF7" s="74"/>
      <c r="AG7" s="130">
        <f t="shared" ref="AG7:AG13" si="8">IF(AF7="",0,AE7-AF7)</f>
        <v>0</v>
      </c>
      <c r="AH7" s="71"/>
      <c r="AI7" s="73">
        <v>365</v>
      </c>
      <c r="AJ7" s="74"/>
      <c r="AK7" s="75">
        <f>AK6</f>
        <v>3.0000000000000001E-3</v>
      </c>
      <c r="AL7" s="76">
        <f>AL6</f>
        <v>1E-3</v>
      </c>
      <c r="AM7" s="77">
        <f>AM6</f>
        <v>1.4999999999999999E-2</v>
      </c>
      <c r="AN7" s="1585" t="s">
        <v>3525</v>
      </c>
      <c r="AO7" s="50">
        <f t="shared" ref="AO7:AO13" ca="1" si="9">SUMIF(INDIRECT("'"&amp;AN7&amp;"'"&amp;"!A:A"),"总价",INDIRECT("'"&amp;AN7&amp;"'"&amp;"!B:B"))</f>
        <v>3298</v>
      </c>
      <c r="AP7" s="1586">
        <f t="shared" ref="AP7:AP13" si="10">IF(C7="住宅",K7*L7,0)</f>
        <v>0</v>
      </c>
      <c r="AQ7" s="50">
        <f t="shared" ref="AQ7:AQ13" si="11">ROUND($L$14*$N$14*S7/10000,0)</f>
        <v>7</v>
      </c>
      <c r="AR7" s="50">
        <f t="shared" ref="AR7:AR13" si="12">ROUND($L$14*(1-$N$14)*S7/10000,0)</f>
        <v>2</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地上办公</v>
      </c>
      <c r="B8" s="1583" t="str">
        <f t="shared" si="1"/>
        <v>经营性</v>
      </c>
      <c r="C8" s="1584" t="s">
        <v>21</v>
      </c>
      <c r="D8" s="802">
        <f>SUMIF(项目基本情况!C$12:I$12,C8,项目基本情况!C$14:I$14)</f>
        <v>50</v>
      </c>
      <c r="E8" s="801">
        <f>IF(B8="","",SUMIF(项目基本情况!C$12:I$12,C8,项目基本情况!C$13:I$13))</f>
        <v>56314</v>
      </c>
      <c r="F8" s="61">
        <f>SUMIF(项目基本情况!C$12:I$12,C8,项目基本情况!C$15:I$15)</f>
        <v>28.98</v>
      </c>
      <c r="G8" s="62">
        <f t="shared" si="2"/>
        <v>0.82899999999999996</v>
      </c>
      <c r="H8" s="691">
        <f t="shared" ref="H8:H9" si="13">H7</f>
        <v>0.05</v>
      </c>
      <c r="I8" s="691">
        <f t="shared" ref="I8:I9" si="14">I7</f>
        <v>5.5E-2</v>
      </c>
      <c r="J8" s="63">
        <f t="shared" ref="J8:J9" si="15">J7</f>
        <v>7.0000000000000007E-2</v>
      </c>
      <c r="K8" s="967">
        <f>SUMIF('数据-汇总表'!C$19:C$33,A8,'数据-汇总表'!E$19:E$33)</f>
        <v>33765.460000000006</v>
      </c>
      <c r="L8" s="692">
        <f>L7</f>
        <v>6000</v>
      </c>
      <c r="M8" s="64">
        <f>ROUND(K8*L8/10000,0)</f>
        <v>20259</v>
      </c>
      <c r="N8" s="3294">
        <f>N6</f>
        <v>0.8</v>
      </c>
      <c r="O8" s="64" t="str">
        <f t="shared" si="3"/>
        <v>——</v>
      </c>
      <c r="P8" s="65" t="str">
        <f t="shared" si="4"/>
        <v>——</v>
      </c>
      <c r="Q8" s="3295">
        <f>Q7</f>
        <v>0.2</v>
      </c>
      <c r="R8" s="66">
        <f ca="1">SUMIF('数据-汇总表'!C$19:C$33,A8,'数据-汇总表'!R$19:R$27)</f>
        <v>4047.32</v>
      </c>
      <c r="S8" s="49">
        <f>IF('数据-汇总表'!$I$17="按面积比例",SUMIF('数据-汇总表'!C$19:C$33,A8,'数据-汇总表'!K$19:K$33),SUMIF('数据-汇总表'!C$19:C$33,A8,'数据-汇总表'!N$19:N$33))</f>
        <v>273.73</v>
      </c>
      <c r="T8" s="1088">
        <f t="shared" si="5"/>
        <v>164</v>
      </c>
      <c r="U8" s="3298">
        <v>13.3</v>
      </c>
      <c r="V8" s="693">
        <v>0.02</v>
      </c>
      <c r="W8" s="693">
        <v>0.1</v>
      </c>
      <c r="X8" s="976"/>
      <c r="Y8" s="68">
        <f t="shared" si="6"/>
        <v>0.8</v>
      </c>
      <c r="Z8" s="69"/>
      <c r="AA8" s="63"/>
      <c r="AB8" s="63"/>
      <c r="AC8" s="976"/>
      <c r="AD8" s="70"/>
      <c r="AE8" s="977">
        <f t="shared" ca="1" si="7"/>
        <v>28.98</v>
      </c>
      <c r="AF8" s="74"/>
      <c r="AG8" s="130">
        <f t="shared" si="8"/>
        <v>0</v>
      </c>
      <c r="AH8" s="694"/>
      <c r="AI8" s="73">
        <v>365</v>
      </c>
      <c r="AJ8" s="74"/>
      <c r="AK8" s="75">
        <f t="shared" ref="AK8:AK9" si="16">AK7</f>
        <v>3.0000000000000001E-3</v>
      </c>
      <c r="AL8" s="76">
        <f t="shared" ref="AL8:AL9" si="17">AL7</f>
        <v>1E-3</v>
      </c>
      <c r="AM8" s="77">
        <f t="shared" ref="AM8" si="18">AM7</f>
        <v>1.4999999999999999E-2</v>
      </c>
      <c r="AN8" s="1585" t="s">
        <v>3527</v>
      </c>
      <c r="AO8" s="50">
        <f t="shared" ca="1" si="9"/>
        <v>214477</v>
      </c>
      <c r="AP8" s="1586">
        <f t="shared" si="10"/>
        <v>0</v>
      </c>
      <c r="AQ8" s="50">
        <f t="shared" si="11"/>
        <v>131</v>
      </c>
      <c r="AR8" s="50">
        <f t="shared" si="12"/>
        <v>33</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t="str">
        <f>'数据-汇总表'!C22</f>
        <v>地下车位</v>
      </c>
      <c r="B9" s="1583" t="str">
        <f t="shared" si="1"/>
        <v>经营性</v>
      </c>
      <c r="C9" s="1584" t="s">
        <v>3331</v>
      </c>
      <c r="D9" s="802">
        <f>SUMIF(项目基本情况!C$12:I$12,C9,项目基本情况!C$14:I$14)</f>
        <v>50</v>
      </c>
      <c r="E9" s="801">
        <f>IF(B9="","",SUMIF(项目基本情况!C$12:I$12,C9,项目基本情况!C$13:I$13))</f>
        <v>56314</v>
      </c>
      <c r="F9" s="61">
        <f>SUMIF(项目基本情况!C$12:I$12,C9,项目基本情况!C$15:I$15)</f>
        <v>28.98</v>
      </c>
      <c r="G9" s="62">
        <f t="shared" si="2"/>
        <v>0.82899999999999996</v>
      </c>
      <c r="H9" s="691">
        <f t="shared" si="13"/>
        <v>0.05</v>
      </c>
      <c r="I9" s="691">
        <f t="shared" si="14"/>
        <v>5.5E-2</v>
      </c>
      <c r="J9" s="63">
        <f t="shared" si="15"/>
        <v>7.0000000000000007E-2</v>
      </c>
      <c r="K9" s="967">
        <f>SUMIF('数据-汇总表'!C$19:C$33,A9,'数据-汇总表'!E$19:E$33)</f>
        <v>7827.03</v>
      </c>
      <c r="L9" s="692">
        <f>L8</f>
        <v>6000</v>
      </c>
      <c r="M9" s="64">
        <f t="shared" si="0"/>
        <v>4696</v>
      </c>
      <c r="N9" s="3294">
        <f>N6</f>
        <v>0.8</v>
      </c>
      <c r="O9" s="64" t="str">
        <f t="shared" si="3"/>
        <v>——</v>
      </c>
      <c r="P9" s="65" t="str">
        <f t="shared" si="4"/>
        <v>——</v>
      </c>
      <c r="Q9" s="78">
        <v>0.05</v>
      </c>
      <c r="R9" s="66">
        <f ca="1">SUMIF('数据-汇总表'!C$19:C$33,A9,'数据-汇总表'!R$19:R$27)</f>
        <v>938.18999999999994</v>
      </c>
      <c r="S9" s="49">
        <f>IF('数据-汇总表'!$I$17="按面积比例",SUMIF('数据-汇总表'!C$19:C$33,A9,'数据-汇总表'!K$19:K$33),SUMIF('数据-汇总表'!C$19:C$33,A9,'数据-汇总表'!N$19:N$33))</f>
        <v>63.45</v>
      </c>
      <c r="T9" s="1088">
        <f t="shared" si="5"/>
        <v>38</v>
      </c>
      <c r="U9" s="3118">
        <f>W24</f>
        <v>1150</v>
      </c>
      <c r="V9" s="67">
        <v>1.4999999999999999E-2</v>
      </c>
      <c r="W9" s="67">
        <v>0.1</v>
      </c>
      <c r="X9" s="976"/>
      <c r="Y9" s="68">
        <f t="shared" si="6"/>
        <v>0.8</v>
      </c>
      <c r="Z9" s="69"/>
      <c r="AA9" s="63"/>
      <c r="AB9" s="63"/>
      <c r="AC9" s="976"/>
      <c r="AD9" s="70"/>
      <c r="AE9" s="977">
        <f t="shared" ca="1" si="7"/>
        <v>28.98</v>
      </c>
      <c r="AF9" s="74"/>
      <c r="AG9" s="130">
        <f t="shared" si="8"/>
        <v>0</v>
      </c>
      <c r="AH9" s="1635">
        <f>'数据-取费表'!AJ27</f>
        <v>149</v>
      </c>
      <c r="AI9" s="73">
        <v>12</v>
      </c>
      <c r="AJ9" s="74"/>
      <c r="AK9" s="75">
        <v>2E-3</v>
      </c>
      <c r="AL9" s="76">
        <f t="shared" si="17"/>
        <v>1E-3</v>
      </c>
      <c r="AM9" s="77">
        <v>0.01</v>
      </c>
      <c r="AN9" s="1585" t="s">
        <v>3529</v>
      </c>
      <c r="AO9" s="50">
        <f t="shared" ca="1" si="9"/>
        <v>2542</v>
      </c>
      <c r="AP9" s="1586">
        <f t="shared" si="10"/>
        <v>0</v>
      </c>
      <c r="AQ9" s="50">
        <f t="shared" si="11"/>
        <v>30</v>
      </c>
      <c r="AR9" s="50">
        <f t="shared" si="12"/>
        <v>8</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1"/>
      <c r="I10" s="691"/>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7"/>
      <c r="W10" s="67"/>
      <c r="X10" s="976"/>
      <c r="Y10" s="68"/>
      <c r="Z10" s="69"/>
      <c r="AA10" s="63"/>
      <c r="AB10" s="63"/>
      <c r="AC10" s="976"/>
      <c r="AD10" s="70"/>
      <c r="AE10" s="977">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6"/>
      <c r="Y11" s="68"/>
      <c r="Z11" s="81"/>
      <c r="AA11" s="63"/>
      <c r="AB11" s="63"/>
      <c r="AC11" s="976"/>
      <c r="AD11" s="70"/>
      <c r="AE11" s="977">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6"/>
      <c r="Y12" s="68"/>
      <c r="Z12" s="81"/>
      <c r="AA12" s="63"/>
      <c r="AB12" s="63"/>
      <c r="AC12" s="976"/>
      <c r="AD12" s="70"/>
      <c r="AE12" s="977">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6"/>
      <c r="Y13" s="68"/>
      <c r="Z13" s="69"/>
      <c r="AA13" s="63"/>
      <c r="AB13" s="63"/>
      <c r="AC13" s="976"/>
      <c r="AD13" s="70"/>
      <c r="AE13" s="977">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1205</v>
      </c>
      <c r="B14" s="1583" t="s">
        <v>1206</v>
      </c>
      <c r="C14" s="1588" t="s">
        <v>1205</v>
      </c>
      <c r="D14" s="802"/>
      <c r="E14" s="801"/>
      <c r="F14" s="61"/>
      <c r="G14" s="62"/>
      <c r="H14" s="966"/>
      <c r="I14" s="966"/>
      <c r="J14" s="966"/>
      <c r="K14" s="967">
        <f>SUMIF('数据-汇总表'!C$19:C$33,A14,'数据-汇总表'!E$19:E$33)</f>
        <v>411.78000000000003</v>
      </c>
      <c r="L14" s="3292">
        <f>L6</f>
        <v>6000</v>
      </c>
      <c r="M14" s="64">
        <f t="shared" si="0"/>
        <v>247</v>
      </c>
      <c r="N14" s="3293">
        <f>N6</f>
        <v>0.8</v>
      </c>
      <c r="O14" s="64" t="str">
        <f t="shared" si="3"/>
        <v>——</v>
      </c>
      <c r="P14" s="65" t="str">
        <f t="shared" si="4"/>
        <v>——</v>
      </c>
      <c r="Q14" s="970"/>
      <c r="R14" s="66"/>
      <c r="S14" s="49"/>
      <c r="T14" s="1088"/>
      <c r="U14" s="637"/>
      <c r="V14" s="972"/>
      <c r="W14" s="972"/>
      <c r="X14" s="973"/>
      <c r="Y14" s="974"/>
      <c r="Z14" s="54"/>
      <c r="AA14" s="975"/>
      <c r="AB14" s="975"/>
      <c r="AC14" s="976"/>
      <c r="AD14" s="973"/>
      <c r="AE14" s="977"/>
      <c r="AF14" s="50"/>
      <c r="AG14" s="130"/>
      <c r="AH14" s="977"/>
      <c r="AI14" s="1262"/>
      <c r="AJ14" s="50"/>
      <c r="AK14" s="978"/>
      <c r="AL14" s="979"/>
      <c r="AM14" s="980"/>
      <c r="AN14" s="2441"/>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8"/>
      <c r="U15" s="637"/>
      <c r="V15" s="972"/>
      <c r="W15" s="972"/>
      <c r="X15" s="973"/>
      <c r="Y15" s="974"/>
      <c r="Z15" s="54"/>
      <c r="AA15" s="975"/>
      <c r="AB15" s="975"/>
      <c r="AC15" s="976"/>
      <c r="AD15" s="973"/>
      <c r="AE15" s="977"/>
      <c r="AF15" s="50"/>
      <c r="AG15" s="130"/>
      <c r="AH15" s="977"/>
      <c r="AI15" s="1262"/>
      <c r="AJ15" s="50"/>
      <c r="AK15" s="978"/>
      <c r="AL15" s="979"/>
      <c r="AM15" s="980"/>
      <c r="AN15" s="2441"/>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1209</v>
      </c>
      <c r="B16" s="82"/>
      <c r="C16" s="780"/>
      <c r="D16" s="1590"/>
      <c r="E16" s="82"/>
      <c r="F16" s="82"/>
      <c r="G16" s="83">
        <f>ROUND(SUMPRODUCT(G6:G13,K6:K13)/SUMPRODUCT((G6:G13&gt;0)*(K6:K13)),3)</f>
        <v>0.80600000000000005</v>
      </c>
      <c r="H16" s="84">
        <f>ROUND(SUMPRODUCT(H6:H13,K6:K13)/SUMPRODUCT((H6:H13&gt;0)*(K6:K13)),3)</f>
        <v>0.05</v>
      </c>
      <c r="I16" s="85"/>
      <c r="J16" s="85"/>
      <c r="K16" s="86">
        <f>SUM(K6:K15)</f>
        <v>51206.530000000006</v>
      </c>
      <c r="L16" s="87">
        <f>ROUND(M16*10000/SUM(K6:K14),0)</f>
        <v>6000</v>
      </c>
      <c r="M16" s="87">
        <f>SUM(M6:M14)</f>
        <v>30724</v>
      </c>
      <c r="N16" s="88">
        <f>ROUND(SUMPRODUCT(M6:M14,N6:N14)/M16,3)</f>
        <v>0.8</v>
      </c>
      <c r="O16" s="87">
        <f>SUM(O6:O14)</f>
        <v>0</v>
      </c>
      <c r="P16" s="87">
        <f>SUM(P6:P14)</f>
        <v>0</v>
      </c>
      <c r="Q16" s="89">
        <f>ROUND(SUMPRODUCT(Q6:Q13,K6:K13)/SUMPRODUCT((Q6:Q13&gt;0)*(K6:K13)),2)</f>
        <v>0.18</v>
      </c>
      <c r="R16" s="971">
        <f ca="1">SUM(R6:R13)</f>
        <v>6088.54</v>
      </c>
      <c r="S16" s="90">
        <f>SUM(S6:S13)</f>
        <v>411.78000000000003</v>
      </c>
      <c r="T16" s="91">
        <f>IF(SUMIF(T6:T13,"&lt;9E307")=M14,SUMIF(T6:T13,"&lt;9E307"),"有误，请检查")</f>
        <v>247</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3168" t="s">
        <v>3769</v>
      </c>
      <c r="W17" s="3168" t="s">
        <v>3762</v>
      </c>
      <c r="X17" s="3168" t="s">
        <v>3845</v>
      </c>
      <c r="Y17" s="2441"/>
      <c r="Z17" s="2441"/>
      <c r="AA17" s="2441"/>
      <c r="AB17" s="2441"/>
      <c r="AC17" s="2441"/>
      <c r="AD17" s="2441"/>
      <c r="AE17" s="2441"/>
      <c r="AF17" s="2441"/>
      <c r="AG17" s="2441"/>
      <c r="AH17" s="3172" t="s">
        <v>3531</v>
      </c>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68" t="s">
        <v>3498</v>
      </c>
      <c r="N18" s="2441">
        <v>2007</v>
      </c>
      <c r="O18" s="3168" t="s">
        <v>3499</v>
      </c>
      <c r="P18" s="2441"/>
      <c r="Q18" s="2441"/>
      <c r="R18" s="2441"/>
      <c r="S18" s="2441"/>
      <c r="T18" s="2441"/>
      <c r="U18" s="3168" t="s">
        <v>3763</v>
      </c>
      <c r="V18" s="2441">
        <v>1</v>
      </c>
      <c r="W18" s="2441">
        <v>12</v>
      </c>
      <c r="X18" s="2441">
        <f>SUM(面积!H25:H26)</f>
        <v>1920.8700000000001</v>
      </c>
      <c r="Y18" s="2441">
        <f>X18*W18</f>
        <v>23050.440000000002</v>
      </c>
      <c r="Z18" s="2441"/>
      <c r="AA18" s="2441"/>
      <c r="AB18" s="2441"/>
      <c r="AC18" s="2441"/>
      <c r="AD18" s="2441"/>
      <c r="AE18" s="2441"/>
      <c r="AF18" s="2441"/>
      <c r="AG18" s="2441"/>
      <c r="AH18" s="3172" t="s">
        <v>3532</v>
      </c>
      <c r="AI18" s="2441"/>
      <c r="AJ18" s="2441"/>
      <c r="AK18" s="2441"/>
      <c r="AL18" s="2441"/>
      <c r="AM18" s="2441"/>
      <c r="AN18" s="2441"/>
      <c r="AO18" s="2441"/>
      <c r="AP18" s="2441"/>
      <c r="AQ18" s="2441"/>
      <c r="AR18" s="2441"/>
    </row>
    <row r="19" spans="1:44" ht="43.2">
      <c r="A19" s="1592" t="s">
        <v>1211</v>
      </c>
      <c r="B19" s="97">
        <v>0</v>
      </c>
      <c r="C19" s="2552" t="s">
        <v>2300</v>
      </c>
      <c r="D19" s="2444"/>
      <c r="E19" s="2432"/>
      <c r="F19" s="3386" t="s">
        <v>3501</v>
      </c>
      <c r="G19" s="3386"/>
      <c r="H19" s="3386"/>
      <c r="I19" s="3158" t="s">
        <v>3493</v>
      </c>
      <c r="J19" s="3159" t="s">
        <v>3494</v>
      </c>
      <c r="K19" s="2442"/>
      <c r="L19" s="2442"/>
      <c r="M19" s="3168" t="s">
        <v>3500</v>
      </c>
      <c r="N19" s="2441">
        <f>ROUND(1-(1-0)*(2025-N18)/60,2)</f>
        <v>0.7</v>
      </c>
      <c r="O19" s="2441"/>
      <c r="P19" s="2441"/>
      <c r="Q19" s="2441"/>
      <c r="R19" s="2441"/>
      <c r="S19" s="2441"/>
      <c r="T19" s="2441"/>
      <c r="U19" s="3172" t="s">
        <v>3764</v>
      </c>
      <c r="V19" s="2441">
        <v>0.7</v>
      </c>
      <c r="W19" s="2441">
        <f>W18*V19</f>
        <v>8.3999999999999986</v>
      </c>
      <c r="X19" s="2441">
        <f>SUM(面积!H27:H30)</f>
        <v>2565.87</v>
      </c>
      <c r="Y19" s="2441">
        <f t="shared" ref="Y19:Y20" si="19">X19*W19</f>
        <v>21553.307999999994</v>
      </c>
      <c r="Z19" s="2441"/>
      <c r="AA19" s="2441"/>
      <c r="AB19" s="2441"/>
      <c r="AC19" s="2441"/>
      <c r="AD19" s="2441"/>
      <c r="AE19" s="2441"/>
      <c r="AF19" s="2441"/>
      <c r="AG19" s="2441"/>
      <c r="AI19" s="2441"/>
      <c r="AJ19" s="2441"/>
      <c r="AK19" s="2441"/>
      <c r="AL19" s="2441"/>
      <c r="AM19" s="2441"/>
      <c r="AN19" s="2441"/>
      <c r="AO19" s="2441"/>
      <c r="AP19" s="2441"/>
      <c r="AQ19" s="2441"/>
      <c r="AR19" s="2441"/>
    </row>
    <row r="20" spans="1:44" ht="14.4">
      <c r="A20" s="1593" t="s">
        <v>1212</v>
      </c>
      <c r="B20" s="98">
        <v>3</v>
      </c>
      <c r="C20" s="2553" t="s">
        <v>2298</v>
      </c>
      <c r="D20" s="2444"/>
      <c r="E20" s="2432"/>
      <c r="F20" s="3386" t="s">
        <v>3502</v>
      </c>
      <c r="G20" s="3386"/>
      <c r="H20" s="3144"/>
      <c r="I20" s="3158" t="s">
        <v>3495</v>
      </c>
      <c r="J20" s="3158" t="s">
        <v>3495</v>
      </c>
      <c r="K20" s="2442"/>
      <c r="L20" s="2442"/>
      <c r="M20" s="3168" t="s">
        <v>3923</v>
      </c>
      <c r="N20" s="2441">
        <v>0.9</v>
      </c>
      <c r="O20" s="2441"/>
      <c r="P20" s="2441"/>
      <c r="Q20" s="2441"/>
      <c r="R20" s="2441"/>
      <c r="S20" s="2441"/>
      <c r="T20" s="2441"/>
      <c r="U20" s="3172" t="s">
        <v>3765</v>
      </c>
      <c r="V20" s="2441">
        <v>0.6</v>
      </c>
      <c r="W20" s="2441">
        <f>W19</f>
        <v>8.3999999999999986</v>
      </c>
      <c r="X20" s="2441">
        <f>SUM(面积!H31:H34)</f>
        <v>2869.1099999999997</v>
      </c>
      <c r="Y20" s="2441">
        <f t="shared" si="19"/>
        <v>24100.523999999994</v>
      </c>
      <c r="Z20" s="2441"/>
      <c r="AA20" s="2441"/>
      <c r="AB20" s="2441"/>
      <c r="AC20" s="2441"/>
      <c r="AD20" s="2441"/>
      <c r="AE20" s="2441"/>
      <c r="AF20" s="2441"/>
      <c r="AG20" s="2441"/>
      <c r="AH20" s="3290" t="s">
        <v>3920</v>
      </c>
      <c r="AJ20"/>
      <c r="AK20"/>
      <c r="AL20"/>
      <c r="AM20" s="2441"/>
      <c r="AN20" s="2441"/>
      <c r="AO20" s="2441"/>
      <c r="AP20" s="2441"/>
      <c r="AQ20" s="2441"/>
      <c r="AR20" s="2441"/>
    </row>
    <row r="21" spans="1:44" ht="14.4">
      <c r="A21" s="1594" t="s">
        <v>1213</v>
      </c>
      <c r="B21" s="98">
        <f>B20</f>
        <v>3</v>
      </c>
      <c r="C21" s="2432"/>
      <c r="D21" s="2444"/>
      <c r="E21" s="2432"/>
      <c r="F21" s="3386"/>
      <c r="G21" s="3386"/>
      <c r="H21" s="3169" t="s">
        <v>3503</v>
      </c>
      <c r="I21" s="3159">
        <v>24</v>
      </c>
      <c r="J21" s="3159">
        <v>20</v>
      </c>
      <c r="K21" s="2442"/>
      <c r="L21" s="2442"/>
      <c r="M21" s="3168" t="s">
        <v>3924</v>
      </c>
      <c r="N21" s="2441">
        <f>ROUND((N19+N20)/2,2)</f>
        <v>0.8</v>
      </c>
      <c r="O21" s="2441"/>
      <c r="P21" s="2441"/>
      <c r="Q21" s="2441"/>
      <c r="R21" s="2441"/>
      <c r="S21" s="2441"/>
      <c r="T21" s="2441"/>
      <c r="U21" s="3248" t="s">
        <v>3761</v>
      </c>
      <c r="X21" s="2441">
        <f>SUM(X18:X20)</f>
        <v>7355.8499999999995</v>
      </c>
      <c r="Y21" s="2441">
        <f>SUM(Y18:Y20)</f>
        <v>68704.271999999983</v>
      </c>
      <c r="Z21" s="1616">
        <f>ROUND(Y21/X21,1)</f>
        <v>9.3000000000000007</v>
      </c>
      <c r="AA21" s="2441"/>
      <c r="AB21" s="2441"/>
      <c r="AC21" s="2441"/>
      <c r="AD21" s="2441"/>
      <c r="AE21" s="2441"/>
      <c r="AF21" s="2441"/>
      <c r="AG21" s="2441"/>
      <c r="AH21" s="1401" t="s">
        <v>3910</v>
      </c>
      <c r="AI21" s="1401" t="s">
        <v>3909</v>
      </c>
      <c r="AJ21"/>
      <c r="AK21"/>
      <c r="AL21"/>
      <c r="AM21" s="2441"/>
      <c r="AN21" s="2441"/>
      <c r="AO21" s="2441"/>
      <c r="AP21" s="2441"/>
      <c r="AQ21" s="2441"/>
      <c r="AR21" s="2441"/>
    </row>
    <row r="22" spans="1:44" ht="14.4">
      <c r="A22" s="1593" t="s">
        <v>1214</v>
      </c>
      <c r="B22" s="99">
        <f>B19+B20</f>
        <v>3</v>
      </c>
      <c r="C22" s="2432"/>
      <c r="D22" s="2444"/>
      <c r="E22" s="2432"/>
      <c r="F22" s="3386"/>
      <c r="G22" s="3386"/>
      <c r="H22" s="3169" t="s">
        <v>3504</v>
      </c>
      <c r="I22" s="3159">
        <v>3</v>
      </c>
      <c r="J22" s="3159">
        <v>2</v>
      </c>
      <c r="K22" s="2442"/>
      <c r="L22" s="2442"/>
      <c r="M22" s="2441"/>
      <c r="N22" s="2441"/>
      <c r="O22" s="2441"/>
      <c r="P22" s="2441"/>
      <c r="Q22" s="2441"/>
      <c r="R22" s="2441"/>
      <c r="S22" s="2441"/>
      <c r="T22" s="2441"/>
      <c r="U22" s="3172" t="s">
        <v>3766</v>
      </c>
      <c r="V22" s="2441">
        <v>0.4</v>
      </c>
      <c r="W22" s="1616">
        <f>W18*V22</f>
        <v>4.8000000000000007</v>
      </c>
      <c r="X22" s="2441">
        <f>面积!H22</f>
        <v>1846.41</v>
      </c>
      <c r="Y22" s="2441"/>
      <c r="Z22" s="2441"/>
      <c r="AA22" s="2441"/>
      <c r="AB22" s="2441"/>
      <c r="AC22" s="2441"/>
      <c r="AD22" s="2441"/>
      <c r="AE22" s="2441"/>
      <c r="AF22" s="2441"/>
      <c r="AG22" s="2441"/>
      <c r="AH22"/>
      <c r="AI22" s="1401" t="s">
        <v>3911</v>
      </c>
      <c r="AJ22">
        <v>17</v>
      </c>
      <c r="AK22"/>
      <c r="AL22"/>
      <c r="AM22" s="2441"/>
      <c r="AN22" s="2441"/>
      <c r="AO22" s="2441"/>
      <c r="AP22" s="2441"/>
      <c r="AQ22" s="2441"/>
      <c r="AR22" s="2441"/>
    </row>
    <row r="23" spans="1:44" ht="14.4">
      <c r="A23" s="1594" t="s">
        <v>1215</v>
      </c>
      <c r="B23" s="99">
        <f>B19+B21</f>
        <v>3</v>
      </c>
      <c r="C23" s="2432"/>
      <c r="D23" s="2444"/>
      <c r="E23" s="2432"/>
      <c r="F23" s="3386" t="s">
        <v>3505</v>
      </c>
      <c r="G23" s="3386"/>
      <c r="H23" s="3165" t="s">
        <v>3506</v>
      </c>
      <c r="I23" s="3159">
        <v>57000</v>
      </c>
      <c r="J23" s="3159">
        <v>32000</v>
      </c>
      <c r="K23" s="2442"/>
      <c r="L23" s="2442"/>
      <c r="M23" s="2441"/>
      <c r="N23" s="2441"/>
      <c r="O23" s="2441"/>
      <c r="P23" s="2441"/>
      <c r="Q23" s="2441"/>
      <c r="R23" s="2441"/>
      <c r="S23" s="2441"/>
      <c r="T23" s="2441"/>
      <c r="U23" s="3168" t="s">
        <v>3767</v>
      </c>
      <c r="V23" s="2441"/>
      <c r="W23" s="1616">
        <v>13.5</v>
      </c>
      <c r="X23" s="2441">
        <f>SUM(面积!H35:H48)</f>
        <v>33765.460000000006</v>
      </c>
      <c r="Y23" s="2441"/>
      <c r="Z23" s="2441"/>
      <c r="AA23" s="2441"/>
      <c r="AB23" s="2441"/>
      <c r="AC23" s="2441"/>
      <c r="AD23" s="2441"/>
      <c r="AE23" s="2441"/>
      <c r="AF23" s="2441"/>
      <c r="AG23" s="2441"/>
      <c r="AH23" s="1401" t="s">
        <v>3913</v>
      </c>
      <c r="AI23" s="1401" t="s">
        <v>3912</v>
      </c>
      <c r="AJ23">
        <v>11</v>
      </c>
      <c r="AK23"/>
      <c r="AL23"/>
      <c r="AM23" s="2441"/>
      <c r="AN23" s="2441"/>
      <c r="AO23" s="2441"/>
      <c r="AP23" s="2441"/>
      <c r="AQ23" s="2441"/>
      <c r="AR23" s="2441"/>
    </row>
    <row r="24" spans="1:44" ht="15" thickBot="1">
      <c r="A24" s="1595" t="s">
        <v>1216</v>
      </c>
      <c r="B24" s="100">
        <f>B20-B21</f>
        <v>0</v>
      </c>
      <c r="C24" s="2432"/>
      <c r="D24" s="2444"/>
      <c r="E24" s="2432"/>
      <c r="F24" s="3386"/>
      <c r="G24" s="3386"/>
      <c r="H24" s="3169" t="s">
        <v>3503</v>
      </c>
      <c r="I24" s="3160">
        <v>45000</v>
      </c>
      <c r="J24" s="3160">
        <v>26000</v>
      </c>
      <c r="K24" s="2442"/>
      <c r="L24" s="2442"/>
      <c r="M24" s="2441"/>
      <c r="N24" s="2441"/>
      <c r="O24" s="2441"/>
      <c r="P24" s="2441"/>
      <c r="Q24" s="2441"/>
      <c r="R24" s="2441"/>
      <c r="S24" s="2441"/>
      <c r="T24" s="2441"/>
      <c r="U24" s="3168" t="s">
        <v>3768</v>
      </c>
      <c r="V24" s="2441"/>
      <c r="W24" s="1616">
        <v>1150</v>
      </c>
      <c r="X24" s="2441"/>
      <c r="Y24" s="2441"/>
      <c r="Z24" s="2441"/>
      <c r="AA24" s="2441"/>
      <c r="AB24" s="2441"/>
      <c r="AC24" s="2441"/>
      <c r="AD24" s="2441"/>
      <c r="AE24" s="2441"/>
      <c r="AF24" s="2441"/>
      <c r="AG24" s="2441"/>
      <c r="AH24" s="1401" t="s">
        <v>3914</v>
      </c>
      <c r="AI24" s="1401" t="s">
        <v>3915</v>
      </c>
      <c r="AJ24">
        <v>138</v>
      </c>
      <c r="AK24"/>
      <c r="AL24"/>
      <c r="AM24" s="2441"/>
      <c r="AN24" s="2441"/>
      <c r="AO24" s="2441"/>
      <c r="AP24" s="2441"/>
      <c r="AQ24" s="2441"/>
      <c r="AR24" s="2441"/>
    </row>
    <row r="25" spans="1:44" ht="15" thickBot="1">
      <c r="A25" s="1445"/>
      <c r="B25" s="1538"/>
      <c r="C25" s="2432"/>
      <c r="D25" s="2444"/>
      <c r="E25" s="2432"/>
      <c r="F25" s="3386"/>
      <c r="G25" s="3386"/>
      <c r="H25" s="3169" t="s">
        <v>3504</v>
      </c>
      <c r="I25" s="3160">
        <v>12000</v>
      </c>
      <c r="J25" s="3160">
        <v>6000</v>
      </c>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1401" t="s">
        <v>3917</v>
      </c>
      <c r="AI25" s="1401" t="s">
        <v>3916</v>
      </c>
      <c r="AJ25">
        <v>206</v>
      </c>
      <c r="AK25" s="1401" t="s">
        <v>3918</v>
      </c>
      <c r="AL25"/>
      <c r="AM25" s="2441"/>
      <c r="AN25" s="2441"/>
      <c r="AO25" s="2441"/>
      <c r="AP25" s="2441"/>
      <c r="AQ25" s="2441"/>
      <c r="AR25" s="2441"/>
    </row>
    <row r="26" spans="1:44" ht="15" thickBot="1">
      <c r="A26" s="1558" t="s">
        <v>1217</v>
      </c>
      <c r="B26" s="1596" t="s">
        <v>1218</v>
      </c>
      <c r="C26" s="2445" t="s">
        <v>1219</v>
      </c>
      <c r="D26" s="2444"/>
      <c r="E26" s="2432"/>
      <c r="F26" s="3387" t="s">
        <v>3507</v>
      </c>
      <c r="G26" s="3388" t="s">
        <v>3508</v>
      </c>
      <c r="H26" s="3389"/>
      <c r="I26" s="3161">
        <f t="shared" ref="I26:J26" si="20">I27+I31+I30</f>
        <v>5893</v>
      </c>
      <c r="J26" s="3161">
        <f t="shared" si="20"/>
        <v>4402</v>
      </c>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c r="AI26"/>
      <c r="AJ26"/>
      <c r="AK26"/>
      <c r="AL26"/>
      <c r="AM26" s="2441"/>
      <c r="AN26" s="2441"/>
      <c r="AO26" s="2441"/>
      <c r="AP26" s="2441"/>
      <c r="AQ26" s="2441"/>
      <c r="AR26" s="2441"/>
    </row>
    <row r="27" spans="1:44" ht="28.95" customHeight="1">
      <c r="A27" s="1597" t="s">
        <v>1220</v>
      </c>
      <c r="B27" s="101">
        <v>160</v>
      </c>
      <c r="C27" s="2554" t="s">
        <v>2302</v>
      </c>
      <c r="D27" s="2447"/>
      <c r="E27" s="2433"/>
      <c r="F27" s="3387"/>
      <c r="G27" s="3386" t="s">
        <v>3509</v>
      </c>
      <c r="H27" s="3170" t="s">
        <v>3506</v>
      </c>
      <c r="I27" s="3162">
        <v>3061</v>
      </c>
      <c r="J27" s="3162">
        <v>2273</v>
      </c>
      <c r="K27" s="2442"/>
      <c r="L27" s="2442"/>
      <c r="M27" s="2441"/>
      <c r="N27" s="2441"/>
      <c r="O27" s="2441"/>
      <c r="P27" s="2441"/>
      <c r="Q27" s="2441"/>
      <c r="R27" s="2441"/>
      <c r="S27" s="2441"/>
      <c r="T27" s="2441"/>
      <c r="U27" s="2441"/>
      <c r="V27" s="3168"/>
      <c r="W27" s="3168"/>
      <c r="X27" s="3168"/>
      <c r="Y27" s="2441"/>
      <c r="Z27" s="2441"/>
      <c r="AA27" s="2441"/>
      <c r="AB27" s="2441"/>
      <c r="AC27" s="2441"/>
      <c r="AD27" s="2441"/>
      <c r="AE27" s="2441"/>
      <c r="AF27" s="2441"/>
      <c r="AG27" s="2441"/>
      <c r="AH27"/>
      <c r="AI27" s="1401" t="s">
        <v>3919</v>
      </c>
      <c r="AJ27">
        <f>AJ23+AJ24</f>
        <v>149</v>
      </c>
      <c r="AK27"/>
      <c r="AL27"/>
      <c r="AM27" s="2441"/>
      <c r="AN27" s="2441"/>
      <c r="AO27" s="2441"/>
      <c r="AP27" s="2441"/>
      <c r="AQ27" s="2441"/>
      <c r="AR27" s="2441"/>
    </row>
    <row r="28" spans="1:44" ht="28.8">
      <c r="A28" s="1598" t="s">
        <v>1221</v>
      </c>
      <c r="B28" s="103">
        <v>200</v>
      </c>
      <c r="C28" s="2448"/>
      <c r="D28" s="2447"/>
      <c r="E28" s="2433"/>
      <c r="F28" s="3387"/>
      <c r="G28" s="3386"/>
      <c r="H28" s="3169" t="s">
        <v>3503</v>
      </c>
      <c r="I28" s="3160">
        <v>2440</v>
      </c>
      <c r="J28" s="3160">
        <v>1670</v>
      </c>
      <c r="K28" s="2442">
        <f>'数据-汇总表'!F19+'数据-汇总表'!F21</f>
        <v>41121.310000000005</v>
      </c>
      <c r="L28" s="2442"/>
      <c r="M28" s="2441"/>
      <c r="N28" s="2441"/>
      <c r="O28" s="2441"/>
      <c r="P28" s="2441"/>
      <c r="Q28" s="2441"/>
      <c r="R28" s="2441"/>
      <c r="S28" s="2441"/>
      <c r="T28" s="2441"/>
      <c r="U28" s="3168"/>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9" t="s">
        <v>1222</v>
      </c>
      <c r="B29" s="105">
        <f ca="1">成本法!C10</f>
        <v>1024</v>
      </c>
      <c r="C29" s="2555" t="s">
        <v>2292</v>
      </c>
      <c r="D29" s="2447"/>
      <c r="E29" s="2433"/>
      <c r="F29" s="3387"/>
      <c r="G29" s="3386"/>
      <c r="H29" s="3169" t="s">
        <v>3504</v>
      </c>
      <c r="I29" s="3160">
        <v>5390</v>
      </c>
      <c r="J29" s="3160">
        <v>4887</v>
      </c>
      <c r="K29" s="2442">
        <f>'数据-汇总表'!G20+'数据-汇总表'!G22+'数据-汇总表'!N23</f>
        <v>9673.44</v>
      </c>
      <c r="L29" s="2442"/>
      <c r="M29" s="2441"/>
      <c r="N29" s="2441"/>
      <c r="O29" s="2441"/>
      <c r="P29" s="2441"/>
      <c r="Q29" s="2441"/>
      <c r="R29" s="2441"/>
      <c r="S29" s="2441"/>
      <c r="T29" s="2441"/>
      <c r="U29" s="3172"/>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0" t="s">
        <v>1223</v>
      </c>
      <c r="B30" s="638">
        <v>200</v>
      </c>
      <c r="C30" s="2448"/>
      <c r="D30" s="2447"/>
      <c r="E30" s="2433"/>
      <c r="F30" s="3387"/>
      <c r="G30" s="3390" t="s">
        <v>3510</v>
      </c>
      <c r="H30" s="3390"/>
      <c r="I30" s="3163">
        <v>474</v>
      </c>
      <c r="J30" s="3163">
        <v>569</v>
      </c>
      <c r="K30" s="2442"/>
      <c r="L30" s="2442"/>
      <c r="M30" s="2441"/>
      <c r="N30" s="2441"/>
      <c r="O30" s="2441"/>
      <c r="P30" s="2441"/>
      <c r="Q30" s="2441"/>
      <c r="R30" s="2441"/>
      <c r="S30" s="2441"/>
      <c r="T30" s="2441"/>
      <c r="U30" s="3172"/>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8" t="s">
        <v>1224</v>
      </c>
      <c r="B31" s="104">
        <f>B30-B32</f>
        <v>200</v>
      </c>
      <c r="C31" s="2446"/>
      <c r="D31" s="2447"/>
      <c r="E31" s="2433"/>
      <c r="F31" s="3387"/>
      <c r="G31" s="3391" t="s">
        <v>3511</v>
      </c>
      <c r="H31" s="3391"/>
      <c r="I31" s="3164">
        <v>2358</v>
      </c>
      <c r="J31" s="3164">
        <v>1560</v>
      </c>
      <c r="K31" s="2442"/>
      <c r="L31" s="2442"/>
      <c r="M31" s="2441"/>
      <c r="N31" s="2441"/>
      <c r="O31" s="2441"/>
      <c r="P31" s="2441"/>
      <c r="Q31" s="2441"/>
      <c r="R31" s="2441"/>
      <c r="S31" s="2441"/>
      <c r="T31" s="2441"/>
      <c r="U31" s="3248"/>
      <c r="X31" s="2441"/>
      <c r="Y31" s="2441"/>
      <c r="Z31" s="1616"/>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1" t="s">
        <v>1225</v>
      </c>
      <c r="B32" s="639"/>
      <c r="C32" s="2448"/>
      <c r="D32" s="2444"/>
      <c r="E32" s="2432"/>
      <c r="F32" s="3165"/>
      <c r="G32" s="3165"/>
      <c r="H32" s="3165"/>
      <c r="I32" s="3165"/>
      <c r="J32" s="3165"/>
      <c r="K32" s="2442"/>
      <c r="L32" s="2442"/>
      <c r="M32" s="2441"/>
      <c r="N32" s="2441"/>
      <c r="O32" s="2441"/>
      <c r="P32" s="2441"/>
      <c r="Q32" s="2441"/>
      <c r="R32" s="2441"/>
      <c r="S32" s="2441"/>
      <c r="T32" s="2441"/>
      <c r="U32" s="3172"/>
      <c r="V32" s="2441"/>
      <c r="W32" s="1616"/>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7" t="s">
        <v>1226</v>
      </c>
      <c r="B33" s="640">
        <v>0.08</v>
      </c>
      <c r="C33" s="2556" t="s">
        <v>3384</v>
      </c>
      <c r="D33" s="2444"/>
      <c r="E33" s="2432"/>
      <c r="F33" s="3165"/>
      <c r="G33" s="3171" t="s">
        <v>3512</v>
      </c>
      <c r="H33" s="3165"/>
      <c r="I33" s="3165"/>
      <c r="J33" s="3165"/>
      <c r="K33" s="2442"/>
      <c r="L33" s="2442"/>
      <c r="M33" s="2441"/>
      <c r="N33" s="2441"/>
      <c r="O33" s="2441"/>
      <c r="P33" s="2441"/>
      <c r="Q33" s="2441"/>
      <c r="R33" s="2441"/>
      <c r="S33" s="2441"/>
      <c r="T33" s="2441"/>
      <c r="U33" s="3168"/>
      <c r="V33" s="2441"/>
      <c r="W33" s="1616"/>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8" t="s">
        <v>1227</v>
      </c>
      <c r="B34" s="106">
        <v>0</v>
      </c>
      <c r="C34" s="2556" t="s">
        <v>2293</v>
      </c>
      <c r="D34" s="2452" t="s">
        <v>2299</v>
      </c>
      <c r="E34" s="2450"/>
      <c r="F34" s="3165"/>
      <c r="G34" s="3165"/>
      <c r="H34" s="3165"/>
      <c r="I34" s="3165"/>
      <c r="J34" s="3165"/>
      <c r="K34" s="2442"/>
      <c r="L34" s="2442"/>
      <c r="M34" s="2441"/>
      <c r="N34" s="2441"/>
      <c r="O34" s="2441"/>
      <c r="P34" s="2441"/>
      <c r="Q34" s="2441"/>
      <c r="R34" s="2441"/>
      <c r="S34" s="2441"/>
      <c r="T34" s="2441"/>
      <c r="U34" s="3168"/>
      <c r="V34" s="2441"/>
      <c r="W34" s="1616"/>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8" t="s">
        <v>1228</v>
      </c>
      <c r="B35" s="103">
        <v>200</v>
      </c>
      <c r="C35" s="2556" t="s">
        <v>2294</v>
      </c>
      <c r="D35" s="2447"/>
      <c r="E35" s="2433"/>
      <c r="F35" s="3165"/>
      <c r="G35" s="3171" t="s">
        <v>3513</v>
      </c>
      <c r="H35" s="3165"/>
      <c r="I35" s="3165"/>
      <c r="J35" s="3165"/>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0.02</v>
      </c>
      <c r="C36" s="2556" t="s">
        <v>3402</v>
      </c>
      <c r="D36" s="2444"/>
      <c r="E36" s="2432"/>
      <c r="F36" s="3165"/>
      <c r="G36" s="3171" t="s">
        <v>3514</v>
      </c>
      <c r="H36" s="3165"/>
      <c r="I36" s="3166">
        <f t="shared" ref="I36:J36" si="21">I27/I26</f>
        <v>0.51942983200407267</v>
      </c>
      <c r="J36" s="3166">
        <f t="shared" si="21"/>
        <v>0.516356201726488</v>
      </c>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0" t="s">
        <v>1230</v>
      </c>
      <c r="B37" s="108">
        <v>0.02</v>
      </c>
      <c r="C37" s="2556" t="s">
        <v>3385</v>
      </c>
      <c r="D37" s="2444"/>
      <c r="E37" s="2432"/>
      <c r="F37" s="3165"/>
      <c r="G37" s="3171" t="s">
        <v>3515</v>
      </c>
      <c r="H37" s="3165"/>
      <c r="I37" s="3166">
        <f t="shared" ref="I37:J37" si="22">I30/I26</f>
        <v>8.0434413711182762E-2</v>
      </c>
      <c r="J37" s="3166">
        <f t="shared" si="22"/>
        <v>0.12925942753293956</v>
      </c>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8" t="s">
        <v>1231</v>
      </c>
      <c r="B38" s="106">
        <v>0.02</v>
      </c>
      <c r="C38" s="2556" t="s">
        <v>3386</v>
      </c>
      <c r="D38" s="2444"/>
      <c r="E38" s="2432"/>
      <c r="F38" s="3165"/>
      <c r="G38" s="3171" t="s">
        <v>3516</v>
      </c>
      <c r="H38" s="3165"/>
      <c r="I38" s="3166">
        <f t="shared" ref="I38:J38" si="23">I31/I26</f>
        <v>0.40013575428474463</v>
      </c>
      <c r="J38" s="3166">
        <f t="shared" si="23"/>
        <v>0.35438437074057244</v>
      </c>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1" t="s">
        <v>1232</v>
      </c>
      <c r="B39" s="309">
        <f ca="1">存贷款利率!I1</f>
        <v>1.4999999999999999E-2</v>
      </c>
      <c r="C39" s="2449"/>
      <c r="D39" s="2444"/>
      <c r="E39" s="2432"/>
      <c r="F39" s="3165"/>
      <c r="G39" s="3171" t="s">
        <v>3517</v>
      </c>
      <c r="H39" s="3165"/>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5" t="s">
        <v>2308</v>
      </c>
      <c r="B40" s="1012">
        <f ca="1">IF(A40="利息：取LPR",存贷款利率!G1,存贷款利率!G1+C40)</f>
        <v>3.1E-2</v>
      </c>
      <c r="C40" s="2564">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7"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2"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2" t="s">
        <v>1235</v>
      </c>
      <c r="B43" s="111">
        <f>B42*(B44+B45+B46)+B47</f>
        <v>6.000000000000001E-3</v>
      </c>
      <c r="C43" s="2446"/>
      <c r="D43" s="3167" t="s">
        <v>3496</v>
      </c>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3" t="s">
        <v>1236</v>
      </c>
      <c r="B44" s="112">
        <v>7.0000000000000007E-2</v>
      </c>
      <c r="C44" s="2556" t="s">
        <v>3387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3" t="s">
        <v>1237</v>
      </c>
      <c r="B45" s="110">
        <v>0.03</v>
      </c>
      <c r="C45" s="2555"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3" t="s">
        <v>1238</v>
      </c>
      <c r="B46" s="110">
        <v>0.02</v>
      </c>
      <c r="C46" s="2555"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8" t="s">
        <v>2303</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5" t="s">
        <v>1240</v>
      </c>
      <c r="B48" s="114">
        <v>0.03</v>
      </c>
      <c r="C48" s="2555"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5"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6"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6" t="s">
        <v>1244</v>
      </c>
      <c r="B52" s="117">
        <f>SUMIF(A54:A63,B53,B54:B63)</f>
        <v>24</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8" t="s">
        <v>1245</v>
      </c>
      <c r="B53" s="1607" t="s">
        <v>184</v>
      </c>
      <c r="C53" s="2433" t="s">
        <v>1246</v>
      </c>
      <c r="D53" s="2557"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8"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8" t="s">
        <v>1248</v>
      </c>
      <c r="B55" s="72">
        <f>C55</f>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8"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8"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8"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8"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8"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8"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8"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mergeCells count="8">
    <mergeCell ref="F19:H19"/>
    <mergeCell ref="F20:G22"/>
    <mergeCell ref="F23:G25"/>
    <mergeCell ref="F26:F31"/>
    <mergeCell ref="G26:H26"/>
    <mergeCell ref="G27:G29"/>
    <mergeCell ref="G30:H30"/>
    <mergeCell ref="G31:H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8" customWidth="1"/>
    <col min="19" max="29" width="9" style="748"/>
    <col min="30" max="16384" width="9" style="1518"/>
  </cols>
  <sheetData>
    <row r="1" spans="1:29" s="2253" customFormat="1" ht="18" thickBot="1">
      <c r="A1" s="3392" t="s">
        <v>2284</v>
      </c>
      <c r="B1" s="3393"/>
      <c r="C1" s="3393"/>
      <c r="D1" s="3393"/>
      <c r="E1" s="3393"/>
      <c r="F1" s="3393"/>
      <c r="G1" s="339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2279</v>
      </c>
      <c r="D2" s="1591"/>
      <c r="E2" s="2254"/>
      <c r="F2" s="2257"/>
      <c r="G2" s="2256" t="s">
        <v>2280</v>
      </c>
      <c r="H2" s="748"/>
      <c r="I2" s="748"/>
      <c r="J2" s="748"/>
      <c r="K2" s="748"/>
      <c r="L2" s="748"/>
      <c r="M2" s="748"/>
      <c r="N2" s="748"/>
      <c r="O2" s="748"/>
      <c r="P2" s="748"/>
      <c r="Q2" s="748"/>
    </row>
    <row r="3" spans="1:29" ht="48">
      <c r="A3" s="2241" t="s">
        <v>2281</v>
      </c>
      <c r="B3" s="2258" t="s">
        <v>2252</v>
      </c>
      <c r="C3" s="2259" t="s">
        <v>2282</v>
      </c>
      <c r="D3" s="2260"/>
      <c r="E3" s="2242" t="s">
        <v>2281</v>
      </c>
      <c r="F3" s="2261" t="s">
        <v>2253</v>
      </c>
      <c r="G3" s="2262" t="s">
        <v>2283</v>
      </c>
      <c r="H3" s="748"/>
      <c r="I3" s="748"/>
      <c r="J3" s="748"/>
      <c r="K3" s="748"/>
      <c r="L3" s="748"/>
      <c r="M3" s="748"/>
      <c r="N3" s="748"/>
      <c r="O3" s="748"/>
      <c r="P3" s="748"/>
      <c r="Q3" s="748"/>
    </row>
    <row r="4" spans="1:29" ht="37.200000000000003">
      <c r="A4" s="2242"/>
      <c r="B4" s="315" t="s">
        <v>2254</v>
      </c>
      <c r="C4" s="2263" t="s">
        <v>2255</v>
      </c>
      <c r="D4" s="2260"/>
      <c r="E4" s="2264"/>
      <c r="F4" s="1277" t="s">
        <v>2256</v>
      </c>
      <c r="G4" s="2265" t="s">
        <v>2257</v>
      </c>
      <c r="H4" s="748"/>
      <c r="I4" s="748"/>
      <c r="J4" s="748"/>
      <c r="K4" s="748"/>
      <c r="L4" s="748"/>
      <c r="M4" s="748"/>
      <c r="N4" s="748"/>
      <c r="O4" s="748"/>
      <c r="P4" s="748"/>
      <c r="Q4" s="748"/>
    </row>
    <row r="5" spans="1:29" ht="48">
      <c r="A5" s="2242"/>
      <c r="B5" s="315" t="s">
        <v>2258</v>
      </c>
      <c r="C5" s="3220" t="s">
        <v>3783</v>
      </c>
      <c r="D5" s="2260"/>
      <c r="E5" s="2264"/>
      <c r="F5" s="315" t="s">
        <v>2259</v>
      </c>
      <c r="G5" s="2265" t="s">
        <v>2260</v>
      </c>
      <c r="H5" s="748"/>
      <c r="I5" s="748"/>
      <c r="J5" s="748"/>
      <c r="K5" s="748"/>
      <c r="L5" s="748"/>
      <c r="M5" s="748"/>
      <c r="N5" s="748"/>
      <c r="O5" s="748"/>
      <c r="P5" s="748"/>
      <c r="Q5" s="748"/>
    </row>
    <row r="6" spans="1:29" ht="72">
      <c r="A6" s="2242"/>
      <c r="B6" s="315" t="s">
        <v>2261</v>
      </c>
      <c r="C6" s="3221" t="s">
        <v>3782</v>
      </c>
      <c r="D6" s="2260"/>
      <c r="E6" s="2264"/>
      <c r="F6" s="315" t="s">
        <v>2262</v>
      </c>
      <c r="G6" s="2265" t="s">
        <v>2263</v>
      </c>
      <c r="H6" s="748"/>
      <c r="I6" s="748"/>
      <c r="J6" s="748"/>
      <c r="K6" s="748"/>
      <c r="L6" s="748"/>
      <c r="M6" s="748"/>
      <c r="N6" s="748"/>
      <c r="O6" s="748"/>
      <c r="P6" s="748"/>
      <c r="Q6" s="748"/>
    </row>
    <row r="7" spans="1:29" ht="120.6" thickBot="1">
      <c r="A7" s="2242"/>
      <c r="B7" s="315" t="s">
        <v>2259</v>
      </c>
      <c r="C7" s="3221" t="s">
        <v>3781</v>
      </c>
      <c r="D7" s="2239"/>
      <c r="E7" s="2266"/>
      <c r="F7" s="2267" t="s">
        <v>2264</v>
      </c>
      <c r="G7" s="2268" t="s">
        <v>2265</v>
      </c>
      <c r="H7" s="748"/>
      <c r="I7" s="748"/>
      <c r="J7" s="748"/>
      <c r="K7" s="748"/>
      <c r="L7" s="748"/>
      <c r="M7" s="748"/>
      <c r="N7" s="748"/>
      <c r="O7" s="748"/>
      <c r="P7" s="748"/>
      <c r="Q7" s="748"/>
    </row>
    <row r="8" spans="1:29" ht="24">
      <c r="A8" s="2242"/>
      <c r="B8" s="315" t="s">
        <v>2262</v>
      </c>
      <c r="C8" s="3221" t="s">
        <v>3784</v>
      </c>
      <c r="D8" s="2239"/>
      <c r="E8" s="2239"/>
      <c r="F8" s="121"/>
      <c r="G8" s="121"/>
      <c r="H8" s="748"/>
      <c r="I8" s="748"/>
      <c r="J8" s="748"/>
      <c r="K8" s="748"/>
      <c r="L8" s="748"/>
      <c r="M8" s="748"/>
      <c r="N8" s="748"/>
      <c r="O8" s="748"/>
      <c r="P8" s="748"/>
      <c r="Q8" s="748"/>
    </row>
    <row r="9" spans="1:29" ht="108">
      <c r="A9" s="2242"/>
      <c r="B9" s="315" t="s">
        <v>2266</v>
      </c>
      <c r="C9" s="3220" t="s">
        <v>3780</v>
      </c>
      <c r="D9" s="2260"/>
      <c r="E9" s="2239"/>
      <c r="F9" s="121"/>
      <c r="G9" s="121"/>
      <c r="H9" s="748"/>
      <c r="I9" s="748"/>
      <c r="J9" s="748"/>
      <c r="K9" s="748"/>
      <c r="L9" s="748"/>
      <c r="M9" s="748"/>
      <c r="N9" s="748"/>
      <c r="O9" s="748"/>
      <c r="P9" s="748"/>
      <c r="Q9" s="748"/>
    </row>
    <row r="10" spans="1:29" ht="14.4" thickBot="1">
      <c r="A10" s="2243"/>
      <c r="B10" s="2269" t="s">
        <v>2267</v>
      </c>
      <c r="C10" s="3222" t="s">
        <v>3785</v>
      </c>
      <c r="D10" s="2260"/>
      <c r="E10" s="2260"/>
      <c r="F10" s="121"/>
      <c r="G10" s="121"/>
      <c r="J10" s="2271"/>
      <c r="M10" s="2271"/>
      <c r="P10" s="2271"/>
      <c r="R10" s="2270"/>
    </row>
    <row r="11" spans="1:29">
      <c r="A11" s="2272"/>
      <c r="B11" s="2239"/>
      <c r="C11" s="2260"/>
      <c r="D11" s="2260"/>
      <c r="E11" s="2260"/>
      <c r="F11" s="2239"/>
      <c r="G11" s="2239"/>
      <c r="J11" s="2271"/>
      <c r="M11" s="2271"/>
      <c r="P11" s="2271"/>
      <c r="R11" s="2270"/>
    </row>
    <row r="12" spans="1:29" s="2253" customFormat="1" ht="17.399999999999999">
      <c r="A12" s="2272"/>
      <c r="B12" s="2239"/>
      <c r="C12" s="2260"/>
      <c r="D12" s="2273"/>
      <c r="E12" s="2260"/>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 thickBot="1">
      <c r="A13" s="2277" t="s">
        <v>2285</v>
      </c>
      <c r="B13" s="2273"/>
      <c r="C13" s="2273"/>
      <c r="D13" s="2272"/>
      <c r="E13" s="2273"/>
      <c r="F13" s="2273"/>
      <c r="G13" s="2273"/>
    </row>
    <row r="14" spans="1:29" ht="14.4" thickBot="1">
      <c r="A14" s="2278"/>
      <c r="B14" s="2278"/>
      <c r="C14" s="2279" t="s">
        <v>2268</v>
      </c>
      <c r="D14" s="2260"/>
      <c r="E14" s="2280"/>
      <c r="F14" s="2280"/>
      <c r="G14" s="2256" t="s">
        <v>2269</v>
      </c>
    </row>
    <row r="15" spans="1:29" ht="52.8">
      <c r="A15" s="2244" t="s">
        <v>2270</v>
      </c>
      <c r="B15" s="2281" t="s">
        <v>2252</v>
      </c>
      <c r="C15" s="2282" t="str">
        <f>C3</f>
        <v>估价对象周边居住用地比例、居住小区规模和社区发展完善程度，综合评价居住社区成熟度一般</v>
      </c>
      <c r="D15" s="2260"/>
      <c r="E15" s="2245" t="s">
        <v>2271</v>
      </c>
      <c r="F15" s="2281" t="s">
        <v>2272</v>
      </c>
      <c r="G15" s="2283" t="str">
        <f>G3</f>
        <v>估价对象位于XX开发区，园区建设成熟度XX，产业集聚程度XX</v>
      </c>
    </row>
    <row r="16" spans="1:29" ht="39.6">
      <c r="A16" s="2246"/>
      <c r="B16" s="2284" t="s">
        <v>2254</v>
      </c>
      <c r="C16" s="2285" t="str">
        <f>C4</f>
        <v>估价对象位于XX商圈，周边商业氛围成熟，人流量大，商业繁华度好</v>
      </c>
      <c r="D16" s="2260"/>
      <c r="E16" s="2247"/>
      <c r="F16" s="2286" t="s">
        <v>2256</v>
      </c>
      <c r="G16" s="2287" t="str">
        <f>G4</f>
        <v>估价对象周边道路状况、公共交通通达情况、停车便捷程度，综合评价交通便捷度较好</v>
      </c>
    </row>
    <row r="17" spans="1:17" ht="52.8">
      <c r="A17" s="2246"/>
      <c r="B17" s="2284" t="s">
        <v>2258</v>
      </c>
      <c r="C17" s="2285" t="str">
        <f>C5</f>
        <v>估价对象位于西二环内，周边有国投金融大厦、新时代大厦、富通大厦等办公项目，办公集聚程度较好</v>
      </c>
      <c r="D17" s="2239"/>
      <c r="E17" s="2247"/>
      <c r="F17" s="2286" t="s">
        <v>2273</v>
      </c>
      <c r="G17" s="2288"/>
    </row>
    <row r="18" spans="1:17" ht="79.2">
      <c r="A18" s="2246"/>
      <c r="B18" s="2286" t="s">
        <v>2261</v>
      </c>
      <c r="C18" s="2287" t="str">
        <f>C6</f>
        <v>估价对象紧邻城市快速路——西二环，周边有4、107、118、21、80等多条公交线路，距地铁2号线、6号线车公庄站约197米，项目内有停车位，交通便捷度较好</v>
      </c>
      <c r="D18" s="2239"/>
      <c r="E18" s="2247"/>
      <c r="F18" s="2286" t="s">
        <v>2264</v>
      </c>
      <c r="G18" s="2287" t="str">
        <f>G7</f>
        <v>该园区内是否有污染型企业，绿化情况，卫生条件，整体环境状况判断</v>
      </c>
    </row>
    <row r="19" spans="1:17" ht="26.4">
      <c r="A19" s="2246"/>
      <c r="B19" s="2286" t="s">
        <v>2274</v>
      </c>
      <c r="C19" s="2288"/>
      <c r="D19" s="2260"/>
      <c r="E19" s="2247"/>
      <c r="F19" s="315" t="s">
        <v>2259</v>
      </c>
      <c r="G19" s="2287" t="str">
        <f>G5</f>
        <v>估价对象所在区域公共配套设施齐备情况</v>
      </c>
    </row>
    <row r="20" spans="1:17" ht="118.8">
      <c r="A20" s="2246"/>
      <c r="B20" s="2286" t="s">
        <v>2275</v>
      </c>
      <c r="C20" s="2285" t="str">
        <f>C9</f>
        <v>区域自然环境：官园公园、顺城公园、月坛公园；人文环境：中国地质博物馆、白塔寺博物馆、八国联军火烧端郡王府遗址、外交学院（展览路校区）、北京建筑大学、北京交通大学（东校区）；综合评价环境状况较好</v>
      </c>
      <c r="D20" s="2239"/>
      <c r="E20" s="2247"/>
      <c r="F20" s="315" t="s">
        <v>2262</v>
      </c>
      <c r="G20" s="2287" t="str">
        <f>G6</f>
        <v>估价对象所在区域基础设施水平</v>
      </c>
    </row>
    <row r="21" spans="1:17" ht="132">
      <c r="A21" s="2246"/>
      <c r="B21" s="315" t="s">
        <v>2259</v>
      </c>
      <c r="C21" s="2287"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260"/>
      <c r="E21" s="2247"/>
      <c r="F21" s="2286" t="s">
        <v>2276</v>
      </c>
      <c r="G21" s="2289"/>
    </row>
    <row r="22" spans="1:17" ht="13.5" customHeight="1">
      <c r="A22" s="2246"/>
      <c r="B22" s="315" t="s">
        <v>2262</v>
      </c>
      <c r="C22" s="2287" t="str">
        <f>C8</f>
        <v>估价对象所在区域基础设施水平：七通</v>
      </c>
      <c r="D22" s="2260"/>
      <c r="E22" s="2247"/>
      <c r="F22" s="2286" t="s">
        <v>2267</v>
      </c>
      <c r="G22" s="2288"/>
    </row>
    <row r="23" spans="1:17" s="748" customFormat="1" ht="14.4" thickBot="1">
      <c r="A23" s="2246"/>
      <c r="B23" s="2286" t="s">
        <v>2276</v>
      </c>
      <c r="C23" s="2289"/>
      <c r="D23" s="1610"/>
      <c r="E23" s="2248"/>
      <c r="F23" s="2290" t="s">
        <v>2277</v>
      </c>
      <c r="G23" s="2291"/>
      <c r="H23" s="2270"/>
      <c r="I23" s="2270"/>
      <c r="J23" s="2270"/>
      <c r="K23" s="2270"/>
      <c r="L23" s="2270"/>
      <c r="M23" s="2270"/>
      <c r="N23" s="2270"/>
      <c r="O23" s="2270"/>
      <c r="P23" s="2270"/>
      <c r="Q23" s="2270"/>
    </row>
    <row r="24" spans="1:17" s="748" customFormat="1" ht="14.4" thickBot="1">
      <c r="A24" s="2249"/>
      <c r="B24" s="2290" t="s">
        <v>2278</v>
      </c>
      <c r="C24" s="2292" t="str">
        <f>C10</f>
        <v>城市快速路——西二环</v>
      </c>
      <c r="D24" s="1610"/>
      <c r="E24" s="2239"/>
      <c r="F24" s="2239"/>
      <c r="G24" s="2239"/>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51206.530000000006</v>
      </c>
      <c r="C1" s="2454"/>
      <c r="D1" s="2454"/>
      <c r="E1" s="2454"/>
      <c r="F1" s="2454"/>
      <c r="G1" s="2455"/>
      <c r="H1" s="2455"/>
      <c r="I1" s="2455"/>
      <c r="J1" s="2455"/>
      <c r="K1" s="2455"/>
    </row>
    <row r="2" spans="1:11" ht="16.2">
      <c r="A2" s="2293" t="s">
        <v>653</v>
      </c>
      <c r="B2" s="2293">
        <f>SUM(C14:C23)</f>
        <v>6088.55</v>
      </c>
      <c r="C2" s="2454"/>
      <c r="D2" s="2454"/>
      <c r="E2" s="2454"/>
      <c r="F2" s="2454"/>
      <c r="G2" s="2455"/>
      <c r="H2" s="2455"/>
      <c r="I2" s="2455"/>
      <c r="J2" s="2455"/>
      <c r="K2" s="2455"/>
    </row>
    <row r="3" spans="1:11" ht="15.6">
      <c r="A3" s="2293" t="s">
        <v>662</v>
      </c>
      <c r="B3" s="2295">
        <f>项目基本情况!D3</f>
        <v>45734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330646</v>
      </c>
      <c r="C5" s="2293">
        <f ca="1">IF(B5=D14,结果表!H102,ROUND(B5*10000/$B$1,0))</f>
        <v>64571</v>
      </c>
      <c r="D5" s="2293">
        <f ca="1">ROUND(B5*10000/$B$2,0)</f>
        <v>543062</v>
      </c>
      <c r="E5" s="2454"/>
      <c r="F5" s="2455"/>
      <c r="G5" s="2455"/>
      <c r="H5" s="2455"/>
      <c r="I5" s="2455"/>
      <c r="J5" s="2455"/>
      <c r="K5" s="2455"/>
    </row>
    <row r="6" spans="1:11" ht="15.6">
      <c r="A6" s="2293" t="s">
        <v>656</v>
      </c>
      <c r="B6" s="2293">
        <f ca="1">SUM(G14:G23)</f>
        <v>330646</v>
      </c>
      <c r="C6" s="2293">
        <f ca="1">IF(B6=G14,结果表!H108,ROUND(B6*10000/$B$1,0))</f>
        <v>64571</v>
      </c>
      <c r="D6" s="2293">
        <f ca="1">ROUND(B6*10000/$B$2,0)</f>
        <v>543062</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 ca="1">SUM(I14:I23)</f>
        <v>297102</v>
      </c>
      <c r="C8" s="2293">
        <f ca="1">IF(B8=I14,结果表!H112,ROUND(B8*10000/$B$1,0))</f>
        <v>24548</v>
      </c>
      <c r="D8" s="2293">
        <f ca="1">ROUND(B8*10000/$B$2,0)</f>
        <v>487968</v>
      </c>
      <c r="E8" s="2454"/>
      <c r="F8" s="2455"/>
      <c r="G8" s="2455"/>
      <c r="H8" s="2455"/>
      <c r="I8" s="2455"/>
      <c r="J8" s="2455"/>
      <c r="K8" s="2455"/>
    </row>
    <row r="9" spans="1:11" ht="15.6">
      <c r="A9" s="2293" t="s">
        <v>655</v>
      </c>
      <c r="B9" s="1240"/>
      <c r="C9" s="2454"/>
      <c r="D9" s="2454"/>
      <c r="E9" s="2454"/>
      <c r="F9" s="2455"/>
      <c r="G9" s="2455"/>
      <c r="H9" s="2455"/>
      <c r="I9" s="2455"/>
      <c r="J9" s="2455"/>
      <c r="K9" s="2455"/>
    </row>
    <row r="10" spans="1:11" ht="15.6">
      <c r="A10" s="2293" t="s">
        <v>654</v>
      </c>
      <c r="B10" s="2293">
        <f>IF(E10="",0,ROUND(B1*(E10*365/G10)/10000,0))</f>
        <v>0</v>
      </c>
      <c r="C10" s="2293" t="s">
        <v>3354</v>
      </c>
      <c r="D10" s="2293" t="s">
        <v>3355</v>
      </c>
      <c r="E10" s="3127"/>
      <c r="F10" s="3131" t="s">
        <v>3356</v>
      </c>
      <c r="G10" s="3128"/>
      <c r="H10" s="2455"/>
      <c r="I10" s="2455"/>
      <c r="J10" s="2455"/>
      <c r="K10" s="2455"/>
    </row>
    <row r="11" spans="1:11" ht="15.6">
      <c r="A11" s="2293" t="s">
        <v>670</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结果表!B118</f>
        <v>51206.530000000006</v>
      </c>
      <c r="C14" s="2299">
        <f>结果表!C118</f>
        <v>6088.55</v>
      </c>
      <c r="D14" s="2299">
        <f ca="1">结果表!H118</f>
        <v>330646</v>
      </c>
      <c r="E14" s="2299">
        <f ca="1">结果表!I118</f>
        <v>64571</v>
      </c>
      <c r="F14" s="2299">
        <f ca="1">ROUND(D14*10000/C14,0)</f>
        <v>543062</v>
      </c>
      <c r="G14" s="2299">
        <f ca="1">结果表!H107</f>
        <v>330646</v>
      </c>
      <c r="H14" s="2299"/>
      <c r="I14" s="2299">
        <f ca="1">结果表!R59</f>
        <v>297102</v>
      </c>
      <c r="J14" s="2455"/>
      <c r="K14" s="2455"/>
    </row>
    <row r="15" spans="1:11" ht="15.6">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5.6">
      <c r="A16" s="2298" t="s">
        <v>648</v>
      </c>
      <c r="B16" s="2300"/>
      <c r="C16" s="2300"/>
      <c r="D16" s="2300"/>
      <c r="E16" s="2299" t="e">
        <f t="shared" si="0"/>
        <v>#DIV/0!</v>
      </c>
      <c r="F16" s="2299" t="e">
        <f t="shared" si="1"/>
        <v>#DIV/0!</v>
      </c>
      <c r="G16" s="1240"/>
      <c r="H16" s="1240"/>
      <c r="I16" s="2300"/>
      <c r="J16" s="2455"/>
      <c r="K16" s="2455"/>
    </row>
    <row r="17" spans="1:11" ht="15.6">
      <c r="A17" s="2298" t="s">
        <v>647</v>
      </c>
      <c r="B17" s="2300"/>
      <c r="C17" s="2300"/>
      <c r="D17" s="2300"/>
      <c r="E17" s="2299" t="e">
        <f t="shared" si="0"/>
        <v>#DIV/0!</v>
      </c>
      <c r="F17" s="2299" t="e">
        <f t="shared" si="1"/>
        <v>#DIV/0!</v>
      </c>
      <c r="G17" s="1240"/>
      <c r="H17" s="1240"/>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Normal="100" zoomScaleSheetLayoutView="100" zoomScalePageLayoutView="80" workbookViewId="0">
      <selection activeCell="F116" sqref="F116:G116"/>
    </sheetView>
  </sheetViews>
  <sheetFormatPr defaultColWidth="12.6640625" defaultRowHeight="21.75" customHeight="1"/>
  <cols>
    <col min="1" max="2" width="12.6640625" style="1557"/>
    <col min="3" max="4" width="12.6640625" style="1557" customWidth="1"/>
    <col min="5" max="9" width="12.6640625" style="1557"/>
    <col min="10" max="10" width="12.6640625" style="684" customWidth="1"/>
    <col min="11" max="11" width="15.88671875" style="684" customWidth="1"/>
    <col min="12" max="12" width="12.6640625" style="684"/>
    <col min="13" max="13" width="14.109375" style="684" bestFit="1" customWidth="1"/>
    <col min="14" max="26" width="12.6640625" style="684"/>
    <col min="27" max="35" width="12.6640625" style="1619"/>
    <col min="36" max="16384" width="12.6640625" style="1557"/>
  </cols>
  <sheetData>
    <row r="1" spans="1:12" ht="21.75" customHeight="1" thickBot="1">
      <c r="A1" s="1517" t="s">
        <v>1262</v>
      </c>
      <c r="B1" s="646"/>
      <c r="C1" s="1616"/>
      <c r="D1" s="646"/>
      <c r="E1" s="646"/>
      <c r="F1" s="1617" t="s">
        <v>1263</v>
      </c>
      <c r="G1" s="1449" t="s">
        <v>3411</v>
      </c>
      <c r="H1" s="1617" t="str">
        <f>IF(G1="现房","——","估价对象范围")</f>
        <v>——</v>
      </c>
      <c r="I1" s="1618"/>
    </row>
    <row r="2" spans="1:12" ht="21.75" customHeight="1" thickBot="1">
      <c r="A2" s="3428" t="str">
        <f>项目基本情况!S2</f>
        <v>北京市西城区平安里西大街28号楼1层101等[34]套房地产</v>
      </c>
      <c r="B2" s="3429"/>
      <c r="C2" s="3429"/>
      <c r="D2" s="3429"/>
      <c r="E2" s="3429"/>
      <c r="F2" s="3429"/>
      <c r="G2" s="3429"/>
      <c r="H2" s="3429"/>
      <c r="I2" s="3430"/>
    </row>
    <row r="3" spans="1:12" ht="13.2">
      <c r="A3" s="3432" t="s">
        <v>1264</v>
      </c>
      <c r="B3" s="3433"/>
      <c r="C3" s="3433"/>
      <c r="D3" s="3433"/>
      <c r="E3" s="3433"/>
      <c r="F3" s="3433"/>
      <c r="G3" s="3433"/>
      <c r="H3" s="3433"/>
      <c r="I3" s="3433"/>
    </row>
    <row r="4" spans="1:12" ht="14.4">
      <c r="A4" s="1620" t="s">
        <v>1265</v>
      </c>
      <c r="B4" s="1621" t="s">
        <v>1266</v>
      </c>
      <c r="C4" s="1622" t="s">
        <v>3659</v>
      </c>
      <c r="D4" s="1622" t="s">
        <v>3537</v>
      </c>
      <c r="E4" s="3434" t="s">
        <v>1267</v>
      </c>
      <c r="F4" s="3435"/>
      <c r="G4" s="3435"/>
      <c r="H4" s="3435"/>
      <c r="I4" s="34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408" t="s">
        <v>1268</v>
      </c>
      <c r="B5" s="3395">
        <v>25</v>
      </c>
      <c r="C5" s="3411"/>
      <c r="D5" s="3431"/>
      <c r="E5" s="123" t="s">
        <v>1269</v>
      </c>
      <c r="F5" s="1623"/>
      <c r="G5" s="1623"/>
      <c r="H5" s="1623"/>
      <c r="I5" s="1277"/>
    </row>
    <row r="6" spans="1:12" ht="13.2">
      <c r="A6" s="3408"/>
      <c r="B6" s="3395"/>
      <c r="C6" s="3412"/>
      <c r="D6" s="3431"/>
      <c r="E6" s="123" t="s">
        <v>1270</v>
      </c>
      <c r="F6" s="1623"/>
      <c r="G6" s="1623"/>
      <c r="H6" s="1623"/>
      <c r="I6" s="1277"/>
    </row>
    <row r="7" spans="1:12" ht="13.2">
      <c r="A7" s="3408"/>
      <c r="B7" s="3395"/>
      <c r="C7" s="3413"/>
      <c r="D7" s="3431"/>
      <c r="E7" s="123" t="s">
        <v>1271</v>
      </c>
      <c r="F7" s="1623"/>
      <c r="G7" s="1623"/>
      <c r="H7" s="1623"/>
      <c r="I7" s="1277"/>
    </row>
    <row r="8" spans="1:12" ht="13.2">
      <c r="A8" s="3408" t="s">
        <v>1272</v>
      </c>
      <c r="B8" s="3395">
        <v>15</v>
      </c>
      <c r="C8" s="3411"/>
      <c r="D8" s="3431"/>
      <c r="E8" s="123" t="s">
        <v>1273</v>
      </c>
      <c r="F8" s="1623"/>
      <c r="G8" s="1623"/>
      <c r="H8" s="1623"/>
      <c r="I8" s="1277"/>
    </row>
    <row r="9" spans="1:12" ht="13.2">
      <c r="A9" s="3408"/>
      <c r="B9" s="3395"/>
      <c r="C9" s="3413"/>
      <c r="D9" s="3431"/>
      <c r="E9" s="123" t="s">
        <v>1274</v>
      </c>
      <c r="F9" s="1623"/>
      <c r="G9" s="1623"/>
      <c r="H9" s="1623"/>
      <c r="I9" s="1277"/>
    </row>
    <row r="10" spans="1:12" ht="13.2">
      <c r="A10" s="3408" t="s">
        <v>1275</v>
      </c>
      <c r="B10" s="3395">
        <v>15</v>
      </c>
      <c r="C10" s="3411"/>
      <c r="D10" s="3431"/>
      <c r="E10" s="123" t="s">
        <v>1276</v>
      </c>
      <c r="F10" s="1623"/>
      <c r="G10" s="1623"/>
      <c r="H10" s="1623"/>
      <c r="I10" s="1277"/>
    </row>
    <row r="11" spans="1:12" ht="13.2">
      <c r="A11" s="3408"/>
      <c r="B11" s="3395"/>
      <c r="C11" s="3413"/>
      <c r="D11" s="3431"/>
      <c r="E11" s="123" t="s">
        <v>1277</v>
      </c>
      <c r="F11" s="1623"/>
      <c r="G11" s="1623"/>
      <c r="H11" s="1623"/>
      <c r="I11" s="1277"/>
    </row>
    <row r="12" spans="1:12" ht="13.2">
      <c r="A12" s="3408" t="s">
        <v>1278</v>
      </c>
      <c r="B12" s="3395">
        <v>15</v>
      </c>
      <c r="C12" s="3411"/>
      <c r="D12" s="3431"/>
      <c r="E12" s="123" t="s">
        <v>1279</v>
      </c>
      <c r="F12" s="1623"/>
      <c r="G12" s="1623"/>
      <c r="H12" s="1623"/>
      <c r="I12" s="1277"/>
    </row>
    <row r="13" spans="1:12" ht="13.2">
      <c r="A13" s="3408"/>
      <c r="B13" s="3395"/>
      <c r="C13" s="3413"/>
      <c r="D13" s="3431"/>
      <c r="E13" s="123" t="s">
        <v>1280</v>
      </c>
      <c r="F13" s="1623"/>
      <c r="G13" s="1623"/>
      <c r="H13" s="1623"/>
      <c r="I13" s="1277"/>
    </row>
    <row r="14" spans="1:12" ht="13.2">
      <c r="A14" s="3408" t="s">
        <v>1281</v>
      </c>
      <c r="B14" s="3395">
        <v>30</v>
      </c>
      <c r="C14" s="3411">
        <v>7</v>
      </c>
      <c r="D14" s="3431">
        <v>3</v>
      </c>
      <c r="E14" s="123" t="s">
        <v>1282</v>
      </c>
      <c r="F14" s="1623"/>
      <c r="G14" s="1623"/>
      <c r="H14" s="1623"/>
      <c r="I14" s="1277"/>
    </row>
    <row r="15" spans="1:12" ht="13.2">
      <c r="A15" s="3408"/>
      <c r="B15" s="3395"/>
      <c r="C15" s="3412"/>
      <c r="D15" s="3431"/>
      <c r="E15" s="123" t="s">
        <v>1283</v>
      </c>
      <c r="F15" s="1623"/>
      <c r="G15" s="1623"/>
      <c r="H15" s="1623"/>
      <c r="I15" s="1277"/>
    </row>
    <row r="16" spans="1:12" ht="13.2">
      <c r="A16" s="3408"/>
      <c r="B16" s="3395"/>
      <c r="C16" s="3413"/>
      <c r="D16" s="3431"/>
      <c r="E16" s="123" t="s">
        <v>1284</v>
      </c>
      <c r="F16" s="1623"/>
      <c r="G16" s="1623"/>
      <c r="H16" s="1623"/>
      <c r="I16" s="1277"/>
    </row>
    <row r="17" spans="1:36" ht="14.4">
      <c r="A17" s="1624" t="s">
        <v>1285</v>
      </c>
      <c r="B17" s="54"/>
      <c r="C17" s="124">
        <f>SUM(C5:C16)</f>
        <v>7</v>
      </c>
      <c r="D17" s="124">
        <f>SUM(D5:D16)</f>
        <v>3</v>
      </c>
      <c r="E17" s="121"/>
      <c r="F17" s="121"/>
      <c r="G17" s="121"/>
      <c r="H17" s="121"/>
      <c r="I17" s="121"/>
      <c r="K17" s="294"/>
      <c r="L17" s="294" t="s">
        <v>1286</v>
      </c>
      <c r="M17" s="294" t="s">
        <v>1287</v>
      </c>
    </row>
    <row r="18" spans="1:36" ht="31.95" customHeight="1" thickBot="1">
      <c r="A18" s="1625" t="s">
        <v>1288</v>
      </c>
      <c r="B18" s="1538"/>
      <c r="C18" s="125">
        <f>ROUND(C17/SUM(C17:D17),2)</f>
        <v>0.7</v>
      </c>
      <c r="D18" s="125">
        <f>1-C18</f>
        <v>0.30000000000000004</v>
      </c>
      <c r="E18" s="3418" t="s">
        <v>2131</v>
      </c>
      <c r="F18" s="3419"/>
      <c r="G18" s="3419"/>
      <c r="H18" s="3419"/>
      <c r="I18" s="3419"/>
      <c r="K18" s="294" t="s">
        <v>1289</v>
      </c>
      <c r="L18" s="294">
        <f>IF(C1="",'数据-汇总表'!E3,SUMIF(项目类型,C1,'数据-汇总表'!E17:E26)+SUMIF(项目类型,C1,'数据-汇总表'!I17:I26))</f>
        <v>51206.530000000006</v>
      </c>
      <c r="M18" s="294">
        <f>IF(C1="",'数据-汇总表'!E3,SUMIF(项目类型,C1,'数据-汇总表'!E17:E26))</f>
        <v>51206.530000000006</v>
      </c>
    </row>
    <row r="19" spans="1:36" ht="14.4">
      <c r="A19" s="1626" t="s">
        <v>1290</v>
      </c>
      <c r="B19" s="1627" t="s">
        <v>1291</v>
      </c>
      <c r="C19" s="126">
        <f ca="1">SUMIF(INDIRECT("'"&amp;C4&amp;"'"&amp;"!A:A"),结果表!B19,INDIRECT("'"&amp;C4&amp;"'"&amp;"!B:B"))</f>
        <v>367699</v>
      </c>
      <c r="D19" s="127">
        <f ca="1">SUMIF(INDIRECT("'"&amp;D4&amp;"'"&amp;"!A:A"),结果表!B19,INDIRECT("'"&amp;D4&amp;"'"&amp;"!B:B"))</f>
        <v>244183</v>
      </c>
      <c r="E19" s="1626" t="s">
        <v>1292</v>
      </c>
      <c r="F19" s="1627" t="s">
        <v>1291</v>
      </c>
      <c r="G19" s="128">
        <f ca="1">ROUND(C19*$C$18+D19*$D$18,0)</f>
        <v>330644</v>
      </c>
      <c r="H19" s="1628" t="s">
        <v>1293</v>
      </c>
      <c r="I19" s="121"/>
      <c r="K19" s="294" t="s">
        <v>1294</v>
      </c>
      <c r="L19" s="294">
        <f>IF(C1="",'数据-汇总表'!D3,SUMIF(项目类型,C1,'数据-汇总表'!D17:D26)+SUMIF(项目类型,C1,'数据-汇总表'!H17:H27))</f>
        <v>6088.55</v>
      </c>
      <c r="M19" s="294">
        <f>IF(C1="",'数据-汇总表'!D3,SUMIF(项目类型,C1,'数据-汇总表'!D17:D26))</f>
        <v>6088.55</v>
      </c>
    </row>
    <row r="20" spans="1:36" ht="14.4">
      <c r="A20" s="1629"/>
      <c r="B20" s="43" t="s">
        <v>1295</v>
      </c>
      <c r="C20" s="129">
        <f ca="1">SUMIF(INDIRECT("'"&amp;C4&amp;"'"&amp;"!A:A"),结果表!B20,INDIRECT("'"&amp;C4&amp;"'"&amp;"!B:B"))</f>
        <v>71807</v>
      </c>
      <c r="D20" s="130">
        <f ca="1">SUMIF(INDIRECT("'"&amp;D4&amp;"'"&amp;"!A:A"),结果表!B20,INDIRECT("'"&amp;D4&amp;"'"&amp;"!B:B"))</f>
        <v>47686</v>
      </c>
      <c r="E20" s="1629"/>
      <c r="F20" s="43" t="s">
        <v>1295</v>
      </c>
      <c r="G20" s="131">
        <f ca="1">ROUND(C20*$C$18+D20*$D$18,0)</f>
        <v>64571</v>
      </c>
      <c r="H20" s="757" t="s">
        <v>1296</v>
      </c>
      <c r="I20" s="121"/>
    </row>
    <row r="21" spans="1:36" ht="15" customHeight="1" thickBot="1">
      <c r="A21" s="449"/>
      <c r="B21" s="93" t="s">
        <v>1297</v>
      </c>
      <c r="C21" s="678">
        <f ca="1">ROUND(C19*10000/L19,0)</f>
        <v>603919</v>
      </c>
      <c r="D21" s="679">
        <f ca="1">ROUND(D19*10000/L19,0)</f>
        <v>401053</v>
      </c>
      <c r="E21" s="449"/>
      <c r="F21" s="93" t="s">
        <v>1297</v>
      </c>
      <c r="G21" s="132">
        <f ca="1">ROUND(G19*10000/L19,0)</f>
        <v>543059</v>
      </c>
      <c r="H21" s="1630" t="s">
        <v>1296</v>
      </c>
      <c r="I21" s="121"/>
    </row>
    <row r="22" spans="1:36" ht="15" thickBot="1">
      <c r="A22" s="1560" t="s">
        <v>1298</v>
      </c>
      <c r="B22" s="1631"/>
      <c r="C22" s="1632"/>
      <c r="D22" s="680">
        <f ca="1">IF(C19&lt;D19,D19/C19-1,C19/D19-1)</f>
        <v>0.50583373944951115</v>
      </c>
      <c r="E22" s="121"/>
      <c r="F22" s="121"/>
      <c r="G22" s="121"/>
      <c r="H22" s="121"/>
      <c r="I22" s="121"/>
    </row>
    <row r="23" spans="1:36" ht="13.8" thickBot="1">
      <c r="A23" s="646"/>
      <c r="B23" s="646"/>
      <c r="C23" s="646"/>
      <c r="D23" s="646"/>
      <c r="E23" s="121"/>
      <c r="F23" s="121"/>
      <c r="G23" s="121"/>
      <c r="H23" s="121"/>
      <c r="I23" s="121"/>
    </row>
    <row r="24" spans="1:36" ht="14.4">
      <c r="A24" s="3402" t="s">
        <v>1299</v>
      </c>
      <c r="B24" s="1627" t="s">
        <v>1291</v>
      </c>
      <c r="C24" s="128">
        <f>IF(B30=0,0,D30)</f>
        <v>0</v>
      </c>
      <c r="D24" s="1633"/>
      <c r="E24" s="121"/>
      <c r="F24" s="121"/>
      <c r="G24" s="121"/>
      <c r="H24" s="121"/>
      <c r="I24" s="121"/>
    </row>
    <row r="25" spans="1:36" ht="14.4">
      <c r="A25" s="3403"/>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 customHeight="1" thickTop="1" thickBot="1">
      <c r="A31" s="2124"/>
      <c r="B31" s="2125"/>
      <c r="C31" s="2125"/>
      <c r="D31" s="2125"/>
      <c r="E31" s="2125"/>
      <c r="F31" s="2125"/>
      <c r="G31" s="2125"/>
      <c r="H31" s="2125"/>
      <c r="I31" s="2126" t="s">
        <v>2133</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1305</v>
      </c>
      <c r="B32" s="1531"/>
      <c r="C32" s="136">
        <f ca="1">IF(D32="总价",G19-C24,G20-C25)</f>
        <v>64571</v>
      </c>
      <c r="D32" s="1637" t="s">
        <v>3861</v>
      </c>
      <c r="E32" s="121"/>
      <c r="F32" s="121"/>
      <c r="G32" s="121"/>
      <c r="H32" s="121"/>
      <c r="I32" s="121"/>
    </row>
    <row r="33" spans="1:20" ht="14.4">
      <c r="A33" s="737" t="s">
        <v>1306</v>
      </c>
      <c r="B33" s="123"/>
      <c r="C33" s="1638" t="s">
        <v>3860</v>
      </c>
      <c r="D33" s="1639" t="s">
        <v>3537</v>
      </c>
      <c r="E33" s="1640" t="s">
        <v>1307</v>
      </c>
      <c r="F33" s="1641" t="str">
        <f>IF(D32="楼面单价","取值（单价）","取值（总价）")</f>
        <v>取值（单价）</v>
      </c>
      <c r="G33" s="121"/>
      <c r="H33" s="121"/>
      <c r="I33" s="121"/>
    </row>
    <row r="34" spans="1:20" ht="14.4">
      <c r="A34" s="1642"/>
      <c r="B34" s="1643" t="s">
        <v>1308</v>
      </c>
      <c r="C34" s="140">
        <f>IF(C33="自定义",F34,C32-C35)</f>
        <v>0</v>
      </c>
      <c r="D34" s="805">
        <f ca="1">IF(C33="自定义",ROUND(C34/C32,3),IF(C33="收益比率",SUMIF(INDIRECT("'"&amp;D33&amp;"'"&amp;"!b:b"),"土地收益比率",INDIRECT("'"&amp;D33&amp;"'"&amp;"!c:c")),SUMIF(INDIRECT("'"&amp;D33&amp;"'"&amp;"!b:b"),"土地成本比率",INDIRECT("'"&amp;D33&amp;"'"&amp;"!c:c"))))</f>
        <v>0</v>
      </c>
      <c r="E34" s="1644" t="s">
        <v>1309</v>
      </c>
      <c r="F34" s="1239"/>
      <c r="G34" s="121"/>
      <c r="H34" s="121"/>
      <c r="I34" s="121"/>
      <c r="J34" s="3291" t="s">
        <v>3921</v>
      </c>
      <c r="K34" s="3289">
        <v>449407642.06</v>
      </c>
    </row>
    <row r="35" spans="1:20" ht="15" thickBot="1">
      <c r="A35" s="1645"/>
      <c r="B35" s="1646" t="s">
        <v>1310</v>
      </c>
      <c r="C35" s="1086">
        <f>IF(C33="自定义",F35,ROUND(C32*D35,0))</f>
        <v>0</v>
      </c>
      <c r="D35" s="1087">
        <f ca="1">IF(C33="自定义",ROUND(C35/C32,3),IF(C33="收益比率",SUMIF(INDIRECT("'"&amp;D33&amp;"'"&amp;"!b:b"),"建筑物收益比率",INDIRECT("'"&amp;D33&amp;"'"&amp;"!c:c")),SUMIF(INDIRECT("'"&amp;D33&amp;"'"&amp;"!b:b"),"建筑物成本比率",INDIRECT("'"&amp;D33&amp;"'"&amp;"!c:c"))))</f>
        <v>0</v>
      </c>
      <c r="E35" s="1647" t="s">
        <v>1311</v>
      </c>
      <c r="F35" s="146"/>
      <c r="G35" s="121"/>
      <c r="H35" s="121"/>
      <c r="I35" s="121"/>
    </row>
    <row r="36" spans="1:20" ht="15" thickBot="1">
      <c r="A36" s="3422" t="s">
        <v>1312</v>
      </c>
      <c r="B36" s="1648" t="s">
        <v>1313</v>
      </c>
      <c r="C36" s="137"/>
      <c r="D36" s="1649"/>
      <c r="E36" s="1563"/>
      <c r="F36" s="1650"/>
      <c r="G36" s="121"/>
      <c r="H36" s="121"/>
      <c r="I36" s="121"/>
    </row>
    <row r="37" spans="1:20" ht="15" thickBot="1">
      <c r="A37" s="3423"/>
      <c r="B37" s="1551" t="s">
        <v>1314</v>
      </c>
      <c r="C37" s="139"/>
      <c r="D37" s="1067"/>
      <c r="E37" s="1067"/>
      <c r="F37" s="1650"/>
      <c r="G37" s="121"/>
      <c r="H37" s="121"/>
      <c r="I37" s="121"/>
    </row>
    <row r="38" spans="1:20" ht="15" thickBot="1">
      <c r="A38" s="3424"/>
      <c r="B38" s="1651" t="s">
        <v>1315</v>
      </c>
      <c r="C38" s="641"/>
      <c r="D38" s="1652" t="s">
        <v>1316</v>
      </c>
      <c r="E38" s="1067"/>
      <c r="F38" s="1650"/>
      <c r="G38" s="121"/>
      <c r="H38" s="121"/>
      <c r="I38" s="121"/>
    </row>
    <row r="39" spans="1:20" ht="14.4">
      <c r="A39" s="1629" t="s">
        <v>1317</v>
      </c>
      <c r="B39" s="1653" t="s">
        <v>1318</v>
      </c>
      <c r="C39" s="1654" t="s">
        <v>1319</v>
      </c>
      <c r="D39" s="1654" t="s">
        <v>1320</v>
      </c>
      <c r="E39" s="1655" t="s">
        <v>1321</v>
      </c>
      <c r="F39" s="1650"/>
      <c r="G39" s="121"/>
      <c r="H39" s="121"/>
      <c r="I39" s="121"/>
    </row>
    <row r="40" spans="1:20" ht="13.8">
      <c r="A40" s="1656" t="s">
        <v>1322</v>
      </c>
      <c r="B40" s="141"/>
      <c r="C40" s="142"/>
      <c r="D40" s="142"/>
      <c r="E40" s="143"/>
      <c r="F40" s="1650"/>
      <c r="G40" s="121"/>
      <c r="H40" s="121"/>
      <c r="I40" s="121"/>
    </row>
    <row r="41" spans="1:20" ht="13.8">
      <c r="A41" s="1656" t="s">
        <v>1323</v>
      </c>
      <c r="B41" s="141"/>
      <c r="C41" s="142"/>
      <c r="D41" s="142"/>
      <c r="E41" s="143"/>
      <c r="F41" s="1650"/>
      <c r="G41" s="121"/>
      <c r="H41" s="121"/>
      <c r="I41" s="121"/>
    </row>
    <row r="42" spans="1:20" ht="14.4" thickBot="1">
      <c r="A42" s="1657"/>
      <c r="B42" s="144"/>
      <c r="C42" s="145"/>
      <c r="D42" s="145"/>
      <c r="E42" s="146"/>
      <c r="F42" s="1650"/>
      <c r="G42" s="121"/>
      <c r="H42" s="121"/>
      <c r="I42" s="121"/>
    </row>
    <row r="43" spans="1:20" ht="13.2">
      <c r="A43" s="1463"/>
      <c r="B43" s="1463"/>
      <c r="C43" s="1463"/>
      <c r="D43" s="1463"/>
      <c r="E43" s="1463"/>
      <c r="F43" s="1658"/>
      <c r="G43" s="1658"/>
      <c r="H43" s="1658"/>
      <c r="I43" s="1659"/>
    </row>
    <row r="44" spans="1:20" ht="17.399999999999999">
      <c r="A44" s="1460" t="s">
        <v>1324</v>
      </c>
      <c r="B44" s="1660"/>
      <c r="C44" s="1660"/>
      <c r="D44" s="1661"/>
      <c r="E44" s="1661"/>
      <c r="F44" s="1662"/>
      <c r="G44" s="1662"/>
      <c r="H44" s="1662"/>
      <c r="I44" s="1662"/>
      <c r="J44" s="1663" t="s">
        <v>1325</v>
      </c>
      <c r="K44" s="4"/>
      <c r="L44" s="4"/>
      <c r="M44" s="4"/>
      <c r="N44" s="4"/>
      <c r="O44" s="4"/>
    </row>
    <row r="45" spans="1:20" ht="14.25" customHeight="1" thickBot="1">
      <c r="A45" s="3399" t="s">
        <v>1326</v>
      </c>
      <c r="B45" s="3400"/>
      <c r="C45" s="3401"/>
      <c r="D45" s="147">
        <f ca="1">ROUND(H101*F45,0)</f>
        <v>330646</v>
      </c>
      <c r="E45" s="148" t="s">
        <v>1327</v>
      </c>
      <c r="F45" s="149">
        <v>1</v>
      </c>
      <c r="G45" s="150" t="s">
        <v>1328</v>
      </c>
      <c r="H45" s="121"/>
      <c r="I45" s="121"/>
      <c r="J45" s="3477" t="s">
        <v>1329</v>
      </c>
      <c r="K45" s="3477"/>
      <c r="L45" s="3477"/>
      <c r="M45" s="3477"/>
      <c r="N45" s="3477"/>
      <c r="O45" s="3477"/>
    </row>
    <row r="46" spans="1:20" ht="14.25" customHeight="1">
      <c r="A46" s="3396" t="s">
        <v>1330</v>
      </c>
      <c r="B46" s="3397"/>
      <c r="C46" s="3397"/>
      <c r="D46" s="3397"/>
      <c r="E46" s="3397"/>
      <c r="F46" s="3397"/>
      <c r="G46" s="3398"/>
      <c r="H46" s="1664"/>
      <c r="I46" s="151"/>
      <c r="J46" s="2303">
        <v>1</v>
      </c>
      <c r="K46" s="3458" t="s">
        <v>1331</v>
      </c>
      <c r="L46" s="3458"/>
      <c r="M46" s="3478"/>
      <c r="N46" s="3478"/>
      <c r="O46" s="3478"/>
      <c r="P46" s="2441"/>
      <c r="Q46" s="2441"/>
      <c r="R46" s="2441"/>
      <c r="S46" s="2441"/>
      <c r="T46" s="2441"/>
    </row>
    <row r="47" spans="1:20" ht="12" customHeight="1">
      <c r="A47" s="152" t="s">
        <v>1332</v>
      </c>
      <c r="B47" s="153"/>
      <c r="C47" s="154"/>
      <c r="D47" s="1021" t="s">
        <v>1333</v>
      </c>
      <c r="E47" s="294" t="s">
        <v>1334</v>
      </c>
      <c r="F47" s="155" t="s">
        <v>1335</v>
      </c>
      <c r="G47" s="2326" t="s">
        <v>1336</v>
      </c>
      <c r="H47" s="2327"/>
      <c r="I47" s="151"/>
      <c r="J47" s="2303">
        <v>2</v>
      </c>
      <c r="K47" s="3458" t="s">
        <v>1337</v>
      </c>
      <c r="L47" s="3458"/>
      <c r="M47" s="3479">
        <f>'数据-取费表'!B2</f>
        <v>45734</v>
      </c>
      <c r="N47" s="3479"/>
      <c r="O47" s="3479"/>
      <c r="P47" s="2441"/>
      <c r="Q47" s="2441"/>
      <c r="R47" s="2441"/>
      <c r="S47" s="2441"/>
      <c r="T47" s="2441"/>
    </row>
    <row r="48" spans="1:20" ht="39.6">
      <c r="A48" s="3427" t="s">
        <v>1338</v>
      </c>
      <c r="B48" s="3410"/>
      <c r="C48" s="3410"/>
      <c r="D48" s="12">
        <f ca="1">IF(H48="情况1",0,IF(H48="情况2",D52,IF(H48="情况3",D53,IF(H48="情况4",D54))))</f>
        <v>17634</v>
      </c>
      <c r="E48" s="1252" t="str">
        <f>IF(H48="情况4","(销售额-原购置价)×税（费）率","销售额×税（费）率")</f>
        <v>(销售额-原购置价)×税（费）率</v>
      </c>
      <c r="F48" s="2328">
        <f>IF(H48="情况1","免征",'数据-取费表'!B41)</f>
        <v>5.6000000000000001E-2</v>
      </c>
      <c r="G48" s="2329" t="s">
        <v>1339</v>
      </c>
      <c r="H48" s="2330" t="s">
        <v>3555</v>
      </c>
      <c r="I48" s="1664"/>
      <c r="J48" s="2303">
        <v>3</v>
      </c>
      <c r="K48" s="3458" t="s">
        <v>1340</v>
      </c>
      <c r="L48" s="3458"/>
      <c r="M48" s="3480">
        <f ca="1">H101</f>
        <v>330646</v>
      </c>
      <c r="N48" s="3480"/>
      <c r="O48" s="3480"/>
      <c r="P48" s="2441"/>
      <c r="Q48" s="2441"/>
      <c r="R48" s="2441"/>
      <c r="S48" s="2441"/>
      <c r="T48" s="2441"/>
    </row>
    <row r="49" spans="1:35" ht="25.5" customHeight="1">
      <c r="A49" s="2148" t="s">
        <v>1341</v>
      </c>
      <c r="B49" s="3394" t="s">
        <v>1342</v>
      </c>
      <c r="C49" s="3394"/>
      <c r="D49" s="1474">
        <v>0</v>
      </c>
      <c r="E49" s="316" t="s">
        <v>1343</v>
      </c>
      <c r="F49" s="2227" t="s">
        <v>28</v>
      </c>
      <c r="G49" s="3464"/>
      <c r="H49" s="2130" t="s">
        <v>2134</v>
      </c>
      <c r="I49" s="2131"/>
      <c r="J49" s="2303">
        <v>4</v>
      </c>
      <c r="K49" s="3458" t="str">
        <f>IF(项目基本情况!E8="房地产抵押价值","房地产抵押价值","抵押担保权已注销时的房地产抵押价值")</f>
        <v>房地产抵押价值</v>
      </c>
      <c r="L49" s="3458"/>
      <c r="M49" s="3480">
        <f ca="1">IF(项目基本情况!E8="房地产抵押价值",H107,H109)</f>
        <v>330646</v>
      </c>
      <c r="N49" s="3480"/>
      <c r="O49" s="3480"/>
      <c r="P49" s="2441"/>
      <c r="Q49" s="2441"/>
      <c r="R49" s="2441"/>
      <c r="S49" s="2441"/>
      <c r="T49" s="2441"/>
    </row>
    <row r="50" spans="1:35" ht="25.5" customHeight="1">
      <c r="A50" s="2331"/>
      <c r="B50" s="3394" t="s">
        <v>1344</v>
      </c>
      <c r="C50" s="3394"/>
      <c r="D50" s="2185"/>
      <c r="E50" s="323"/>
      <c r="F50" s="2227"/>
      <c r="G50" s="3465"/>
      <c r="H50" s="2132" t="s">
        <v>2135</v>
      </c>
      <c r="I50" s="2131"/>
      <c r="J50" s="3477" t="s">
        <v>1345</v>
      </c>
      <c r="K50" s="3477"/>
      <c r="L50" s="3477"/>
      <c r="M50" s="3477"/>
      <c r="N50" s="3477"/>
      <c r="O50" s="3477"/>
      <c r="P50" s="2441"/>
      <c r="Q50" s="2441"/>
      <c r="R50" s="2441"/>
      <c r="S50" s="2441"/>
      <c r="T50" s="2441"/>
    </row>
    <row r="51" spans="1:35" ht="20.399999999999999" customHeight="1">
      <c r="A51" s="2332"/>
      <c r="B51" s="3394" t="s">
        <v>1346</v>
      </c>
      <c r="C51" s="3394"/>
      <c r="D51" s="1021"/>
      <c r="E51" s="319"/>
      <c r="F51" s="2227"/>
      <c r="G51" s="3466"/>
      <c r="H51" s="2132" t="s">
        <v>2136</v>
      </c>
      <c r="I51" s="2131"/>
      <c r="J51" s="2304" t="s">
        <v>1347</v>
      </c>
      <c r="K51" s="3458" t="s">
        <v>1348</v>
      </c>
      <c r="L51" s="3458"/>
      <c r="M51" s="2304" t="s">
        <v>1349</v>
      </c>
      <c r="N51" s="2304" t="s">
        <v>1350</v>
      </c>
      <c r="O51" s="2304" t="s">
        <v>1351</v>
      </c>
      <c r="P51" s="2441"/>
      <c r="Q51" s="2441"/>
      <c r="R51" s="2441"/>
      <c r="S51" s="2441"/>
      <c r="T51" s="2441"/>
    </row>
    <row r="52" spans="1:35" ht="24" customHeight="1">
      <c r="A52" s="2149" t="s">
        <v>1352</v>
      </c>
      <c r="B52" s="3394" t="s">
        <v>1353</v>
      </c>
      <c r="C52" s="3394"/>
      <c r="D52" s="1021">
        <f ca="1">ROUND(D45*'数据-取费表'!B41/(1+'数据-取费表'!C42),0)</f>
        <v>17634</v>
      </c>
      <c r="E52" s="1252" t="s">
        <v>1354</v>
      </c>
      <c r="F52" s="2333">
        <f>'数据-取费表'!B41</f>
        <v>5.6000000000000001E-2</v>
      </c>
      <c r="G52" s="2334"/>
      <c r="H52" s="2324"/>
      <c r="I52" s="1665"/>
      <c r="J52" s="2303">
        <v>1</v>
      </c>
      <c r="K52" s="3459" t="s">
        <v>1355</v>
      </c>
      <c r="L52" s="3459"/>
      <c r="M52" s="2305">
        <f ca="1">D48</f>
        <v>17634</v>
      </c>
      <c r="N52" s="2303" t="str">
        <f>E48</f>
        <v>(销售额-原购置价)×税（费）率</v>
      </c>
      <c r="O52" s="2306">
        <f>F48</f>
        <v>5.6000000000000001E-2</v>
      </c>
      <c r="P52" s="2441"/>
      <c r="Q52" s="2441" t="str">
        <f>K52</f>
        <v>增值税及附加</v>
      </c>
      <c r="R52" s="2441">
        <f ca="1">M52</f>
        <v>17634</v>
      </c>
      <c r="S52" s="2441"/>
      <c r="T52" s="2441"/>
    </row>
    <row r="53" spans="1:35" ht="12" customHeight="1">
      <c r="A53" s="2149" t="s">
        <v>1356</v>
      </c>
      <c r="B53" s="3420" t="s">
        <v>2289</v>
      </c>
      <c r="C53" s="3421"/>
      <c r="D53" s="1021">
        <f ca="1">ROUND(D45*'数据-取费表'!B41/(1+'数据-取费表'!C42),0)</f>
        <v>17634</v>
      </c>
      <c r="E53" s="1252" t="s">
        <v>1354</v>
      </c>
      <c r="F53" s="2333">
        <f>'数据-取费表'!B41</f>
        <v>5.6000000000000001E-2</v>
      </c>
      <c r="G53" s="2334"/>
      <c r="H53" s="2324"/>
      <c r="I53" s="1665"/>
      <c r="J53" s="2303">
        <v>2</v>
      </c>
      <c r="K53" s="3459" t="s">
        <v>1357</v>
      </c>
      <c r="L53" s="3459"/>
      <c r="M53" s="2305">
        <f t="shared" ref="M53:O54" ca="1" si="0">D55</f>
        <v>165</v>
      </c>
      <c r="N53" s="2303" t="str">
        <f t="shared" si="0"/>
        <v>销售额×税（费）率</v>
      </c>
      <c r="O53" s="2306">
        <f t="shared" si="0"/>
        <v>5.0000000000000001E-4</v>
      </c>
      <c r="P53" s="2441"/>
      <c r="Q53" s="2441" t="str">
        <f>K53</f>
        <v>印花税</v>
      </c>
      <c r="R53" s="2441">
        <f ca="1">M53</f>
        <v>165</v>
      </c>
      <c r="S53" s="2441"/>
      <c r="T53" s="2441"/>
    </row>
    <row r="54" spans="1:35" ht="12" customHeight="1">
      <c r="A54" s="2149" t="s">
        <v>1358</v>
      </c>
      <c r="B54" s="3420" t="s">
        <v>2290</v>
      </c>
      <c r="C54" s="3421"/>
      <c r="D54" s="1021">
        <f ca="1">C68</f>
        <v>17634</v>
      </c>
      <c r="E54" s="319" t="s">
        <v>1359</v>
      </c>
      <c r="F54" s="2333">
        <f>'数据-取费表'!B41</f>
        <v>5.6000000000000001E-2</v>
      </c>
      <c r="G54" s="2334"/>
      <c r="H54" s="2335"/>
      <c r="I54" s="1665"/>
      <c r="J54" s="2303">
        <v>3</v>
      </c>
      <c r="K54" s="3459" t="s">
        <v>1360</v>
      </c>
      <c r="L54" s="3459"/>
      <c r="M54" s="2305">
        <f t="shared" ca="1" si="0"/>
        <v>187146</v>
      </c>
      <c r="N54" s="2303" t="str">
        <f t="shared" si="0"/>
        <v>增值额×税（费）率</v>
      </c>
      <c r="O54" s="2307" t="str">
        <f t="shared" si="0"/>
        <v>——</v>
      </c>
      <c r="P54" s="2441"/>
      <c r="Q54" s="2441" t="str">
        <f>K54</f>
        <v>土地增值税</v>
      </c>
      <c r="R54" s="2441">
        <f ca="1">ROUND(M48/(1+0.05)*0.05,0)</f>
        <v>15745</v>
      </c>
      <c r="S54" s="2441"/>
      <c r="T54" s="2441"/>
    </row>
    <row r="55" spans="1:35" ht="24" customHeight="1">
      <c r="A55" s="3409" t="s">
        <v>1361</v>
      </c>
      <c r="B55" s="3410"/>
      <c r="C55" s="3410"/>
      <c r="D55" s="12">
        <f ca="1">IF(H55="个人住宅",0,ROUND(D45*I55,0))</f>
        <v>165</v>
      </c>
      <c r="E55" s="1252" t="s">
        <v>1362</v>
      </c>
      <c r="F55" s="2333">
        <f>IF(H55="正常",I55,"免征")</f>
        <v>5.0000000000000001E-4</v>
      </c>
      <c r="G55" s="2334"/>
      <c r="H55" s="2330" t="s">
        <v>3556</v>
      </c>
      <c r="I55" s="157">
        <f>'数据-取费表'!B49</f>
        <v>5.0000000000000001E-4</v>
      </c>
      <c r="J55" s="2303" t="str">
        <f>IF(H59="非个人房产","",4)</f>
        <v/>
      </c>
      <c r="K55" s="3459" t="str">
        <f>IF(H59="非个人房产","——","个人所得税")</f>
        <v>——</v>
      </c>
      <c r="L55" s="3459"/>
      <c r="M55" s="2308" t="str">
        <f>D59</f>
        <v>——</v>
      </c>
      <c r="N55" s="1879" t="str">
        <f>E59</f>
        <v>——</v>
      </c>
      <c r="O55" s="2309" t="str">
        <f>F59</f>
        <v>——</v>
      </c>
      <c r="P55" s="2441"/>
      <c r="Q55" s="2441"/>
      <c r="R55" s="2441"/>
      <c r="S55" s="2441"/>
      <c r="T55" s="2441"/>
    </row>
    <row r="56" spans="1:35" ht="25.2">
      <c r="A56" s="3409" t="s">
        <v>1363</v>
      </c>
      <c r="B56" s="3410"/>
      <c r="C56" s="3410"/>
      <c r="D56" s="12">
        <f ca="1">IF(H56="个人住宅",D57,D58)</f>
        <v>187146</v>
      </c>
      <c r="E56" s="1252" t="s">
        <v>1364</v>
      </c>
      <c r="F56" s="2333" t="str">
        <f>IF(H56="正常",F58,"免征")</f>
        <v>——</v>
      </c>
      <c r="G56" s="2336" t="s">
        <v>1365</v>
      </c>
      <c r="H56" s="2337" t="s">
        <v>3556</v>
      </c>
      <c r="I56" s="1666"/>
      <c r="J56" s="2303" t="str">
        <f>IF(项目基本情况!K6="上海银行",IF(J55="",4,J55+1),"")</f>
        <v/>
      </c>
      <c r="K56" s="3482" t="str">
        <f>IF(项目基本情况!K6="上海银行","其他处置费用","")</f>
        <v/>
      </c>
      <c r="L56" s="3483"/>
      <c r="M56" s="2305" t="str">
        <f>IF(项目基本情况!K6="上海银行",M69,"")</f>
        <v/>
      </c>
      <c r="N56" s="3482" t="str">
        <f>IF(项目基本情况!K6="上海银行","包含处置中涉及的律师、诉讼、拍卖、评估等费用","")</f>
        <v/>
      </c>
      <c r="O56" s="3485"/>
      <c r="P56" s="2441"/>
      <c r="Q56" s="2441"/>
      <c r="R56" s="2441"/>
      <c r="S56" s="2441"/>
      <c r="T56" s="2441"/>
    </row>
    <row r="57" spans="1:35" ht="13.2">
      <c r="A57" s="2149" t="s">
        <v>1341</v>
      </c>
      <c r="B57" s="3420" t="s">
        <v>1366</v>
      </c>
      <c r="C57" s="3421"/>
      <c r="D57" s="1474">
        <v>0</v>
      </c>
      <c r="E57" s="316" t="s">
        <v>1343</v>
      </c>
      <c r="F57" s="294"/>
      <c r="G57" s="2334"/>
      <c r="H57" s="2338"/>
      <c r="I57" s="1666"/>
      <c r="J57" s="3459">
        <f>IF(AND(J55="",J56=""),4,IF(项目基本情况!K6="上海银行",结果表!J56+1,结果表!J55+1))</f>
        <v>4</v>
      </c>
      <c r="K57" s="3459" t="s">
        <v>1367</v>
      </c>
      <c r="L57" s="2310" t="s">
        <v>1368</v>
      </c>
      <c r="M57" s="2311"/>
      <c r="N57" s="2312">
        <f ca="1">SUMIF(M52:M56,"&lt;9e307")</f>
        <v>204945</v>
      </c>
      <c r="O57" s="2313"/>
      <c r="P57" s="3288">
        <f ca="1">N57/M49</f>
        <v>0.61983208627958597</v>
      </c>
      <c r="Q57" s="2441" t="str">
        <f>K57</f>
        <v>合计</v>
      </c>
      <c r="R57" s="2441">
        <f ca="1">R52+R53+R54</f>
        <v>33544</v>
      </c>
      <c r="S57" s="2441">
        <f ca="1">R57/M49</f>
        <v>0.1014498890051596</v>
      </c>
      <c r="T57" s="2441"/>
    </row>
    <row r="58" spans="1:35" ht="25.2">
      <c r="A58" s="2149" t="s">
        <v>1352</v>
      </c>
      <c r="B58" s="3420" t="s">
        <v>1369</v>
      </c>
      <c r="C58" s="3394"/>
      <c r="D58" s="12">
        <f ca="1">IF(H58="转让取得",C81,C97)</f>
        <v>187146</v>
      </c>
      <c r="E58" s="1252" t="s">
        <v>1364</v>
      </c>
      <c r="F58" s="294" t="s">
        <v>28</v>
      </c>
      <c r="G58" s="2334"/>
      <c r="H58" s="3174" t="s">
        <v>3907</v>
      </c>
      <c r="I58" s="1666"/>
      <c r="J58" s="3459"/>
      <c r="K58" s="3459"/>
      <c r="L58" s="2310" t="s">
        <v>1370</v>
      </c>
      <c r="M58" s="2314"/>
      <c r="N58" s="2315" t="str">
        <f ca="1">NUMBERSTRING(INT(N57*10000),2)&amp;"元整"</f>
        <v>贰拾亿肆仟玖佰肆拾伍万元整</v>
      </c>
      <c r="O58" s="2316"/>
      <c r="P58" s="2441"/>
      <c r="Q58" s="2441"/>
      <c r="R58" s="2441"/>
      <c r="S58" s="2441"/>
      <c r="T58" s="2441"/>
    </row>
    <row r="59" spans="1:35" ht="24.6" thickBot="1">
      <c r="A59" s="3462" t="s">
        <v>1371</v>
      </c>
      <c r="B59" s="3463"/>
      <c r="C59" s="3463"/>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4" t="s">
        <v>3557</v>
      </c>
      <c r="I59" s="2133" t="s">
        <v>2137</v>
      </c>
      <c r="J59" s="3460">
        <f>J57+1</f>
        <v>5</v>
      </c>
      <c r="K59" s="3459" t="s">
        <v>1372</v>
      </c>
      <c r="L59" s="2303" t="s">
        <v>1368</v>
      </c>
      <c r="M59" s="2317"/>
      <c r="N59" s="2318">
        <f ca="1">M49-N57</f>
        <v>125701</v>
      </c>
      <c r="O59" s="2319"/>
      <c r="P59" s="2441"/>
      <c r="Q59" s="2441" t="str">
        <f>K59</f>
        <v>抵押净值</v>
      </c>
      <c r="R59" s="2441">
        <f ca="1">M48-R57</f>
        <v>297102</v>
      </c>
      <c r="S59" s="2441"/>
      <c r="T59" s="2441"/>
    </row>
    <row r="60" spans="1:35" ht="12" customHeight="1">
      <c r="A60" s="1667"/>
      <c r="B60" s="646"/>
      <c r="C60" s="646"/>
      <c r="D60" s="646"/>
      <c r="E60" s="1462"/>
      <c r="F60" s="1666"/>
      <c r="G60" s="1666"/>
      <c r="H60" s="151"/>
      <c r="I60" s="121"/>
      <c r="J60" s="3461"/>
      <c r="K60" s="3459"/>
      <c r="L60" s="2310" t="s">
        <v>1370</v>
      </c>
      <c r="M60" s="2314"/>
      <c r="N60" s="2315" t="str">
        <f ca="1">NUMBERSTRING(INT(N59*10000),2)&amp;"元整"</f>
        <v>壹拾贰亿伍仟柒佰零壹万元整</v>
      </c>
      <c r="O60" s="2316"/>
      <c r="P60" s="2441"/>
      <c r="Q60" s="2441"/>
      <c r="R60" s="2441"/>
      <c r="S60" s="2441"/>
      <c r="T60" s="2441"/>
    </row>
    <row r="61" spans="1:35" ht="13.8" thickBot="1">
      <c r="A61" s="3407" t="s">
        <v>1373</v>
      </c>
      <c r="B61" s="3407"/>
      <c r="C61" s="3407"/>
      <c r="D61" s="3407"/>
      <c r="E61" s="3407"/>
      <c r="F61" s="1666"/>
      <c r="G61" s="1666"/>
      <c r="H61" s="151"/>
      <c r="I61" s="121"/>
      <c r="J61" s="2303">
        <f>J59+1</f>
        <v>6</v>
      </c>
      <c r="K61" s="3459" t="s">
        <v>1374</v>
      </c>
      <c r="L61" s="3459"/>
      <c r="M61" s="2320"/>
      <c r="N61" s="2321">
        <f ca="1">ROUND(N59*10000/'数据-汇总表'!E3,0)</f>
        <v>24548</v>
      </c>
      <c r="O61" s="2322"/>
      <c r="P61" s="2441"/>
      <c r="Q61" s="2441"/>
      <c r="R61" s="2441"/>
      <c r="S61" s="2441"/>
      <c r="T61" s="2441"/>
    </row>
    <row r="62" spans="1:35" ht="13.2">
      <c r="A62" s="3425" t="s">
        <v>1375</v>
      </c>
      <c r="B62" s="3426"/>
      <c r="C62" s="1861"/>
      <c r="D62" s="1861" t="s">
        <v>1376</v>
      </c>
      <c r="E62" s="158" t="s">
        <v>1377</v>
      </c>
      <c r="F62" s="1666"/>
      <c r="G62" s="1666"/>
      <c r="H62" s="151"/>
      <c r="I62" s="121"/>
    </row>
    <row r="63" spans="1:35" ht="13.2">
      <c r="A63" s="165" t="s">
        <v>330</v>
      </c>
      <c r="B63" s="159" t="s">
        <v>1378</v>
      </c>
      <c r="C63" s="2343">
        <f ca="1">ROUND((C64+C65)/(1+'数据-取费表'!C42),0)</f>
        <v>314901</v>
      </c>
      <c r="D63" s="159"/>
      <c r="E63" s="160"/>
      <c r="F63" s="1666"/>
      <c r="G63" s="1666"/>
      <c r="H63" s="151"/>
      <c r="I63" s="121"/>
      <c r="J63" s="3484" t="s">
        <v>1379</v>
      </c>
      <c r="K63" s="1241" t="s">
        <v>1380</v>
      </c>
      <c r="L63" s="1241">
        <f ca="1">IF(M49&gt;10000,M49*0.5%,IF(AND(M49&gt;1000,M49&lt;=10000),M49*1%,IF(AND(M49&gt;100,M49&lt;=1000),M49*3%,IF(AND(M49&gt;10,M49&lt;=100),M49*5%,M49*8%))))</f>
        <v>1653.23</v>
      </c>
      <c r="M63" s="294">
        <f ca="1">ROUND(L63,1)</f>
        <v>1653.2</v>
      </c>
      <c r="N63" s="2323"/>
      <c r="Z63" s="1619"/>
      <c r="AI63" s="1557"/>
    </row>
    <row r="64" spans="1:35" ht="14.25" customHeight="1">
      <c r="A64" s="161" t="s">
        <v>325</v>
      </c>
      <c r="B64" s="162" t="s">
        <v>1381</v>
      </c>
      <c r="C64" s="2344">
        <f ca="1">D45</f>
        <v>330646</v>
      </c>
      <c r="D64" s="162" t="s">
        <v>26</v>
      </c>
      <c r="E64" s="164"/>
      <c r="F64" s="1666"/>
      <c r="G64" s="1666"/>
      <c r="H64" s="151"/>
      <c r="I64" s="121"/>
      <c r="J64" s="3484"/>
      <c r="K64" s="1241" t="s">
        <v>1382</v>
      </c>
      <c r="L64" s="1241">
        <f ca="1">IF(M49&gt;2000,M49*0.5%,IF(AND(M49&gt;1000,M49&lt;=2000),M49*0.6%,IF(AND(M49&gt;500,M49&lt;=1000),M49*0.7%,IF(AND(M49&gt;200,M49&lt;=500),M49*0.8%,IF(AND(M49&gt;100,M49&lt;=200),M49*0.9%,IF(AND(M49&gt;50,M49&lt;=100),M49*1%,IF(AND(M49&gt;20,M49&lt;=50),M49*1.5%,IF(AND(M49&gt;10,M49&lt;=20),M49*2%,IF(AND(M49&gt;1,M49&lt;=10),M49*2.5%)))))))))</f>
        <v>1653.23</v>
      </c>
      <c r="M64" s="294">
        <f t="shared" ref="M64:M65" ca="1" si="1">ROUND(L64,1)</f>
        <v>1653.2</v>
      </c>
      <c r="N64" s="2324" t="s">
        <v>1383</v>
      </c>
      <c r="Z64" s="1619"/>
      <c r="AI64" s="1557"/>
    </row>
    <row r="65" spans="1:35" ht="14.25" customHeight="1">
      <c r="A65" s="161" t="s">
        <v>326</v>
      </c>
      <c r="B65" s="162" t="s">
        <v>1384</v>
      </c>
      <c r="C65" s="2345"/>
      <c r="D65" s="162"/>
      <c r="E65" s="164"/>
      <c r="F65" s="1666"/>
      <c r="G65" s="1666"/>
      <c r="H65" s="151"/>
      <c r="I65" s="121"/>
      <c r="J65" s="3484"/>
      <c r="K65" s="1241" t="s">
        <v>1385</v>
      </c>
      <c r="L65" s="1241">
        <f ca="1">IF(M49&gt;1000,M49*0.1%,IF(AND(M49&gt;500,M49&lt;=1000),M49*0.5%,IF(AND(M49&gt;50,M49&lt;=500),M49*1%,IF(AND(M49&gt;1,M49&lt;=50),M49*1.5%))))</f>
        <v>330.64600000000002</v>
      </c>
      <c r="M65" s="294">
        <f t="shared" ca="1" si="1"/>
        <v>330.6</v>
      </c>
      <c r="N65" s="2324" t="s">
        <v>1383</v>
      </c>
      <c r="Z65" s="1619"/>
      <c r="AI65" s="1557"/>
    </row>
    <row r="66" spans="1:35" ht="14.25" customHeight="1">
      <c r="A66" s="165" t="s">
        <v>327</v>
      </c>
      <c r="B66" s="166" t="s">
        <v>1386</v>
      </c>
      <c r="C66" s="2346"/>
      <c r="D66" s="166" t="s">
        <v>26</v>
      </c>
      <c r="E66" s="1247" t="s">
        <v>671</v>
      </c>
      <c r="F66" s="1666"/>
      <c r="G66" s="1666"/>
      <c r="H66" s="151"/>
      <c r="I66" s="121"/>
      <c r="J66" s="3484"/>
      <c r="K66" s="1241" t="s">
        <v>1387</v>
      </c>
      <c r="L66" s="1241">
        <f ca="1">M49*0.5%</f>
        <v>1653.23</v>
      </c>
      <c r="M66" s="294">
        <f ca="1">IF(L66&gt;0.5,0.5,ROUND(L66,0))</f>
        <v>0.5</v>
      </c>
      <c r="N66" s="2324" t="s">
        <v>1388</v>
      </c>
      <c r="Z66" s="1619"/>
      <c r="AI66" s="1557"/>
    </row>
    <row r="67" spans="1:35" ht="14.25" customHeight="1">
      <c r="A67" s="165" t="s">
        <v>328</v>
      </c>
      <c r="B67" s="166" t="s">
        <v>1389</v>
      </c>
      <c r="C67" s="2347">
        <f ca="1">C63-C66</f>
        <v>314901</v>
      </c>
      <c r="D67" s="162" t="s">
        <v>26</v>
      </c>
      <c r="E67" s="164"/>
      <c r="F67" s="1666"/>
      <c r="G67" s="1666"/>
      <c r="H67" s="151"/>
      <c r="I67" s="121"/>
      <c r="J67" s="3484"/>
      <c r="K67" s="1241" t="s">
        <v>1390</v>
      </c>
      <c r="L67" s="1241">
        <f ca="1">IF(M49&gt;=10000,(8.25+(M49-10000)*0.01%),IF(AND(M49&gt;=8000,M49&lt;10000),(7.85+(M49-8000)*0.02%),IF(AND(M49&gt;=5000,M49&lt;8000),(6.65+(M49-5000)*0.04%),IF(AND(M49&gt;=2000,M49&lt;5000),(4.25+(PM49-2000)*0.08%),IF(AND(M49&gt;=1000,M49&lt;2000),(2.75+(M49-1000)*0.15%),IF(AND(M49&gt;=100,M49&lt;1000),(0.5+(M49-100)*0.25%),IF(AND(M49&gt;0,M49&lt;100),M49*0.5%)))))))</f>
        <v>40.314599999999999</v>
      </c>
      <c r="M67" s="294">
        <f ca="1">ROUND(L67*0.9,1)</f>
        <v>36.299999999999997</v>
      </c>
      <c r="N67" s="2323"/>
      <c r="Z67" s="1619"/>
      <c r="AI67" s="1557"/>
    </row>
    <row r="68" spans="1:35" ht="14.25" customHeight="1" thickBot="1">
      <c r="A68" s="168" t="s">
        <v>329</v>
      </c>
      <c r="B68" s="169" t="s">
        <v>1391</v>
      </c>
      <c r="C68" s="2348">
        <f ca="1">IF(C67&lt;=0,0,ROUND(C67*D68,0))</f>
        <v>17634</v>
      </c>
      <c r="D68" s="2349">
        <f>'数据-取费表'!B41</f>
        <v>5.6000000000000001E-2</v>
      </c>
      <c r="E68" s="170"/>
      <c r="F68" s="1666"/>
      <c r="G68" s="1666"/>
      <c r="H68" s="151"/>
      <c r="I68" s="121"/>
      <c r="J68" s="3484"/>
      <c r="K68" s="1241" t="s">
        <v>1392</v>
      </c>
      <c r="L68" s="1241">
        <f ca="1">IF(M49&gt;10000,M49*0.5%,IF(AND(M49&gt;5000,M49&lt;=10000),M49*1%,IF(AND(M49&gt;1000,M49&lt;=5000),M49*2%,IF(AND(M49&gt;200,M49&lt;=1000),M49*3%,M49*5%))))</f>
        <v>1653.23</v>
      </c>
      <c r="M68" s="294">
        <f ca="1">ROUND(L68,1)</f>
        <v>1653.2</v>
      </c>
      <c r="N68" s="2323"/>
      <c r="Z68" s="1619"/>
      <c r="AI68" s="1557"/>
    </row>
    <row r="69" spans="1:35" ht="16.5" customHeight="1">
      <c r="A69" s="1668"/>
      <c r="B69" s="1669"/>
      <c r="C69" s="1670"/>
      <c r="D69" s="1671"/>
      <c r="E69" s="1672"/>
      <c r="F69" s="1462"/>
      <c r="G69" s="1462"/>
      <c r="H69" s="1463"/>
      <c r="I69" s="646"/>
      <c r="J69" s="3484"/>
      <c r="K69" s="1241" t="s">
        <v>1393</v>
      </c>
      <c r="L69" s="1241"/>
      <c r="M69" s="294">
        <f ca="1">ROUND(SUM(M63:M68),0)</f>
        <v>5327</v>
      </c>
      <c r="N69" s="2325">
        <f ca="1">M69/M49</f>
        <v>1.611088596263073E-2</v>
      </c>
      <c r="Z69" s="1619"/>
      <c r="AI69" s="1557"/>
    </row>
    <row r="70" spans="1:35" s="642" customFormat="1" ht="14.4" thickBot="1">
      <c r="A70" s="3446" t="s">
        <v>1394</v>
      </c>
      <c r="B70" s="3447"/>
      <c r="C70" s="3447"/>
      <c r="D70" s="3447"/>
      <c r="E70" s="3447"/>
      <c r="F70" s="3447"/>
      <c r="G70" s="3447"/>
      <c r="H70" s="3447"/>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3.8">
      <c r="A71" s="3425" t="s">
        <v>1375</v>
      </c>
      <c r="B71" s="3426"/>
      <c r="C71" s="1861"/>
      <c r="D71" s="1861"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3.8">
      <c r="A72" s="165" t="s">
        <v>330</v>
      </c>
      <c r="B72" s="166" t="s">
        <v>1395</v>
      </c>
      <c r="C72" s="2347">
        <f ca="1">ROUND(D45/(1+'数据-取费表'!C42),0)</f>
        <v>314901</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3.8">
      <c r="A73" s="165" t="s">
        <v>327</v>
      </c>
      <c r="B73" s="155" t="s">
        <v>1396</v>
      </c>
      <c r="C73" s="2347">
        <f ca="1">C74+C78</f>
        <v>1889</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28.8">
      <c r="A75" s="161" t="s">
        <v>331</v>
      </c>
      <c r="B75" s="162" t="s">
        <v>1398</v>
      </c>
      <c r="C75" s="2350"/>
      <c r="D75" s="162" t="s">
        <v>26</v>
      </c>
      <c r="E75" s="176" t="s">
        <v>1399</v>
      </c>
      <c r="F75" s="2351"/>
      <c r="G75" s="176"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3">
        <v>0.05</v>
      </c>
      <c r="E76" s="3420" t="s">
        <v>1402</v>
      </c>
      <c r="F76" s="3394"/>
      <c r="G76" s="3394"/>
      <c r="H76" s="344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5">
        <f ca="1">ROUND(D45*D78/(1+'数据-取费表'!C42),0)</f>
        <v>1889</v>
      </c>
      <c r="D78" s="2356">
        <f>'数据-取费表'!B43</f>
        <v>6.000000000000001E-3</v>
      </c>
      <c r="E78" s="3404" t="s">
        <v>1406</v>
      </c>
      <c r="F78" s="3405"/>
      <c r="G78" s="3405"/>
      <c r="H78" s="34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3.8">
      <c r="A79" s="165" t="s">
        <v>334</v>
      </c>
      <c r="B79" s="166" t="s">
        <v>1407</v>
      </c>
      <c r="C79" s="2347">
        <f ca="1">C72-C73</f>
        <v>313012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7">
        <f ca="1">IF(C79&lt;=0,0,C79/C73)</f>
        <v>165.70248808893595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6" thickBot="1">
      <c r="A81" s="168" t="s">
        <v>336</v>
      </c>
      <c r="B81" s="169" t="s">
        <v>1409</v>
      </c>
      <c r="C81" s="2358">
        <f ca="1">ROUND(IF(C79&lt;=0,0,IF(C80&gt;=200%,C79*60%-C73*35%,IF(C80&gt;=100%,C79*50%-C73*15%,IF(C80&gt;=50%,C79*40%-C73*5%,IF(C80&lt;50%,C79*30%,0))))),0)</f>
        <v>187146</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4.4" thickBot="1">
      <c r="A83" s="3446" t="s">
        <v>1410</v>
      </c>
      <c r="B83" s="3447"/>
      <c r="C83" s="3447"/>
      <c r="D83" s="3447"/>
      <c r="E83" s="3447"/>
      <c r="F83" s="3447"/>
      <c r="G83" s="3447"/>
      <c r="H83" s="344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3.8">
      <c r="A84" s="3425" t="s">
        <v>1375</v>
      </c>
      <c r="B84" s="3426"/>
      <c r="C84" s="1861"/>
      <c r="D84" s="1861"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3.8">
      <c r="A85" s="165" t="s">
        <v>330</v>
      </c>
      <c r="B85" s="166" t="s">
        <v>1395</v>
      </c>
      <c r="C85" s="2347">
        <f ca="1">ROUND(D45/(1+'数据-取费表'!C42),0)</f>
        <v>314901</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3.8">
      <c r="A86" s="165" t="s">
        <v>327</v>
      </c>
      <c r="B86" s="155" t="s">
        <v>1396</v>
      </c>
      <c r="C86" s="2347">
        <f ca="1">IF(H88="仅含出让金",C87+C90+C91+C92+C93+C94,C87+C91+C92+C93+C94)</f>
        <v>1889</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3.8">
      <c r="A87" s="161" t="s">
        <v>325</v>
      </c>
      <c r="B87" s="162"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4">
      <c r="A88" s="161" t="s">
        <v>331</v>
      </c>
      <c r="B88" s="162" t="s">
        <v>1412</v>
      </c>
      <c r="C88" s="2361"/>
      <c r="D88" s="2356"/>
      <c r="E88" s="185" t="s">
        <v>1413</v>
      </c>
      <c r="F88" s="2144"/>
      <c r="G88" s="186" t="s">
        <v>1414</v>
      </c>
      <c r="H88" s="1680"/>
      <c r="I88" s="1677"/>
      <c r="J88" s="2301" t="s">
        <v>2286</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3.8">
      <c r="A89" s="161" t="s">
        <v>332</v>
      </c>
      <c r="B89" s="162" t="s">
        <v>1403</v>
      </c>
      <c r="C89" s="2355">
        <f>ROUND(C88*D89,0)</f>
        <v>0</v>
      </c>
      <c r="D89" s="2356">
        <f>'数据-取费表'!B48+'数据-取费表'!B49</f>
        <v>3.0499999999999999E-2</v>
      </c>
      <c r="E89" s="185"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4">
      <c r="A90" s="161" t="s">
        <v>326</v>
      </c>
      <c r="B90" s="162" t="s">
        <v>1416</v>
      </c>
      <c r="C90" s="2361"/>
      <c r="D90" s="2356"/>
      <c r="E90" s="185" t="str">
        <f>IF(H88="-","土地取得成本中已包含该笔费用"," ")</f>
        <v xml:space="preserve"> </v>
      </c>
      <c r="F90" s="2144"/>
      <c r="G90" s="3486" t="s">
        <v>2129</v>
      </c>
      <c r="H90" s="3487"/>
      <c r="I90" s="1677"/>
      <c r="J90" s="2301" t="s">
        <v>2287</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5">
        <f>IF(H91="——",成本法!C33,I91)</f>
        <v>0</v>
      </c>
      <c r="D91" s="2356"/>
      <c r="E91" s="3404" t="s">
        <v>1419</v>
      </c>
      <c r="F91" s="3405"/>
      <c r="G91" s="3405"/>
      <c r="H91" s="1681" t="s">
        <v>3908</v>
      </c>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5">
        <f>ROUND((C87+C90+C91)*D92,0)</f>
        <v>0</v>
      </c>
      <c r="D92" s="2362"/>
      <c r="E92" s="3404" t="s">
        <v>1422</v>
      </c>
      <c r="F92" s="3405"/>
      <c r="G92" s="3405"/>
      <c r="H92" s="3414"/>
      <c r="I92" s="1677"/>
      <c r="J92" s="2302" t="s">
        <v>2288</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5">
        <f ca="1">ROUND(D45*D93/(1+'数据-取费表'!C42),0)</f>
        <v>1889</v>
      </c>
      <c r="D93" s="2356">
        <f>'数据-取费表'!B43</f>
        <v>6.000000000000001E-3</v>
      </c>
      <c r="E93" s="3404" t="s">
        <v>1406</v>
      </c>
      <c r="F93" s="3405"/>
      <c r="G93" s="3405"/>
      <c r="H93" s="34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1">
        <f>ROUND((C87+C90+C91)*D94,0)</f>
        <v>0</v>
      </c>
      <c r="D94" s="2356">
        <v>0.2</v>
      </c>
      <c r="E94" s="3415" t="s">
        <v>1426</v>
      </c>
      <c r="F94" s="3416"/>
      <c r="G94" s="3416"/>
      <c r="H94" s="341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3.8">
      <c r="A95" s="165" t="s">
        <v>334</v>
      </c>
      <c r="B95" s="166" t="s">
        <v>1407</v>
      </c>
      <c r="C95" s="2347">
        <f ca="1">ROUND(C85-C86,0)</f>
        <v>313012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7">
        <f ca="1">IF(C95&lt;=0,0,C95/C86)</f>
        <v>165.70248808893595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6" thickBot="1">
      <c r="A97" s="168" t="s">
        <v>336</v>
      </c>
      <c r="B97" s="169" t="s">
        <v>1409</v>
      </c>
      <c r="C97" s="2358">
        <f ca="1">ROUND(IF(C95&lt;=0,0,IF(C96&gt;=200%,C95*60%-C86*35%,IF(C96&gt;=100%,C95*50%-C86*15%,IF(C96&gt;=50%,C95*40%-C86*5%,IF(C96&lt;50%,C95*30%,0))))),0)</f>
        <v>187146</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382" t="s">
        <v>1428</v>
      </c>
      <c r="B100" s="3383"/>
      <c r="C100" s="3383"/>
      <c r="D100" s="3406"/>
      <c r="E100" s="3383" t="s">
        <v>1429</v>
      </c>
      <c r="F100" s="3383"/>
      <c r="G100" s="3383"/>
      <c r="H100" s="3406"/>
      <c r="I100" s="121"/>
    </row>
    <row r="101" spans="1:35" ht="18.75" customHeight="1">
      <c r="A101" s="3467" t="s">
        <v>1430</v>
      </c>
      <c r="B101" s="3468"/>
      <c r="C101" s="2364" t="str">
        <f>C4</f>
        <v>比较法-办公</v>
      </c>
      <c r="D101" s="2365" t="str">
        <f>D4</f>
        <v>收益法（汇总）</v>
      </c>
      <c r="E101" s="3481" t="s">
        <v>1431</v>
      </c>
      <c r="F101" s="3438"/>
      <c r="G101" s="1683" t="s">
        <v>1432</v>
      </c>
      <c r="H101" s="2374">
        <f ca="1">H118</f>
        <v>330646</v>
      </c>
      <c r="I101" s="121"/>
    </row>
    <row r="102" spans="1:35" ht="18.75" customHeight="1">
      <c r="A102" s="3440" t="s">
        <v>1433</v>
      </c>
      <c r="B102" s="2363" t="s">
        <v>1432</v>
      </c>
      <c r="C102" s="2364">
        <f ca="1">IF(D32="楼面单价",ROUND(C19,0),C19)</f>
        <v>367699</v>
      </c>
      <c r="D102" s="2365">
        <f ca="1">IF(D32="楼面单价",ROUND(D19,0),D19)</f>
        <v>244183</v>
      </c>
      <c r="E102" s="3481"/>
      <c r="F102" s="3438"/>
      <c r="G102" s="1683" t="s">
        <v>1434</v>
      </c>
      <c r="H102" s="2334">
        <f ca="1">I118</f>
        <v>64571</v>
      </c>
      <c r="I102" s="121"/>
    </row>
    <row r="103" spans="1:35" ht="42.75" customHeight="1">
      <c r="A103" s="3440"/>
      <c r="B103" s="2363" t="s">
        <v>1434</v>
      </c>
      <c r="C103" s="2366">
        <f ca="1">C20</f>
        <v>71807</v>
      </c>
      <c r="D103" s="2367">
        <f ca="1">D20</f>
        <v>47686</v>
      </c>
      <c r="E103" s="3475" t="s">
        <v>1435</v>
      </c>
      <c r="F103" s="3476"/>
      <c r="G103" s="1684" t="s">
        <v>1436</v>
      </c>
      <c r="H103" s="2374">
        <f>IF(D36="正常操作",H104+H105+H106,H105+H106)</f>
        <v>0</v>
      </c>
      <c r="I103" s="121"/>
    </row>
    <row r="104" spans="1:35" ht="18.75" customHeight="1">
      <c r="A104" s="3440" t="s">
        <v>1437</v>
      </c>
      <c r="B104" s="2368" t="s">
        <v>1432</v>
      </c>
      <c r="C104" s="2369">
        <f ca="1">H118</f>
        <v>330646</v>
      </c>
      <c r="D104" s="2370"/>
      <c r="E104" s="1551" t="s">
        <v>1438</v>
      </c>
      <c r="F104" s="1544"/>
      <c r="G104" s="1684" t="s">
        <v>1436</v>
      </c>
      <c r="H104" s="2375">
        <f>IF(D36="同一抵押权人同一抵押物续贷",C36&amp;"（续贷，未扣减，详见特别提示）",C36)</f>
        <v>0</v>
      </c>
      <c r="I104" s="121"/>
    </row>
    <row r="105" spans="1:35" ht="18.75" customHeight="1" thickBot="1">
      <c r="A105" s="3441"/>
      <c r="B105" s="2371" t="s">
        <v>1434</v>
      </c>
      <c r="C105" s="2372">
        <f ca="1">I118</f>
        <v>64571</v>
      </c>
      <c r="D105" s="2373"/>
      <c r="E105" s="1551" t="s">
        <v>1439</v>
      </c>
      <c r="F105" s="1544"/>
      <c r="G105" s="1684" t="s">
        <v>1436</v>
      </c>
      <c r="H105" s="2376">
        <f>C37</f>
        <v>0</v>
      </c>
      <c r="I105" s="121"/>
    </row>
    <row r="106" spans="1:35" ht="18.75" customHeight="1">
      <c r="A106" s="646" t="s">
        <v>1440</v>
      </c>
      <c r="B106" s="646"/>
      <c r="C106" s="646"/>
      <c r="D106" s="646"/>
      <c r="E106" s="1685" t="s">
        <v>1441</v>
      </c>
      <c r="F106" s="1544"/>
      <c r="G106" s="1684" t="s">
        <v>1436</v>
      </c>
      <c r="H106" s="2376">
        <f>C38</f>
        <v>0</v>
      </c>
      <c r="I106" s="121"/>
    </row>
    <row r="107" spans="1:35" ht="18.75" customHeight="1">
      <c r="A107" s="121"/>
      <c r="B107" s="121"/>
      <c r="C107" s="121"/>
      <c r="D107" s="121"/>
      <c r="E107" s="3437" t="str">
        <f>IF(项目基本情况!E8="已注销","——","3.房地产抵押价值")</f>
        <v>3.房地产抵押价值</v>
      </c>
      <c r="F107" s="3438"/>
      <c r="G107" s="1683" t="s">
        <v>1432</v>
      </c>
      <c r="H107" s="2374">
        <f ca="1">IF(E107="——","——",H101-H103)</f>
        <v>330646</v>
      </c>
      <c r="I107" s="121"/>
    </row>
    <row r="108" spans="1:35" ht="18.75" customHeight="1">
      <c r="A108" s="121"/>
      <c r="B108" s="121"/>
      <c r="C108" s="121"/>
      <c r="D108" s="121"/>
      <c r="E108" s="3437"/>
      <c r="F108" s="3438"/>
      <c r="G108" s="1683" t="s">
        <v>1434</v>
      </c>
      <c r="H108" s="2334">
        <f ca="1">IF(H107=H101,H102,ROUND(H107*10000/'数据-汇总表'!E3,0))</f>
        <v>64571</v>
      </c>
      <c r="I108" s="121"/>
    </row>
    <row r="109" spans="1:35" ht="18.75" customHeight="1">
      <c r="A109" s="121"/>
      <c r="B109" s="121"/>
      <c r="C109" s="121"/>
      <c r="D109" s="121"/>
      <c r="E109" s="3437" t="str">
        <f>IF(项目基本情况!E8="已注销及未注销","4.抵押担保权已注销时的房地产抵押价值",IF(项目基本情况!E8="已注销","3.抵押担保权已注销时的房地产抵押价值","——"))</f>
        <v>——</v>
      </c>
      <c r="F109" s="3438"/>
      <c r="G109" s="1683" t="s">
        <v>1432</v>
      </c>
      <c r="H109" s="2377" t="str">
        <f>IF(E109="——","——",H101-H105-H106)</f>
        <v>——</v>
      </c>
      <c r="I109" s="121"/>
    </row>
    <row r="110" spans="1:35" ht="18.75" customHeight="1">
      <c r="A110" s="121"/>
      <c r="B110" s="121"/>
      <c r="C110" s="121"/>
      <c r="D110" s="121"/>
      <c r="E110" s="3437"/>
      <c r="F110" s="3438"/>
      <c r="G110" s="1683" t="s">
        <v>1434</v>
      </c>
      <c r="H110" s="2334" t="str">
        <f>IF(H109="——","——",ROUND(H109*10000/'数据-汇总表'!E3,0))</f>
        <v>——</v>
      </c>
      <c r="I110" s="121"/>
    </row>
    <row r="111" spans="1:35" ht="18.75" customHeight="1">
      <c r="A111" s="121"/>
      <c r="B111" s="121"/>
      <c r="C111" s="121"/>
      <c r="D111" s="121"/>
      <c r="E111" s="3469" t="str">
        <f>IF(项目基本情况!E9="抵押净值",IF(OR(项目基本情况!E8="已注销",项目基本情况!E8="房地产抵押价值"),"4.抵押净值","5.抵押净值"),"——")</f>
        <v>4.抵押净值</v>
      </c>
      <c r="F111" s="3439"/>
      <c r="G111" s="1683" t="s">
        <v>1432</v>
      </c>
      <c r="H111" s="2374">
        <f ca="1">IF(E111="——","——",N59)</f>
        <v>125701</v>
      </c>
      <c r="I111" s="121"/>
    </row>
    <row r="112" spans="1:35" ht="18.75" customHeight="1" thickBot="1">
      <c r="A112" s="121"/>
      <c r="B112" s="121"/>
      <c r="C112" s="121"/>
      <c r="D112" s="121"/>
      <c r="E112" s="3470"/>
      <c r="F112" s="3471"/>
      <c r="G112" s="1686" t="s">
        <v>1434</v>
      </c>
      <c r="H112" s="2378">
        <f ca="1">IF(E111="——","——",N61)</f>
        <v>24548</v>
      </c>
      <c r="I112" s="121"/>
    </row>
    <row r="113" spans="1:27" ht="18.75" customHeight="1">
      <c r="A113" s="121"/>
      <c r="B113" s="121"/>
      <c r="C113" s="121"/>
      <c r="D113" s="121"/>
      <c r="E113" s="3442" t="s">
        <v>1440</v>
      </c>
      <c r="F113" s="3442"/>
      <c r="G113" s="3442"/>
      <c r="H113" s="3442"/>
      <c r="I113" s="121"/>
    </row>
    <row r="114" spans="1:27" ht="3.75" customHeight="1">
      <c r="A114" s="646"/>
      <c r="B114" s="646"/>
      <c r="C114" s="646"/>
      <c r="D114" s="646"/>
      <c r="E114" s="1667"/>
      <c r="F114" s="1667"/>
      <c r="G114" s="1667"/>
      <c r="H114" s="1667"/>
      <c r="I114" s="646"/>
    </row>
    <row r="115" spans="1:27" ht="18.75" customHeight="1">
      <c r="A115" s="3452" t="s">
        <v>1442</v>
      </c>
      <c r="B115" s="3453"/>
      <c r="C115" s="3453"/>
      <c r="D115" s="3453"/>
      <c r="E115" s="3453"/>
      <c r="F115" s="3453"/>
      <c r="G115" s="3453"/>
      <c r="H115" s="3453"/>
      <c r="I115" s="3454"/>
    </row>
    <row r="116" spans="1:27" ht="27" customHeight="1">
      <c r="A116" s="3408" t="s">
        <v>1443</v>
      </c>
      <c r="B116" s="3443" t="s">
        <v>1444</v>
      </c>
      <c r="C116" s="3443" t="s">
        <v>1445</v>
      </c>
      <c r="D116" s="3456" t="s">
        <v>1446</v>
      </c>
      <c r="E116" s="3457"/>
      <c r="F116" s="3451" t="s">
        <v>1447</v>
      </c>
      <c r="G116" s="3451"/>
      <c r="H116" s="3408" t="s">
        <v>1448</v>
      </c>
      <c r="I116" s="3408"/>
    </row>
    <row r="117" spans="1:27" ht="18.75" customHeight="1">
      <c r="A117" s="3408"/>
      <c r="B117" s="3444"/>
      <c r="C117" s="3444"/>
      <c r="D117" s="2146" t="s">
        <v>1449</v>
      </c>
      <c r="E117" s="2146" t="s">
        <v>1450</v>
      </c>
      <c r="F117" s="2146" t="s">
        <v>1449</v>
      </c>
      <c r="G117" s="2146" t="s">
        <v>1451</v>
      </c>
      <c r="H117" s="2146" t="s">
        <v>1449</v>
      </c>
      <c r="I117" s="2146" t="s">
        <v>1451</v>
      </c>
    </row>
    <row r="118" spans="1:27" ht="24.75" customHeight="1">
      <c r="A118" s="2379" t="str">
        <f>项目基本情况!S2</f>
        <v>北京市西城区平安里西大街28号楼1层101等[34]套房地产</v>
      </c>
      <c r="B118" s="2146">
        <f>M18</f>
        <v>51206.530000000006</v>
      </c>
      <c r="C118" s="2146">
        <f>M19</f>
        <v>6088.55</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330646</v>
      </c>
      <c r="I118" s="2146">
        <f ca="1">ROUND(IF(D32="楼面单价",C32,H118*10000/B118),0)</f>
        <v>64571</v>
      </c>
    </row>
    <row r="119" spans="1:27" ht="18.75" customHeight="1">
      <c r="A119" s="3408" t="s">
        <v>1452</v>
      </c>
      <c r="B119" s="3408"/>
      <c r="C119" s="3408"/>
      <c r="D119" s="3448" t="str">
        <f>NUMBERSTRING(INT(D118*10000),2)&amp;"元整"</f>
        <v>零元整</v>
      </c>
      <c r="E119" s="3450"/>
      <c r="F119" s="3448" t="str">
        <f>NUMBERSTRING(INT(F118*10000),2)&amp;"元整"</f>
        <v>零元整</v>
      </c>
      <c r="G119" s="3450"/>
      <c r="H119" s="3448" t="str">
        <f ca="1">NUMBERSTRING(INT(H118*10000),2)&amp;"元整"</f>
        <v>叁拾叁亿零陆佰肆拾陆万元整</v>
      </c>
      <c r="I119" s="3450"/>
    </row>
    <row r="120" spans="1:27" ht="18.75" customHeight="1">
      <c r="A120" s="3472" t="str">
        <f>IF(项目基本情况!B9="房地产市场价值","",MID(E103,3,LEN(E103)-2))</f>
        <v>估价师知悉的法定优先受偿款</v>
      </c>
      <c r="B120" s="3473"/>
      <c r="C120" s="3474"/>
      <c r="D120" s="3472">
        <f>H103</f>
        <v>0</v>
      </c>
      <c r="E120" s="3473"/>
      <c r="F120" s="3473"/>
      <c r="G120" s="3473"/>
      <c r="H120" s="3473"/>
      <c r="I120" s="3474"/>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448" t="s">
        <v>1452</v>
      </c>
      <c r="B121" s="3449"/>
      <c r="C121" s="3450"/>
      <c r="D121" s="3448" t="str">
        <f>IF(D120=0,"零元整",NUMBERSTRING(INT(D120*10000),2)&amp;"元整")</f>
        <v>零元整</v>
      </c>
      <c r="E121" s="3449"/>
      <c r="F121" s="3449"/>
      <c r="G121" s="3449"/>
      <c r="H121" s="3449"/>
      <c r="I121" s="3450"/>
      <c r="AA121" s="684"/>
    </row>
    <row r="122" spans="1:27" ht="18.75" customHeight="1">
      <c r="A122" s="3439" t="str">
        <f>IF(项目基本情况!B9="房地产市场价值","",MID(E107,3,LEN(E107)-2))</f>
        <v>房地产抵押价值</v>
      </c>
      <c r="B122" s="3439"/>
      <c r="C122" s="3439"/>
      <c r="D122" s="3472">
        <f ca="1">H107</f>
        <v>330646</v>
      </c>
      <c r="E122" s="3473"/>
      <c r="F122" s="3473"/>
      <c r="G122" s="3473"/>
      <c r="H122" s="3473"/>
      <c r="I122" s="3474"/>
      <c r="AA122" s="684"/>
    </row>
    <row r="123" spans="1:27" ht="18.75" customHeight="1">
      <c r="A123" s="3408" t="s">
        <v>1452</v>
      </c>
      <c r="B123" s="3408"/>
      <c r="C123" s="3408"/>
      <c r="D123" s="3448" t="str">
        <f ca="1">NUMBERSTRING(INT(D122*10000),2)&amp;"元整"</f>
        <v>叁拾叁亿零陆佰肆拾陆万元整</v>
      </c>
      <c r="E123" s="3449"/>
      <c r="F123" s="3449"/>
      <c r="G123" s="3449"/>
      <c r="H123" s="3449"/>
      <c r="I123" s="3450"/>
      <c r="AA123" s="684"/>
    </row>
    <row r="124" spans="1:27" ht="18.75" customHeight="1">
      <c r="A124" s="3439" t="str">
        <f>IF(项目基本情况!B9="房地产市场价值","",MID(E109,3,LEN(E109)-2))</f>
        <v/>
      </c>
      <c r="B124" s="3439"/>
      <c r="C124" s="3439"/>
      <c r="D124" s="3472" t="str">
        <f>H109</f>
        <v>——</v>
      </c>
      <c r="E124" s="3473"/>
      <c r="F124" s="3473"/>
      <c r="G124" s="3473"/>
      <c r="H124" s="3473"/>
      <c r="I124" s="3474"/>
      <c r="AA124" s="684"/>
    </row>
    <row r="125" spans="1:27" ht="18.75" customHeight="1">
      <c r="A125" s="3408" t="s">
        <v>1452</v>
      </c>
      <c r="B125" s="3408"/>
      <c r="C125" s="3408"/>
      <c r="D125" s="3448" t="e">
        <f>NUMBERSTRING(INT(D124*10000),2)&amp;"元整"</f>
        <v>#VALUE!</v>
      </c>
      <c r="E125" s="3449"/>
      <c r="F125" s="3449"/>
      <c r="G125" s="3449"/>
      <c r="H125" s="3449"/>
      <c r="I125" s="3450"/>
      <c r="AA125" s="684"/>
    </row>
    <row r="126" spans="1:27" ht="18.75" customHeight="1">
      <c r="A126" s="3439" t="str">
        <f>IF(项目基本情况!B9="房地产市场价值","",MID(E111,3,LEN(E111)-2))</f>
        <v>抵押净值</v>
      </c>
      <c r="B126" s="3439"/>
      <c r="C126" s="3439"/>
      <c r="D126" s="3472">
        <f ca="1">H111</f>
        <v>125701</v>
      </c>
      <c r="E126" s="3473"/>
      <c r="F126" s="3473"/>
      <c r="G126" s="3473"/>
      <c r="H126" s="3473"/>
      <c r="I126" s="3474"/>
      <c r="AA126" s="684"/>
    </row>
    <row r="127" spans="1:27" ht="18.75" customHeight="1">
      <c r="A127" s="3408" t="s">
        <v>1452</v>
      </c>
      <c r="B127" s="3408"/>
      <c r="C127" s="3408"/>
      <c r="D127" s="3448" t="str">
        <f ca="1">NUMBERSTRING(INT(D126*10000),2)&amp;"元整"</f>
        <v>壹拾贰亿伍仟柒佰零壹万元整</v>
      </c>
      <c r="E127" s="3449"/>
      <c r="F127" s="3449"/>
      <c r="G127" s="3449"/>
      <c r="H127" s="3449"/>
      <c r="I127" s="3450"/>
      <c r="AA127" s="684"/>
    </row>
    <row r="128" spans="1:27" ht="21.75" customHeight="1">
      <c r="A128" s="3455" t="s">
        <v>1453</v>
      </c>
      <c r="B128" s="3455"/>
      <c r="C128" s="3455"/>
      <c r="D128" s="3455"/>
      <c r="E128" s="3455"/>
      <c r="F128" s="3455"/>
      <c r="G128" s="3455"/>
      <c r="H128" s="3455"/>
      <c r="I128" s="3455"/>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0"/>
      <c r="C1" s="1713" t="s">
        <v>1563</v>
      </c>
      <c r="D1" s="190"/>
      <c r="E1" s="190"/>
      <c r="F1" s="190"/>
      <c r="G1" s="1059">
        <f>MATCH(B1,'数据-取费表'!A6:A16,0)+5</f>
        <v>10</v>
      </c>
      <c r="H1" s="995" t="str">
        <f>IF(ISERROR(FIND("住宅",B1)),"非住宅","住宅")</f>
        <v>非住宅</v>
      </c>
    </row>
    <row r="2" spans="1:8" s="192" customFormat="1" ht="18" customHeight="1">
      <c r="A2" s="193" t="s">
        <v>1462</v>
      </c>
      <c r="B2" s="3114">
        <f ca="1">ROUND(IF(D2="——",C52/10000,C52/10000-E2),4)</f>
        <v>40688.550000000003</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f ca="1">ROUND(B2*10000/(IF(B1="",'数据-汇总表'!E3,INDIRECT("'数据-取费表'!k"&amp;$G$1))),0)</f>
        <v>7946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10241306</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10241306</v>
      </c>
      <c r="D8" s="214"/>
      <c r="E8" s="212"/>
      <c r="F8" s="213"/>
      <c r="G8" s="1710"/>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10241306</v>
      </c>
      <c r="D10" s="792">
        <f ca="1">IF(B1="",'数据-汇总表'!E6,IF(INDIRECT("'数据-取费表'!c"&amp;$G$1)="住宅",INDIRECT("'数据-取费表'!s"&amp;$G$1),INDIRECT("'数据-取费表'!k"&amp;$G$1)+INDIRECT("'数据-取费表'!s"&amp;$G$1)))</f>
        <v>51206.530000000006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10241306</v>
      </c>
      <c r="D19" s="204">
        <f ca="1">D9+D10</f>
        <v>51206.530000000006</v>
      </c>
      <c r="E19" s="203">
        <f>'数据-取费表'!B31</f>
        <v>200</v>
      </c>
      <c r="F19" s="223"/>
      <c r="G19" s="1710"/>
    </row>
    <row r="20" spans="1:7" s="206" customFormat="1" ht="13.5" customHeight="1">
      <c r="A20" s="247" t="s">
        <v>1574</v>
      </c>
      <c r="B20" s="202" t="s">
        <v>1575</v>
      </c>
      <c r="C20" s="224">
        <f ca="1">ROUND((C5+C19)*F20,0)</f>
        <v>409652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1983740</v>
      </c>
      <c r="D22" s="227">
        <f ca="1">C26</f>
        <v>8.9999999999999998E-4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982272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982272</v>
      </c>
      <c r="D24" s="230"/>
      <c r="E24" s="230"/>
      <c r="F24" s="231"/>
      <c r="G24" s="232" t="s">
        <v>1586</v>
      </c>
    </row>
    <row r="25" spans="1:7" s="206" customFormat="1" ht="24">
      <c r="A25" s="731" t="s">
        <v>1476</v>
      </c>
      <c r="B25" s="207" t="s">
        <v>1587</v>
      </c>
      <c r="C25" s="230">
        <f ca="1">ROUND(IF('数据-取费表'!B22&lt;=1,C20*F22*'数据-取费表'!B22/2,C20*(POWER((1+F22),'数据-取费表'!B22/2)-1)),0)</f>
        <v>19196</v>
      </c>
      <c r="D25" s="230"/>
      <c r="E25" s="233"/>
      <c r="F25" s="231"/>
      <c r="G25" s="234" t="s">
        <v>1588</v>
      </c>
    </row>
    <row r="26" spans="1:7" s="206" customFormat="1">
      <c r="A26" s="731"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3760608</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ROUND((C5+C19+C20)*F27,0)</f>
        <v>3760608</v>
      </c>
      <c r="D28" s="227"/>
      <c r="E28" s="228"/>
      <c r="F28" s="238"/>
      <c r="G28" s="239"/>
    </row>
    <row r="29" spans="1:7" s="206" customFormat="1" ht="13.5" customHeight="1">
      <c r="A29" s="731"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28883769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348204404</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307239180</v>
      </c>
      <c r="D34" s="209"/>
      <c r="E34" s="212"/>
      <c r="F34" s="249"/>
      <c r="G34" s="211"/>
    </row>
    <row r="35" spans="1:7" ht="13.5" customHeight="1">
      <c r="A35" s="731" t="s">
        <v>351</v>
      </c>
      <c r="B35" s="207" t="s">
        <v>1527</v>
      </c>
      <c r="C35" s="212">
        <f ca="1">ROUND(C34*F35,0)</f>
        <v>24579134</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10241306</v>
      </c>
      <c r="D37" s="209">
        <f ca="1">D19</f>
        <v>51206.530000000006</v>
      </c>
      <c r="E37" s="241">
        <f>'数据-取费表'!B35</f>
        <v>200</v>
      </c>
      <c r="F37" s="251"/>
      <c r="G37" s="253"/>
    </row>
    <row r="38" spans="1:7" ht="13.5" customHeight="1">
      <c r="A38" s="731" t="s">
        <v>354</v>
      </c>
      <c r="B38" s="207" t="s">
        <v>1533</v>
      </c>
      <c r="C38" s="212">
        <f ca="1">ROUND(C34*F38,0)</f>
        <v>6144784</v>
      </c>
      <c r="D38" s="212"/>
      <c r="E38" s="212"/>
      <c r="F38" s="251">
        <f>'数据-取费表'!B36</f>
        <v>0.02</v>
      </c>
      <c r="G38" s="211" t="s">
        <v>1528</v>
      </c>
    </row>
    <row r="39" spans="1:7" s="206" customFormat="1" ht="13.5" customHeight="1">
      <c r="A39" s="247" t="s">
        <v>1534</v>
      </c>
      <c r="B39" s="202" t="s">
        <v>1535</v>
      </c>
      <c r="C39" s="224">
        <f ca="1">ROUND(C33*F20,0)</f>
        <v>6964088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16642675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16316348</v>
      </c>
      <c r="D42" s="230"/>
      <c r="E42" s="230"/>
      <c r="F42" s="231"/>
      <c r="G42" s="3488" t="s">
        <v>1591</v>
      </c>
    </row>
    <row r="43" spans="1:7" ht="13.5" customHeight="1">
      <c r="A43" s="731" t="s">
        <v>347</v>
      </c>
      <c r="B43" s="207" t="s">
        <v>1545</v>
      </c>
      <c r="C43" s="230">
        <f ca="1">ROUND(IF('数据-取费表'!B22&lt;=1,C39*F22*'数据-取费表'!B20/2,C39*(POWER((1+F22),'数据-取费表'!B20/2)-1)),0)</f>
        <v>326327</v>
      </c>
      <c r="D43" s="230"/>
      <c r="E43" s="230"/>
      <c r="F43" s="231"/>
      <c r="G43" s="3489"/>
    </row>
    <row r="44" spans="1:7" ht="13.5" customHeight="1">
      <c r="A44" s="731" t="s">
        <v>348</v>
      </c>
      <c r="B44" s="207" t="s">
        <v>1546</v>
      </c>
      <c r="C44" s="230">
        <f ca="1">ROUND(IF('数据-取费表'!B22&lt;=1,C40*F22*'数据-取费表'!B20/2,C40*(POWER((1+F22),'数据-取费表'!B20/2)-1)),4)</f>
        <v>8.9999999999999998E-4</v>
      </c>
      <c r="D44" s="230"/>
      <c r="E44" s="230"/>
      <c r="F44" s="231"/>
      <c r="G44" s="3490"/>
    </row>
    <row r="45" spans="1:7" s="206" customFormat="1" ht="13.5" customHeight="1">
      <c r="A45" s="247" t="s">
        <v>1547</v>
      </c>
      <c r="B45" s="236" t="s">
        <v>1513</v>
      </c>
      <c r="C45" s="237">
        <f ca="1">C46</f>
        <v>63930329</v>
      </c>
      <c r="D45" s="227">
        <f ca="1">C47</f>
        <v>3.5999999999999999E-3</v>
      </c>
      <c r="E45" s="228" t="s">
        <v>1539</v>
      </c>
      <c r="F45" s="238">
        <f ca="1">F27</f>
        <v>0.18</v>
      </c>
      <c r="G45" s="239" t="s">
        <v>1548</v>
      </c>
    </row>
    <row r="46" spans="1:7" s="206" customFormat="1" ht="13.5" customHeight="1">
      <c r="A46" s="731" t="s">
        <v>346</v>
      </c>
      <c r="B46" s="240" t="s">
        <v>1549</v>
      </c>
      <c r="C46" s="241">
        <f ca="1">ROUND((C33+C39)*F27,0)</f>
        <v>63930329</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472502164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378001731</v>
      </c>
      <c r="D51" s="224"/>
      <c r="E51" s="224"/>
      <c r="F51" s="256"/>
      <c r="G51" s="226" t="s">
        <v>1560</v>
      </c>
    </row>
    <row r="52" spans="1:7" s="200" customFormat="1" ht="16.8" thickBot="1">
      <c r="A52" s="257" t="s">
        <v>1561</v>
      </c>
      <c r="B52" s="258"/>
      <c r="C52" s="259">
        <f ca="1">C31+C51</f>
        <v>406885500</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300" t="str">
        <f>项目基本情况!B1</f>
        <v>北京市西城区平安里西大街28号楼1层101等[34]套房地产抵押价值预评估</v>
      </c>
      <c r="C37" s="3300"/>
      <c r="D37" s="3300"/>
      <c r="E37" s="3300"/>
      <c r="F37" s="3300"/>
      <c r="G37" s="3300"/>
      <c r="H37" s="3300"/>
      <c r="I37" s="33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c r="B46" s="1374" t="str">
        <f ca="1">项目基本情况!K4</f>
        <v>郑燚（注册号：1120070131)、（注册号：0)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2" customWidth="1"/>
    <col min="3" max="3" width="10.33203125" style="771" customWidth="1"/>
    <col min="4" max="4" width="9.88671875" style="732" customWidth="1"/>
    <col min="5" max="5" width="9.44140625" style="687"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6"/>
      <c r="D1" s="1105"/>
      <c r="E1" s="2559"/>
      <c r="F1" s="2559"/>
      <c r="G1" s="2441"/>
      <c r="H1" s="2559"/>
      <c r="I1" s="2559"/>
      <c r="J1" s="2559"/>
      <c r="K1" s="2560">
        <f>MATCH(C1,'数据-取费表'!A6:A16,0)+5</f>
        <v>10</v>
      </c>
    </row>
    <row r="2" spans="1:33" ht="18" customHeight="1">
      <c r="A2" s="193" t="s">
        <v>1462</v>
      </c>
      <c r="B2" s="196">
        <f ca="1">C32</f>
        <v>0</v>
      </c>
      <c r="C2" s="268" t="s">
        <v>1595</v>
      </c>
      <c r="D2" s="268"/>
      <c r="E2" s="2559"/>
      <c r="F2" s="2559"/>
      <c r="G2" s="2559"/>
      <c r="H2" s="2559"/>
      <c r="I2" s="2559"/>
      <c r="J2" s="2559"/>
      <c r="K2" s="2559"/>
    </row>
    <row r="3" spans="1:33" ht="18" customHeight="1" thickBot="1">
      <c r="A3" s="195" t="s">
        <v>1464</v>
      </c>
      <c r="B3" s="196">
        <f ca="1">ROUND(B2*10000/IF(C1="",'数据-汇总表'!E3,INDIRECT("'数据-取费表'!K"&amp;$K$1)),0)</f>
        <v>0</v>
      </c>
      <c r="C3" s="268" t="s">
        <v>1596</v>
      </c>
      <c r="D3" s="268"/>
      <c r="E3" s="2559"/>
      <c r="F3" s="2559"/>
      <c r="G3" s="2559"/>
      <c r="H3" s="2559"/>
      <c r="I3" s="2559"/>
      <c r="J3" s="2559"/>
      <c r="K3" s="2559"/>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51206.530000000006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51206.530000000006</v>
      </c>
      <c r="E17" s="21">
        <f>'数据-取费表'!B32</f>
        <v>0</v>
      </c>
      <c r="F17" s="755"/>
      <c r="G17" s="123"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1627</v>
      </c>
      <c r="C20" s="21">
        <f ca="1">ROUND(D20*E20/10000,0)</f>
        <v>1024</v>
      </c>
      <c r="D20" s="793">
        <f ca="1">IF(C1="",'数据-汇总表'!E6,IF(INDIRECT("'数据-取费表'!c"&amp;$K$1)="住宅",INDIRECT("'数据-取费表'!s"&amp;$K$1),INDIRECT("'数据-取费表'!k"&amp;$K$1)+INDIRECT("'数据-取费表'!s"&amp;$K$1)))</f>
        <v>51206.530000000006</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1641</v>
      </c>
      <c r="B28" s="1719" t="s">
        <v>1642</v>
      </c>
      <c r="C28" s="279">
        <f ca="1">C30</f>
        <v>0</v>
      </c>
      <c r="D28" s="272">
        <f ca="1">C29</f>
        <v>0</v>
      </c>
      <c r="E28" s="274" t="s">
        <v>12</v>
      </c>
      <c r="F28" s="280">
        <f ca="1">IF(C1="",'数据-取费表'!Q16,INDIRECT("'数据-取费表'!q"&amp;$K$1))</f>
        <v>0.18</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0"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2:R8"/>
  <sheetViews>
    <sheetView zoomScale="70" zoomScaleNormal="70" workbookViewId="0">
      <selection activeCell="S4" sqref="S4"/>
    </sheetView>
  </sheetViews>
  <sheetFormatPr defaultColWidth="9" defaultRowHeight="14.4"/>
  <cols>
    <col min="1" max="1" width="9" style="3186"/>
    <col min="2" max="2" width="22.44140625" style="3186" customWidth="1"/>
    <col min="3" max="3" width="24.21875" style="3186" customWidth="1"/>
    <col min="4" max="8" width="9" style="3186"/>
    <col min="9" max="9" width="11.6640625" style="3186" bestFit="1" customWidth="1"/>
    <col min="10" max="10" width="10.44140625" style="3186" bestFit="1" customWidth="1"/>
    <col min="11" max="11" width="11.6640625" style="3186" bestFit="1" customWidth="1"/>
    <col min="12" max="15" width="9" style="3186"/>
    <col min="16" max="16" width="14.6640625" style="3186" bestFit="1" customWidth="1"/>
    <col min="17" max="17" width="37.6640625" style="3186" customWidth="1"/>
    <col min="18" max="16384" width="9" style="3186"/>
  </cols>
  <sheetData>
    <row r="2" spans="1:18" ht="48">
      <c r="A2" s="3182"/>
      <c r="B2" s="3182" t="s">
        <v>3593</v>
      </c>
      <c r="C2" s="3182" t="s">
        <v>3594</v>
      </c>
      <c r="D2" s="3182" t="s">
        <v>3595</v>
      </c>
      <c r="E2" s="3182" t="s">
        <v>3596</v>
      </c>
      <c r="F2" s="3182" t="s">
        <v>3597</v>
      </c>
      <c r="G2" s="3182" t="s">
        <v>3598</v>
      </c>
      <c r="H2" s="3182" t="s">
        <v>3599</v>
      </c>
      <c r="I2" s="3182" t="s">
        <v>3600</v>
      </c>
      <c r="J2" s="3183" t="s">
        <v>3601</v>
      </c>
      <c r="K2" s="3182" t="s">
        <v>3602</v>
      </c>
      <c r="L2" s="3182" t="s">
        <v>3603</v>
      </c>
      <c r="M2" s="3184" t="s">
        <v>3604</v>
      </c>
      <c r="N2" s="3182" t="s">
        <v>3605</v>
      </c>
      <c r="O2" s="3182" t="s">
        <v>3606</v>
      </c>
      <c r="P2" s="3185" t="s">
        <v>3607</v>
      </c>
      <c r="Q2" s="3182" t="s">
        <v>3608</v>
      </c>
      <c r="R2" s="3182" t="s">
        <v>3609</v>
      </c>
    </row>
    <row r="3" spans="1:18" ht="36">
      <c r="A3" s="3182">
        <v>1</v>
      </c>
      <c r="B3" s="3182" t="s">
        <v>3610</v>
      </c>
      <c r="C3" s="3182" t="s">
        <v>3611</v>
      </c>
      <c r="D3" s="3187" t="s">
        <v>2732</v>
      </c>
      <c r="E3" s="3187" t="s">
        <v>3612</v>
      </c>
      <c r="F3" s="3187"/>
      <c r="G3" s="3182" t="s">
        <v>460</v>
      </c>
      <c r="H3" s="3187"/>
      <c r="I3" s="3187">
        <v>976.82</v>
      </c>
      <c r="J3" s="3188">
        <v>976.82</v>
      </c>
      <c r="K3" s="3187"/>
      <c r="L3" s="3187">
        <v>6550.8624</v>
      </c>
      <c r="M3" s="3184">
        <v>67063</v>
      </c>
      <c r="N3" s="3189">
        <v>67063.147765197267</v>
      </c>
      <c r="O3" s="3182" t="s">
        <v>3613</v>
      </c>
      <c r="P3" s="3190">
        <v>45146</v>
      </c>
      <c r="Q3" s="3187" t="s">
        <v>3614</v>
      </c>
      <c r="R3" s="3187" t="s">
        <v>3615</v>
      </c>
    </row>
    <row r="4" spans="1:18" s="3196" customFormat="1" ht="36">
      <c r="A4" s="3191">
        <v>2</v>
      </c>
      <c r="B4" s="3191" t="s">
        <v>3616</v>
      </c>
      <c r="C4" s="3191" t="s">
        <v>3617</v>
      </c>
      <c r="D4" s="3191" t="s">
        <v>2732</v>
      </c>
      <c r="E4" s="3192" t="s">
        <v>3618</v>
      </c>
      <c r="F4" s="3191" t="s">
        <v>3619</v>
      </c>
      <c r="G4" s="3191" t="s">
        <v>3620</v>
      </c>
      <c r="H4" s="3192"/>
      <c r="I4" s="3192">
        <v>7613.81</v>
      </c>
      <c r="J4" s="3193">
        <v>7613.81</v>
      </c>
      <c r="K4" s="3193">
        <v>0</v>
      </c>
      <c r="L4" s="3192">
        <v>52540.62</v>
      </c>
      <c r="M4" s="3184">
        <v>69007</v>
      </c>
      <c r="N4" s="3192">
        <v>69007</v>
      </c>
      <c r="O4" s="3191" t="s">
        <v>0</v>
      </c>
      <c r="P4" s="3194">
        <v>45139</v>
      </c>
      <c r="Q4" s="3191" t="s">
        <v>3621</v>
      </c>
      <c r="R4" s="3195" t="s">
        <v>3622</v>
      </c>
    </row>
    <row r="5" spans="1:18" ht="120">
      <c r="A5" s="3182">
        <v>3</v>
      </c>
      <c r="B5" s="3182" t="s">
        <v>3623</v>
      </c>
      <c r="C5" s="3187" t="s">
        <v>3624</v>
      </c>
      <c r="D5" s="3187" t="s">
        <v>2684</v>
      </c>
      <c r="E5" s="3187" t="s">
        <v>3625</v>
      </c>
      <c r="F5" s="3187" t="s">
        <v>3626</v>
      </c>
      <c r="G5" s="3182" t="s">
        <v>3627</v>
      </c>
      <c r="H5" s="3187"/>
      <c r="I5" s="3197">
        <v>28571.759999999998</v>
      </c>
      <c r="J5" s="3188">
        <v>18033</v>
      </c>
      <c r="K5" s="3187">
        <v>10538.76</v>
      </c>
      <c r="L5" s="3187">
        <v>110090</v>
      </c>
      <c r="M5" s="3198">
        <v>38531</v>
      </c>
      <c r="N5" s="3187">
        <v>61049</v>
      </c>
      <c r="O5" s="3182" t="s">
        <v>3628</v>
      </c>
      <c r="P5" s="3190" t="s">
        <v>3629</v>
      </c>
      <c r="Q5" s="3182" t="s">
        <v>3630</v>
      </c>
      <c r="R5" s="3199" t="s">
        <v>3631</v>
      </c>
    </row>
    <row r="6" spans="1:18" ht="48">
      <c r="A6" s="3182">
        <v>4</v>
      </c>
      <c r="B6" s="3187" t="s">
        <v>3632</v>
      </c>
      <c r="C6" s="3182" t="s">
        <v>3633</v>
      </c>
      <c r="D6" s="3187" t="s">
        <v>2649</v>
      </c>
      <c r="E6" s="3187" t="s">
        <v>3634</v>
      </c>
      <c r="F6" s="3187" t="s">
        <v>3635</v>
      </c>
      <c r="G6" s="3182" t="s">
        <v>3636</v>
      </c>
      <c r="H6" s="3187"/>
      <c r="I6" s="3187">
        <v>27705.94</v>
      </c>
      <c r="J6" s="3188">
        <v>21015.98</v>
      </c>
      <c r="K6" s="3187">
        <v>6689.96</v>
      </c>
      <c r="L6" s="3187">
        <v>137000</v>
      </c>
      <c r="M6" s="3184">
        <v>49448</v>
      </c>
      <c r="N6" s="3200">
        <v>65188.489901494009</v>
      </c>
      <c r="O6" s="3187" t="s">
        <v>3637</v>
      </c>
      <c r="P6" s="3190">
        <v>45545</v>
      </c>
      <c r="Q6" s="3182" t="s">
        <v>3638</v>
      </c>
      <c r="R6" s="3187" t="s">
        <v>3639</v>
      </c>
    </row>
    <row r="7" spans="1:18" s="3201" customFormat="1" ht="72">
      <c r="A7" s="3182">
        <v>5</v>
      </c>
      <c r="B7" s="3182" t="s">
        <v>3640</v>
      </c>
      <c r="C7" s="3182" t="s">
        <v>3641</v>
      </c>
      <c r="D7" s="3187" t="s">
        <v>3642</v>
      </c>
      <c r="E7" s="3187" t="s">
        <v>3643</v>
      </c>
      <c r="F7" s="3187" t="s">
        <v>3644</v>
      </c>
      <c r="G7" s="3182" t="s">
        <v>3645</v>
      </c>
      <c r="H7" s="3187">
        <v>7374.49</v>
      </c>
      <c r="I7" s="3187">
        <v>58239.38</v>
      </c>
      <c r="J7" s="3188">
        <v>44759.39</v>
      </c>
      <c r="K7" s="3188">
        <v>13479.989999999998</v>
      </c>
      <c r="L7" s="3187">
        <v>252631.57894736843</v>
      </c>
      <c r="M7" s="3184">
        <v>43378</v>
      </c>
      <c r="N7" s="3200">
        <v>56442.140732339831</v>
      </c>
      <c r="O7" s="3187" t="s">
        <v>3646</v>
      </c>
      <c r="P7" s="3190" t="s">
        <v>3647</v>
      </c>
      <c r="Q7" s="3182" t="s">
        <v>3648</v>
      </c>
      <c r="R7" s="3187" t="s">
        <v>3649</v>
      </c>
    </row>
    <row r="8" spans="1:18" s="3201" customFormat="1" ht="60">
      <c r="A8" s="3182">
        <v>6</v>
      </c>
      <c r="B8" s="3187" t="s">
        <v>3650</v>
      </c>
      <c r="C8" s="3187" t="s">
        <v>3651</v>
      </c>
      <c r="D8" s="3187" t="s">
        <v>2719</v>
      </c>
      <c r="E8" s="3187" t="s">
        <v>3652</v>
      </c>
      <c r="F8" s="3187" t="s">
        <v>3653</v>
      </c>
      <c r="G8" s="3182" t="s">
        <v>3654</v>
      </c>
      <c r="H8" s="3187"/>
      <c r="I8" s="3197">
        <v>127535.63</v>
      </c>
      <c r="J8" s="3188">
        <f>47020.4+31138.32</f>
        <v>78158.720000000001</v>
      </c>
      <c r="K8" s="3202">
        <f>I8-J8</f>
        <v>49376.91</v>
      </c>
      <c r="L8" s="3187">
        <v>440000</v>
      </c>
      <c r="M8" s="3184">
        <f>ROUND(L8/I8*10000,0)</f>
        <v>34500</v>
      </c>
      <c r="N8" s="3200">
        <f>L8/J8*10000</f>
        <v>56295.701874339808</v>
      </c>
      <c r="O8" s="3187" t="s">
        <v>3655</v>
      </c>
      <c r="P8" s="3190" t="s">
        <v>3656</v>
      </c>
      <c r="Q8" s="3182" t="s">
        <v>3657</v>
      </c>
      <c r="R8" s="3187" t="s">
        <v>3658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A20" zoomScale="85" zoomScaleNormal="70" zoomScaleSheetLayoutView="85" workbookViewId="0">
      <selection activeCell="K44" sqref="K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6.21875" style="347" customWidth="1"/>
    <col min="6" max="6" width="12.21875" style="347" customWidth="1"/>
    <col min="7" max="7" width="24.77734375" style="347" customWidth="1"/>
    <col min="8" max="8" width="12.21875" style="347" customWidth="1"/>
    <col min="9" max="9" width="20.332031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1810</v>
      </c>
      <c r="C1" s="1137" t="s">
        <v>1662</v>
      </c>
      <c r="D1" s="1138"/>
      <c r="E1" s="3122" t="s">
        <v>3558</v>
      </c>
      <c r="F1" s="1731" t="s">
        <v>3559</v>
      </c>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f>IF(E1="项目模式",IF(C2="——",ROUND(C50*D3/10000,0),ROUND(C50*D3/10000,0)-D2),IF(E1="单套模式",IF(C2="——",ROUND(C50*D3/10000,4),ROUND(C50*D3/10000,4)-D2)))</f>
        <v>367699</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71807</v>
      </c>
      <c r="C3" s="344" t="s">
        <v>1768</v>
      </c>
      <c r="D3" s="343">
        <f>IF(D1="",'数据-汇总表'!E3,SUMIF('数据-汇总表'!$C19:$C33,D1,'数据-汇总表'!$E19:$E33))</f>
        <v>51206.530000000006</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13" t="s">
        <v>1775</v>
      </c>
      <c r="Q4" s="3514"/>
      <c r="R4" s="3519" t="s">
        <v>1771</v>
      </c>
      <c r="S4" s="3520"/>
      <c r="T4" s="3519" t="s">
        <v>1772</v>
      </c>
      <c r="U4" s="3520"/>
      <c r="V4" s="3525" t="s">
        <v>1773</v>
      </c>
      <c r="W4" s="3525"/>
      <c r="X4" s="1805"/>
      <c r="Y4" s="3519" t="s">
        <v>1775</v>
      </c>
      <c r="Z4" s="3520"/>
      <c r="AA4" s="3536" t="s">
        <v>1771</v>
      </c>
      <c r="AB4" s="3536" t="s">
        <v>1772</v>
      </c>
      <c r="AC4" s="3506" t="s">
        <v>1773</v>
      </c>
    </row>
    <row r="5" spans="1:29">
      <c r="A5" s="348"/>
      <c r="B5" s="349"/>
      <c r="C5" s="3528" t="s">
        <v>3589</v>
      </c>
      <c r="D5" s="3529"/>
      <c r="E5" s="3539" t="s">
        <v>3590</v>
      </c>
      <c r="F5" s="3540"/>
      <c r="G5" s="3528" t="s">
        <v>3592</v>
      </c>
      <c r="H5" s="3529"/>
      <c r="I5" s="3528" t="s">
        <v>3757</v>
      </c>
      <c r="J5" s="3529"/>
      <c r="K5" s="537"/>
      <c r="L5" s="2478"/>
      <c r="M5" s="2479"/>
      <c r="N5" s="2479"/>
      <c r="O5" s="2479"/>
      <c r="P5" s="3515"/>
      <c r="Q5" s="3516"/>
      <c r="R5" s="3521"/>
      <c r="S5" s="3522"/>
      <c r="T5" s="3521"/>
      <c r="U5" s="3522"/>
      <c r="V5" s="3493"/>
      <c r="W5" s="3493"/>
      <c r="X5" s="1261"/>
      <c r="Y5" s="3521"/>
      <c r="Z5" s="3522"/>
      <c r="AA5" s="3537"/>
      <c r="AB5" s="3537"/>
      <c r="AC5" s="3507"/>
    </row>
    <row r="6" spans="1:29" ht="15" thickBot="1">
      <c r="A6" s="350"/>
      <c r="B6" s="351"/>
      <c r="C6" s="3526" t="s">
        <v>3770</v>
      </c>
      <c r="D6" s="3527"/>
      <c r="E6" s="3534" t="s">
        <v>3770</v>
      </c>
      <c r="F6" s="3535"/>
      <c r="G6" s="3526" t="s">
        <v>3775</v>
      </c>
      <c r="H6" s="3527"/>
      <c r="I6" s="3526" t="s">
        <v>3776</v>
      </c>
      <c r="J6" s="3527"/>
      <c r="K6" s="537" t="s">
        <v>1678</v>
      </c>
      <c r="L6" s="2478"/>
      <c r="M6" s="2479"/>
      <c r="N6" s="2479"/>
      <c r="O6" s="2479"/>
      <c r="P6" s="3517"/>
      <c r="Q6" s="3518"/>
      <c r="R6" s="3521"/>
      <c r="S6" s="3522"/>
      <c r="T6" s="3523"/>
      <c r="U6" s="3524"/>
      <c r="V6" s="3493"/>
      <c r="W6" s="3493"/>
      <c r="X6" s="1261"/>
      <c r="Y6" s="3523"/>
      <c r="Z6" s="3524"/>
      <c r="AA6" s="3538"/>
      <c r="AB6" s="3538"/>
      <c r="AC6" s="3508"/>
    </row>
    <row r="7" spans="1:29" s="102" customFormat="1" ht="15" thickBot="1">
      <c r="A7" s="352" t="s">
        <v>1679</v>
      </c>
      <c r="B7" s="353"/>
      <c r="C7" s="354">
        <f>'数据-取费表'!B2</f>
        <v>45734</v>
      </c>
      <c r="D7" s="355">
        <v>100</v>
      </c>
      <c r="E7" s="356">
        <f>中海金融中心!A32</f>
        <v>45657.333831018521</v>
      </c>
      <c r="F7" s="357">
        <f>SUMIF(59:59,YEAR(E7)&amp;"-"&amp;MONTH(E7),60:60)</f>
        <v>100</v>
      </c>
      <c r="G7" s="356">
        <f>丽金智地中心!A85</f>
        <v>45393.333831018521</v>
      </c>
      <c r="H7" s="355">
        <f>SUMIF(59:59,YEAR(G7)&amp;"-"&amp;MONTH(G7),60:60)</f>
        <v>100</v>
      </c>
      <c r="I7" s="356">
        <f>中海国际中心!B47</f>
        <v>45657.333831018521</v>
      </c>
      <c r="J7" s="355">
        <f>SUMIF(59:59,YEAR(I7)&amp;"-"&amp;MONTH(I7),60:60)</f>
        <v>100</v>
      </c>
      <c r="K7" s="38"/>
      <c r="L7" s="2480"/>
      <c r="M7" s="2433"/>
      <c r="N7" s="2433"/>
      <c r="O7" s="2433"/>
      <c r="P7" s="3530" t="s">
        <v>1680</v>
      </c>
      <c r="Q7" s="3533"/>
      <c r="R7" s="664" t="s">
        <v>14</v>
      </c>
      <c r="S7" s="665">
        <f t="shared" ref="S7:S15" si="0">F7</f>
        <v>100</v>
      </c>
      <c r="T7" s="664" t="s">
        <v>14</v>
      </c>
      <c r="U7" s="665">
        <f t="shared" ref="U7:U15" si="1">H7</f>
        <v>100</v>
      </c>
      <c r="V7" s="664" t="s">
        <v>14</v>
      </c>
      <c r="W7" s="665">
        <f t="shared" ref="W7:W15" si="2">J7</f>
        <v>100</v>
      </c>
      <c r="X7" s="666"/>
      <c r="Y7" s="3532" t="s">
        <v>1680</v>
      </c>
      <c r="Z7" s="3531"/>
      <c r="AA7" s="50">
        <f>D7/F7</f>
        <v>1</v>
      </c>
      <c r="AB7" s="50">
        <f>D7/H7</f>
        <v>1</v>
      </c>
      <c r="AC7" s="799">
        <f>D7/J7</f>
        <v>1</v>
      </c>
    </row>
    <row r="8" spans="1:29" s="102" customFormat="1" ht="15" thickBot="1">
      <c r="A8" s="352" t="s">
        <v>1681</v>
      </c>
      <c r="B8" s="353"/>
      <c r="C8" s="358" t="s">
        <v>3556</v>
      </c>
      <c r="D8" s="355">
        <v>100</v>
      </c>
      <c r="E8" s="358" t="s">
        <v>3556</v>
      </c>
      <c r="F8" s="357">
        <f>SUMIF(62:62,E8,63:63)-SUMIF(62:62,C8,63:63)+100</f>
        <v>100</v>
      </c>
      <c r="G8" s="358" t="s">
        <v>3556</v>
      </c>
      <c r="H8" s="355">
        <f>SUMIF(62:62,G8,63:63)-SUMIF(62:62,C8,63:63)+100</f>
        <v>100</v>
      </c>
      <c r="I8" s="358" t="s">
        <v>3556</v>
      </c>
      <c r="J8" s="355">
        <f>SUMIF(62:62,I8,63:63)-SUMIF(62:62,C8,63:63)+100</f>
        <v>100</v>
      </c>
      <c r="K8" s="38"/>
      <c r="L8" s="2480"/>
      <c r="M8" s="2433"/>
      <c r="N8" s="2433"/>
      <c r="O8" s="2433"/>
      <c r="P8" s="3530" t="s">
        <v>1683</v>
      </c>
      <c r="Q8" s="3531"/>
      <c r="R8" s="664" t="s">
        <v>14</v>
      </c>
      <c r="S8" s="665">
        <f t="shared" si="0"/>
        <v>100</v>
      </c>
      <c r="T8" s="664" t="s">
        <v>14</v>
      </c>
      <c r="U8" s="665">
        <f t="shared" si="1"/>
        <v>100</v>
      </c>
      <c r="V8" s="664" t="s">
        <v>14</v>
      </c>
      <c r="W8" s="665">
        <f t="shared" si="2"/>
        <v>100</v>
      </c>
      <c r="X8" s="666"/>
      <c r="Y8" s="3532" t="s">
        <v>1683</v>
      </c>
      <c r="Z8" s="3531"/>
      <c r="AA8" s="50">
        <f t="shared" ref="AA8:AA47" si="3">D8/F8</f>
        <v>1</v>
      </c>
      <c r="AB8" s="50">
        <f t="shared" ref="AB8:AB47" si="4">D8/H8</f>
        <v>1</v>
      </c>
      <c r="AC8" s="799">
        <f t="shared" ref="AC8:AC47" si="5">D8/J8</f>
        <v>1</v>
      </c>
    </row>
    <row r="9" spans="1:29" s="102" customFormat="1" ht="14.4">
      <c r="A9" s="359" t="s">
        <v>1684</v>
      </c>
      <c r="B9" s="60" t="s">
        <v>1685</v>
      </c>
      <c r="C9" s="3203" t="s">
        <v>3660</v>
      </c>
      <c r="D9" s="59">
        <v>100</v>
      </c>
      <c r="E9" s="362" t="s">
        <v>21</v>
      </c>
      <c r="F9" s="59">
        <f>SUMIF(64:64,E9,65:65)-SUMIF(64:64,C9,65:65)+100</f>
        <v>100</v>
      </c>
      <c r="G9" s="361" t="s">
        <v>21</v>
      </c>
      <c r="H9" s="59">
        <f>SUMIF(64:64,G9,65:65)-SUMIF(64:64,C9,65:65)+100</f>
        <v>100</v>
      </c>
      <c r="I9" s="361" t="s">
        <v>21</v>
      </c>
      <c r="J9" s="59">
        <f>SUMIF(64:64,I9,65:65)-SUMIF(64:64,C9,65:65)+100</f>
        <v>100</v>
      </c>
      <c r="K9" s="38"/>
      <c r="L9" s="2480"/>
      <c r="M9" s="3205" t="s">
        <v>3760</v>
      </c>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799">
        <f t="shared" si="5"/>
        <v>1</v>
      </c>
    </row>
    <row r="10" spans="1:29" s="366" customFormat="1" ht="28.8">
      <c r="A10" s="363"/>
      <c r="B10" s="364" t="s">
        <v>1688</v>
      </c>
      <c r="C10" s="3123" t="s">
        <v>3672</v>
      </c>
      <c r="D10" s="119">
        <v>100</v>
      </c>
      <c r="E10" s="3123" t="s">
        <v>3672</v>
      </c>
      <c r="F10" s="119">
        <f>SUMIF(66:66,E10,67:67)-SUMIF(66:66,C10,67:67)+100</f>
        <v>100</v>
      </c>
      <c r="G10" s="3123" t="s">
        <v>3672</v>
      </c>
      <c r="H10" s="119">
        <f>SUMIF(66:66,G10,67:67)-SUMIF(66:66,C10,67:67)+100</f>
        <v>100</v>
      </c>
      <c r="I10" s="3123" t="str">
        <f>C10</f>
        <v>20-30（含）</v>
      </c>
      <c r="J10" s="119">
        <f>SUMIF(66:66,I10,67:67)-SUMIF(66:66,C10,67:67)+100</f>
        <v>100</v>
      </c>
      <c r="K10" s="38"/>
      <c r="L10" s="3209" t="s">
        <v>3666</v>
      </c>
      <c r="M10" s="2482"/>
      <c r="N10" s="2482"/>
      <c r="O10" s="3252" t="s">
        <v>3857</v>
      </c>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799">
        <f t="shared" si="5"/>
        <v>1</v>
      </c>
    </row>
    <row r="11" spans="1:29" ht="28.8">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3250" t="s">
        <v>3855</v>
      </c>
      <c r="M11" s="2492">
        <v>56491</v>
      </c>
      <c r="N11" s="2479">
        <f>2054-2025</f>
        <v>29</v>
      </c>
      <c r="O11" s="3251" t="s">
        <v>3856</v>
      </c>
      <c r="P11" s="3491"/>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799">
        <f t="shared" si="5"/>
        <v>1</v>
      </c>
    </row>
    <row r="12" spans="1:29" s="102" customFormat="1" ht="15">
      <c r="A12" s="370"/>
      <c r="B12" s="447">
        <v>111</v>
      </c>
      <c r="C12" s="371"/>
      <c r="D12" s="372">
        <v>100</v>
      </c>
      <c r="E12" s="371" t="s">
        <v>3591</v>
      </c>
      <c r="F12" s="119">
        <f>SUMIF(71:71,E12,72:72)-SUMIF(71:71,C12,72:72)+100</f>
        <v>100</v>
      </c>
      <c r="G12" s="1806"/>
      <c r="H12" s="119">
        <f>SUMIF(71:71,G12,72:72)-SUMIF(71:71,C12,72:72)+100</f>
        <v>100</v>
      </c>
      <c r="I12" s="371"/>
      <c r="J12" s="119">
        <f>SUMIF(71:71,I12,72:72)-SUMIF(71:71,C12,72:72)+100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799">
        <f>D12/J12</f>
        <v>1</v>
      </c>
    </row>
    <row r="13" spans="1:29" ht="15">
      <c r="A13" s="367"/>
      <c r="B13" s="447">
        <v>111</v>
      </c>
      <c r="C13" s="373"/>
      <c r="D13" s="374">
        <v>100</v>
      </c>
      <c r="E13" s="3206" t="s">
        <v>3680</v>
      </c>
      <c r="F13" s="119">
        <f>SUMIF(73:73,E13,74:74)-SUMIF(73:73,C13,74:74)+100</f>
        <v>100</v>
      </c>
      <c r="G13" s="1806"/>
      <c r="H13" s="374">
        <f>SUMIF(73:73,G13,74:74)-SUMIF(73:73,C13,74:74)+100</f>
        <v>100</v>
      </c>
      <c r="I13" s="371"/>
      <c r="J13" s="374">
        <f>SUMIF(73:73,I13,74:74)-SUMIF(73:73,C13,74:74)+100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799">
        <f t="shared" si="5"/>
        <v>1</v>
      </c>
    </row>
    <row r="14" spans="1:29" ht="15.6"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799">
        <f t="shared" si="5"/>
        <v>1</v>
      </c>
    </row>
    <row r="15" spans="1:29" ht="73.95" customHeight="1">
      <c r="A15" s="379" t="s">
        <v>1690</v>
      </c>
      <c r="B15" s="554" t="s">
        <v>1811</v>
      </c>
      <c r="C15" s="1807" t="str">
        <f>估价对象房地状况!C5</f>
        <v>估价对象位于西二环内，周边有国投金融大厦、新时代大厦、富通大厦等办公项目，办公集聚程度较好</v>
      </c>
      <c r="D15" s="380">
        <v>100</v>
      </c>
      <c r="E15" s="3210" t="s">
        <v>3774</v>
      </c>
      <c r="F15" s="380">
        <f>SUMIF(77:77,E16,78:78)-SUMIF(77:77,C16,78:78)+100</f>
        <v>100</v>
      </c>
      <c r="G15" s="3216" t="s">
        <v>3773</v>
      </c>
      <c r="H15" s="380">
        <f>SUMIF(77:77,G16,78:78)-SUMIF(77:77,C16,78:78)+100</f>
        <v>100</v>
      </c>
      <c r="I15" s="3216" t="s">
        <v>3779</v>
      </c>
      <c r="J15" s="380">
        <f>SUMIF(77:77,I16,78:78)-SUMIF(77:77,C16,78:78)+100</f>
        <v>100</v>
      </c>
      <c r="K15" s="540">
        <v>3</v>
      </c>
      <c r="L15" s="2484"/>
      <c r="M15" s="2479"/>
      <c r="N15" s="2479"/>
      <c r="O15" s="2479"/>
      <c r="P15" s="3497" t="s">
        <v>1691</v>
      </c>
      <c r="Q15" s="1259" t="str">
        <f t="shared" si="6"/>
        <v>办公集聚程度</v>
      </c>
      <c r="R15" s="667" t="s">
        <v>14</v>
      </c>
      <c r="S15" s="668">
        <f t="shared" si="0"/>
        <v>100</v>
      </c>
      <c r="T15" s="667" t="s">
        <v>14</v>
      </c>
      <c r="U15" s="668">
        <f t="shared" si="1"/>
        <v>100</v>
      </c>
      <c r="V15" s="667" t="s">
        <v>14</v>
      </c>
      <c r="W15" s="668">
        <f t="shared" si="2"/>
        <v>100</v>
      </c>
      <c r="X15" s="1261"/>
      <c r="Y15" s="3499" t="s">
        <v>1691</v>
      </c>
      <c r="Z15" s="1260" t="str">
        <f t="shared" si="7"/>
        <v>办公集聚程度</v>
      </c>
      <c r="AA15" s="1260">
        <f t="shared" si="3"/>
        <v>1</v>
      </c>
      <c r="AB15" s="1260">
        <f t="shared" si="4"/>
        <v>1</v>
      </c>
      <c r="AC15" s="1808">
        <f t="shared" si="5"/>
        <v>1</v>
      </c>
    </row>
    <row r="16" spans="1:29" ht="15">
      <c r="A16" s="367"/>
      <c r="B16" s="555"/>
      <c r="C16" s="1754" t="s">
        <v>3548</v>
      </c>
      <c r="D16" s="387"/>
      <c r="E16" s="1754" t="s">
        <v>3548</v>
      </c>
      <c r="F16" s="387"/>
      <c r="G16" s="1754" t="s">
        <v>3548</v>
      </c>
      <c r="H16" s="389"/>
      <c r="I16" s="1754" t="s">
        <v>3548</v>
      </c>
      <c r="J16" s="387"/>
      <c r="K16" s="541"/>
      <c r="L16" s="2484"/>
      <c r="M16" s="2479"/>
      <c r="N16" s="2479"/>
      <c r="O16" s="2479"/>
      <c r="P16" s="3498"/>
      <c r="Q16" s="1259"/>
      <c r="R16" s="667"/>
      <c r="S16" s="668"/>
      <c r="T16" s="667"/>
      <c r="U16" s="668"/>
      <c r="V16" s="667"/>
      <c r="W16" s="668"/>
      <c r="X16" s="1261"/>
      <c r="Y16" s="3500"/>
      <c r="Z16" s="1260"/>
      <c r="AA16" s="1260">
        <v>1</v>
      </c>
      <c r="AB16" s="1260">
        <v>1</v>
      </c>
      <c r="AC16" s="1808">
        <v>1</v>
      </c>
    </row>
    <row r="17" spans="1:29" ht="94.95" customHeight="1">
      <c r="A17" s="367"/>
      <c r="B17" s="556" t="s">
        <v>1259</v>
      </c>
      <c r="C17" s="1809" t="str">
        <f>估价对象房地状况!C6</f>
        <v>估价对象紧邻城市快速路——西二环，周边有4、107、118、21、80等多条公交线路，距地铁2号线、6号线车公庄站约197米，项目内有停车位，交通便捷度较好</v>
      </c>
      <c r="D17" s="389">
        <v>100</v>
      </c>
      <c r="E17" s="3211" t="s">
        <v>3858</v>
      </c>
      <c r="F17" s="389">
        <f>SUMIF(79:79,E18,80:80)-SUMIF(79:79,C18,80:80)+100</f>
        <v>100</v>
      </c>
      <c r="G17" s="3215" t="s">
        <v>3851</v>
      </c>
      <c r="H17" s="394">
        <f>SUMIF(79:79,G18,80:80)-SUMIF(79:79,C18,80:80)+100</f>
        <v>100</v>
      </c>
      <c r="I17" s="3215" t="s">
        <v>3852</v>
      </c>
      <c r="J17" s="394">
        <f>SUMIF(79:79,I18,80:80)-SUMIF(79:79,C18,80:80)+100</f>
        <v>100</v>
      </c>
      <c r="K17" s="540">
        <v>2</v>
      </c>
      <c r="L17" s="2484"/>
      <c r="M17" s="2479"/>
      <c r="N17" s="2479"/>
      <c r="O17" s="2479"/>
      <c r="P17" s="3498"/>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808">
        <f t="shared" si="5"/>
        <v>1</v>
      </c>
    </row>
    <row r="18" spans="1:29" ht="15">
      <c r="A18" s="367"/>
      <c r="B18" s="401"/>
      <c r="C18" s="1754" t="s">
        <v>3548</v>
      </c>
      <c r="D18" s="389"/>
      <c r="E18" s="1754" t="s">
        <v>3548</v>
      </c>
      <c r="F18" s="389"/>
      <c r="G18" s="1754" t="s">
        <v>3548</v>
      </c>
      <c r="H18" s="387"/>
      <c r="I18" s="3219" t="s">
        <v>3778</v>
      </c>
      <c r="J18" s="387"/>
      <c r="K18" s="541"/>
      <c r="L18" s="2484"/>
      <c r="M18" s="2479"/>
      <c r="N18" s="2479"/>
      <c r="O18" s="2479"/>
      <c r="P18" s="3498"/>
      <c r="Q18" s="1259"/>
      <c r="R18" s="667"/>
      <c r="S18" s="668"/>
      <c r="T18" s="667"/>
      <c r="U18" s="668"/>
      <c r="V18" s="667"/>
      <c r="W18" s="668"/>
      <c r="X18" s="1261"/>
      <c r="Y18" s="3500"/>
      <c r="Z18" s="1260"/>
      <c r="AA18" s="1260">
        <v>1</v>
      </c>
      <c r="AB18" s="1260">
        <v>1</v>
      </c>
      <c r="AC18" s="1808">
        <v>1</v>
      </c>
    </row>
    <row r="19" spans="1:29" ht="156" customHeight="1">
      <c r="A19" s="367"/>
      <c r="B19" s="556" t="s">
        <v>1812</v>
      </c>
      <c r="C19" s="180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212" t="s">
        <v>3854</v>
      </c>
      <c r="F19" s="394">
        <f>SUMIF(81:81,E20,82:82)-SUMIF(81:81,C20,82:82)+100</f>
        <v>100</v>
      </c>
      <c r="G19" s="3217" t="s">
        <v>3853</v>
      </c>
      <c r="H19" s="389">
        <f>SUMIF(81:81,G20,82:82)-SUMIF(81:81,C20,82:82)+100</f>
        <v>100</v>
      </c>
      <c r="I19" s="3217" t="s">
        <v>3859</v>
      </c>
      <c r="J19" s="389">
        <f>SUMIF(81:81,I20,82:82)-SUMIF(81:81,C20,82:82)+100</f>
        <v>100</v>
      </c>
      <c r="K19" s="540">
        <v>2</v>
      </c>
      <c r="L19" s="2484"/>
      <c r="M19" s="2479"/>
      <c r="N19" s="2479"/>
      <c r="O19" s="2479"/>
      <c r="P19" s="3498"/>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808">
        <f t="shared" si="5"/>
        <v>1</v>
      </c>
    </row>
    <row r="20" spans="1:29" ht="15">
      <c r="A20" s="367"/>
      <c r="B20" s="401"/>
      <c r="C20" s="1754" t="s">
        <v>3548</v>
      </c>
      <c r="D20" s="387"/>
      <c r="E20" s="1754" t="s">
        <v>3548</v>
      </c>
      <c r="F20" s="387"/>
      <c r="G20" s="1754" t="s">
        <v>3548</v>
      </c>
      <c r="H20" s="387"/>
      <c r="I20" s="1754" t="s">
        <v>3548</v>
      </c>
      <c r="J20" s="387"/>
      <c r="K20" s="541"/>
      <c r="L20" s="2484"/>
      <c r="M20" s="2479"/>
      <c r="N20" s="2479"/>
      <c r="O20" s="2479"/>
      <c r="P20" s="3498"/>
      <c r="Q20" s="1259"/>
      <c r="R20" s="667"/>
      <c r="S20" s="668"/>
      <c r="T20" s="667"/>
      <c r="U20" s="668"/>
      <c r="V20" s="667"/>
      <c r="W20" s="668"/>
      <c r="X20" s="1261"/>
      <c r="Y20" s="3500"/>
      <c r="Z20" s="1260"/>
      <c r="AA20" s="1260">
        <v>1</v>
      </c>
      <c r="AB20" s="1260">
        <v>1</v>
      </c>
      <c r="AC20" s="1808">
        <v>1</v>
      </c>
    </row>
    <row r="21" spans="1:29" ht="41.4">
      <c r="A21" s="367"/>
      <c r="B21" s="557" t="s">
        <v>1813</v>
      </c>
      <c r="C21" s="1809"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808">
        <f t="shared" ref="AC21" si="10">D21/J21</f>
        <v>1</v>
      </c>
    </row>
    <row r="22" spans="1:29" ht="15">
      <c r="A22" s="367"/>
      <c r="B22" s="557"/>
      <c r="C22" s="1810" t="s">
        <v>3560</v>
      </c>
      <c r="D22" s="387"/>
      <c r="E22" s="386" t="s">
        <v>3560</v>
      </c>
      <c r="F22" s="387"/>
      <c r="G22" s="1754" t="s">
        <v>3560</v>
      </c>
      <c r="H22" s="387"/>
      <c r="I22" s="1754" t="s">
        <v>3560</v>
      </c>
      <c r="J22" s="387"/>
      <c r="K22" s="1061"/>
      <c r="L22" s="2484"/>
      <c r="M22" s="2479"/>
      <c r="N22" s="2479"/>
      <c r="O22" s="2479"/>
      <c r="P22" s="3498"/>
      <c r="Q22" s="1259"/>
      <c r="R22" s="667"/>
      <c r="S22" s="668"/>
      <c r="T22" s="667"/>
      <c r="U22" s="668"/>
      <c r="V22" s="667"/>
      <c r="W22" s="668"/>
      <c r="X22" s="1261"/>
      <c r="Y22" s="3500"/>
      <c r="Z22" s="1260"/>
      <c r="AA22" s="1260">
        <v>1</v>
      </c>
      <c r="AB22" s="1260">
        <v>1</v>
      </c>
      <c r="AC22" s="1808">
        <v>1</v>
      </c>
    </row>
    <row r="23" spans="1:29" ht="193.2">
      <c r="A23" s="367"/>
      <c r="B23" s="556" t="s">
        <v>1814</v>
      </c>
      <c r="C23" s="180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211" t="s">
        <v>3850</v>
      </c>
      <c r="F23" s="389">
        <f>SUMIF(85:85,E24,86:86)-SUMIF(85:85,C24,86:86)+100</f>
        <v>100</v>
      </c>
      <c r="G23" s="3218" t="s">
        <v>3849</v>
      </c>
      <c r="H23" s="389">
        <f>SUMIF(85:85,G24,86:86)-SUMIF(85:85,C24,86:86)+100</f>
        <v>100</v>
      </c>
      <c r="I23" s="3218" t="s">
        <v>3848</v>
      </c>
      <c r="J23" s="389">
        <f>SUMIF(85:85,I24,86:86)-SUMIF(85:85,C24,86:86)+100</f>
        <v>100</v>
      </c>
      <c r="K23" s="540">
        <v>2</v>
      </c>
      <c r="L23" s="2484"/>
      <c r="M23" s="2479"/>
      <c r="N23" s="2479"/>
      <c r="O23" s="2479"/>
      <c r="P23" s="3498"/>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808">
        <f t="shared" si="5"/>
        <v>1</v>
      </c>
    </row>
    <row r="24" spans="1:29" ht="15">
      <c r="A24" s="367"/>
      <c r="B24" s="557"/>
      <c r="C24" s="1754" t="s">
        <v>3548</v>
      </c>
      <c r="D24" s="387"/>
      <c r="E24" s="1754" t="s">
        <v>3548</v>
      </c>
      <c r="F24" s="387"/>
      <c r="G24" s="1754" t="s">
        <v>3548</v>
      </c>
      <c r="H24" s="387"/>
      <c r="I24" s="1748" t="s">
        <v>3548</v>
      </c>
      <c r="J24" s="387"/>
      <c r="K24" s="541"/>
      <c r="L24" s="2484"/>
      <c r="M24" s="2479"/>
      <c r="N24" s="2479"/>
      <c r="O24" s="2479"/>
      <c r="P24" s="3498"/>
      <c r="Q24" s="1259"/>
      <c r="R24" s="667"/>
      <c r="S24" s="668"/>
      <c r="T24" s="667"/>
      <c r="U24" s="668"/>
      <c r="V24" s="667"/>
      <c r="W24" s="668"/>
      <c r="X24" s="1261"/>
      <c r="Y24" s="3500"/>
      <c r="Z24" s="1260"/>
      <c r="AA24" s="1260">
        <v>1</v>
      </c>
      <c r="AB24" s="1260">
        <v>1</v>
      </c>
      <c r="AC24" s="1808">
        <v>1</v>
      </c>
    </row>
    <row r="25" spans="1:29" ht="28.8">
      <c r="A25" s="348"/>
      <c r="B25" s="556" t="s">
        <v>1815</v>
      </c>
      <c r="C25" s="3213" t="s">
        <v>3777</v>
      </c>
      <c r="D25" s="374">
        <v>100</v>
      </c>
      <c r="E25" s="3213" t="s">
        <v>3771</v>
      </c>
      <c r="F25" s="374">
        <f>SUMIF(87:87,E26,88:88)-SUMIF(87:87,C26,88:88)+100</f>
        <v>99</v>
      </c>
      <c r="G25" s="3214" t="s">
        <v>3772</v>
      </c>
      <c r="H25" s="374">
        <f>SUMIF(87:87,G26,88:88)-SUMIF(87:87,C26,88:88)+100</f>
        <v>98</v>
      </c>
      <c r="I25" s="3213" t="s">
        <v>3777</v>
      </c>
      <c r="J25" s="374">
        <f>SUMIF(87:87,I26,88:88)-SUMIF(87:87,C26,88:88)+100</f>
        <v>100</v>
      </c>
      <c r="K25" s="540">
        <v>1</v>
      </c>
      <c r="L25" s="2484"/>
      <c r="M25" s="2479"/>
      <c r="N25" s="2479"/>
      <c r="O25" s="2479"/>
      <c r="P25" s="3498"/>
      <c r="Q25" s="1259" t="str">
        <f>B25</f>
        <v>毗邻道路的类型与等级</v>
      </c>
      <c r="R25" s="667" t="s">
        <v>14</v>
      </c>
      <c r="S25" s="668">
        <f>F25</f>
        <v>99</v>
      </c>
      <c r="T25" s="667" t="s">
        <v>14</v>
      </c>
      <c r="U25" s="668">
        <f>H25</f>
        <v>98</v>
      </c>
      <c r="V25" s="667" t="s">
        <v>14</v>
      </c>
      <c r="W25" s="668">
        <f>J25</f>
        <v>100</v>
      </c>
      <c r="X25" s="1261"/>
      <c r="Y25" s="3500"/>
      <c r="Z25" s="1260" t="str">
        <f>Q25</f>
        <v>毗邻道路的类型与等级</v>
      </c>
      <c r="AA25" s="1260">
        <f t="shared" si="3"/>
        <v>1.0101010101010102</v>
      </c>
      <c r="AB25" s="1260">
        <f t="shared" si="4"/>
        <v>1.0204081632653061</v>
      </c>
      <c r="AC25" s="1808">
        <f t="shared" si="5"/>
        <v>1</v>
      </c>
    </row>
    <row r="26" spans="1:29" ht="15.6" thickBot="1">
      <c r="A26" s="348"/>
      <c r="B26" s="401"/>
      <c r="C26" s="558" t="s">
        <v>3588</v>
      </c>
      <c r="D26" s="374"/>
      <c r="E26" s="542" t="s">
        <v>3562</v>
      </c>
      <c r="F26" s="374"/>
      <c r="G26" s="558" t="s">
        <v>3564</v>
      </c>
      <c r="H26" s="374"/>
      <c r="I26" s="542" t="s">
        <v>3588</v>
      </c>
      <c r="J26" s="374"/>
      <c r="K26" s="541"/>
      <c r="L26" s="2484"/>
      <c r="M26" s="2479"/>
      <c r="N26" s="2479"/>
      <c r="O26" s="2479"/>
      <c r="P26" s="3498"/>
      <c r="Q26" s="1259"/>
      <c r="R26" s="667"/>
      <c r="S26" s="668"/>
      <c r="T26" s="667"/>
      <c r="U26" s="668"/>
      <c r="V26" s="667"/>
      <c r="W26" s="668"/>
      <c r="X26" s="1261"/>
      <c r="Y26" s="3500"/>
      <c r="Z26" s="1260"/>
      <c r="AA26" s="1260">
        <v>1</v>
      </c>
      <c r="AB26" s="1260">
        <v>1</v>
      </c>
      <c r="AC26" s="1808">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498"/>
      <c r="Q27" s="1259" t="str">
        <f t="shared" ref="Q27:Q47" si="11">B27</f>
        <v>楼层</v>
      </c>
      <c r="R27" s="667" t="s">
        <v>14</v>
      </c>
      <c r="S27" s="668">
        <f>F27</f>
        <v>100</v>
      </c>
      <c r="T27" s="667" t="s">
        <v>14</v>
      </c>
      <c r="U27" s="668">
        <f>H27</f>
        <v>100</v>
      </c>
      <c r="V27" s="667" t="s">
        <v>14</v>
      </c>
      <c r="W27" s="668">
        <f>J27</f>
        <v>100</v>
      </c>
      <c r="X27" s="1261"/>
      <c r="Y27" s="3500"/>
      <c r="Z27" s="1260" t="str">
        <f>Q27</f>
        <v>楼层</v>
      </c>
      <c r="AA27" s="1260">
        <f t="shared" si="3"/>
        <v>1</v>
      </c>
      <c r="AB27" s="1260">
        <f t="shared" si="4"/>
        <v>1</v>
      </c>
      <c r="AC27" s="1808">
        <f t="shared" si="5"/>
        <v>1</v>
      </c>
    </row>
    <row r="28" spans="1:29" s="102" customFormat="1" ht="15" hidden="1">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3205"/>
      <c r="N28" s="2433"/>
      <c r="O28" s="2433"/>
      <c r="P28" s="3498"/>
      <c r="Q28" s="530" t="str">
        <f t="shared" si="11"/>
        <v>朝向</v>
      </c>
      <c r="R28" s="664" t="s">
        <v>14</v>
      </c>
      <c r="S28" s="665">
        <f>F28</f>
        <v>100</v>
      </c>
      <c r="T28" s="664" t="s">
        <v>14</v>
      </c>
      <c r="U28" s="665">
        <f>H28</f>
        <v>100</v>
      </c>
      <c r="V28" s="664" t="s">
        <v>14</v>
      </c>
      <c r="W28" s="665">
        <f>J28</f>
        <v>100</v>
      </c>
      <c r="X28" s="666"/>
      <c r="Y28" s="3500"/>
      <c r="Z28" s="50" t="str">
        <f>Q28</f>
        <v>朝向</v>
      </c>
      <c r="AA28" s="1260">
        <f>D28/F28</f>
        <v>1</v>
      </c>
      <c r="AB28" s="1260">
        <f>D28/H28</f>
        <v>1</v>
      </c>
      <c r="AC28" s="1808">
        <f>D28/J28</f>
        <v>1</v>
      </c>
    </row>
    <row r="29" spans="1:29" ht="15" hidden="1">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3204"/>
      <c r="M29" s="2479"/>
      <c r="N29" s="2479"/>
      <c r="O29" s="2479"/>
      <c r="P29" s="3498"/>
      <c r="Q29" s="1259">
        <f t="shared" si="11"/>
        <v>111</v>
      </c>
      <c r="R29" s="667" t="s">
        <v>14</v>
      </c>
      <c r="S29" s="668">
        <f t="shared" ref="S29:S47" si="12">F29</f>
        <v>100</v>
      </c>
      <c r="T29" s="667" t="s">
        <v>14</v>
      </c>
      <c r="U29" s="668">
        <f t="shared" ref="U29:U47" si="13">H29</f>
        <v>100</v>
      </c>
      <c r="V29" s="667" t="s">
        <v>14</v>
      </c>
      <c r="W29" s="668">
        <f t="shared" ref="W29:W47" si="14">J29</f>
        <v>100</v>
      </c>
      <c r="X29" s="1261"/>
      <c r="Y29" s="3500"/>
      <c r="Z29" s="1260">
        <f t="shared" ref="Z29:Z47" si="15">Q29</f>
        <v>111</v>
      </c>
      <c r="AA29" s="1260">
        <f t="shared" si="3"/>
        <v>1</v>
      </c>
      <c r="AB29" s="1260">
        <f t="shared" si="4"/>
        <v>1</v>
      </c>
      <c r="AC29" s="1808">
        <f t="shared" si="5"/>
        <v>1</v>
      </c>
    </row>
    <row r="30" spans="1:29" ht="15" hidden="1">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808">
        <f t="shared" si="5"/>
        <v>1</v>
      </c>
    </row>
    <row r="31" spans="1:29" ht="15" hidden="1">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808">
        <f t="shared" si="5"/>
        <v>1</v>
      </c>
    </row>
    <row r="32" spans="1:29" ht="15.6" hidden="1"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498"/>
      <c r="Q32" s="1259">
        <f t="shared" si="11"/>
        <v>111</v>
      </c>
      <c r="R32" s="667" t="s">
        <v>14</v>
      </c>
      <c r="S32" s="668">
        <f t="shared" si="12"/>
        <v>100</v>
      </c>
      <c r="T32" s="667" t="s">
        <v>14</v>
      </c>
      <c r="U32" s="668">
        <f t="shared" si="13"/>
        <v>100</v>
      </c>
      <c r="V32" s="667" t="s">
        <v>14</v>
      </c>
      <c r="W32" s="668">
        <f t="shared" si="14"/>
        <v>100</v>
      </c>
      <c r="X32" s="1261"/>
      <c r="Y32" s="3500"/>
      <c r="Z32" s="1260">
        <f t="shared" si="15"/>
        <v>111</v>
      </c>
      <c r="AA32" s="1260">
        <f t="shared" si="3"/>
        <v>1</v>
      </c>
      <c r="AB32" s="1260">
        <f t="shared" si="4"/>
        <v>1</v>
      </c>
      <c r="AC32" s="1808">
        <f t="shared" si="5"/>
        <v>1</v>
      </c>
    </row>
    <row r="33" spans="1:29" ht="15">
      <c r="A33" s="379" t="s">
        <v>1694</v>
      </c>
      <c r="B33" s="60" t="s">
        <v>1817</v>
      </c>
      <c r="C33" s="1760" t="s">
        <v>3567</v>
      </c>
      <c r="D33" s="405">
        <v>100</v>
      </c>
      <c r="E33" s="1760" t="s">
        <v>3567</v>
      </c>
      <c r="F33" s="400">
        <f>SUMIF(101:101,E33,102:102)-SUMIF(101:101,C33,102:102)+100</f>
        <v>100</v>
      </c>
      <c r="G33" s="1760" t="s">
        <v>3567</v>
      </c>
      <c r="H33" s="374">
        <f>SUMIF(101:101,G33,102:102)-SUMIF(101:101,C33,102:102)+100</f>
        <v>100</v>
      </c>
      <c r="I33" s="1760" t="s">
        <v>3567</v>
      </c>
      <c r="J33" s="405">
        <f>SUMIF(101:101,I33,102:102)-SUMIF(101:101,C33,102:102)+100</f>
        <v>100</v>
      </c>
      <c r="K33" s="538">
        <v>2</v>
      </c>
      <c r="L33" s="2484"/>
      <c r="M33" s="2479"/>
      <c r="N33" s="2479"/>
      <c r="O33" s="2479"/>
      <c r="P33" s="3501" t="s">
        <v>1696</v>
      </c>
      <c r="Q33" s="1259" t="str">
        <f t="shared" si="11"/>
        <v>建筑类型</v>
      </c>
      <c r="R33" s="667" t="s">
        <v>14</v>
      </c>
      <c r="S33" s="668">
        <f t="shared" si="12"/>
        <v>100</v>
      </c>
      <c r="T33" s="667" t="s">
        <v>14</v>
      </c>
      <c r="U33" s="668">
        <f t="shared" si="13"/>
        <v>100</v>
      </c>
      <c r="V33" s="667" t="s">
        <v>14</v>
      </c>
      <c r="W33" s="668">
        <f t="shared" si="14"/>
        <v>100</v>
      </c>
      <c r="X33" s="1261"/>
      <c r="Y33" s="3504" t="s">
        <v>1696</v>
      </c>
      <c r="Z33" s="1260" t="str">
        <f t="shared" si="15"/>
        <v>建筑类型</v>
      </c>
      <c r="AA33" s="1260">
        <f t="shared" si="3"/>
        <v>1</v>
      </c>
      <c r="AB33" s="1260">
        <f t="shared" si="4"/>
        <v>1</v>
      </c>
      <c r="AC33" s="1808">
        <f t="shared" si="5"/>
        <v>1</v>
      </c>
    </row>
    <row r="34" spans="1:29" s="408" customFormat="1" ht="15">
      <c r="A34" s="406"/>
      <c r="B34" s="364" t="s">
        <v>1697</v>
      </c>
      <c r="C34" s="407">
        <f>'数据-汇总表'!E3</f>
        <v>51206.530000000006</v>
      </c>
      <c r="D34" s="119">
        <v>100</v>
      </c>
      <c r="E34" s="369">
        <f>中海金融中心!L42</f>
        <v>32725.310000000005</v>
      </c>
      <c r="F34" s="364">
        <f>LOOKUP(E34,104:104,105:105)-LOOKUP(C34,104:104,105:105)+100</f>
        <v>102</v>
      </c>
      <c r="G34" s="368">
        <f>丽金智地中心!L141</f>
        <v>55387.139999999978</v>
      </c>
      <c r="H34" s="119">
        <f>LOOKUP(G34,104:104,105:105)-LOOKUP(C34,104:104,105:105)+100</f>
        <v>100</v>
      </c>
      <c r="I34" s="368">
        <f>中海国际中心!M83</f>
        <v>31901.890000000003</v>
      </c>
      <c r="J34" s="119">
        <f>LOOKUP(I34,104:104,105:105)-LOOKUP(C34,104:104,105:105)+100</f>
        <v>102</v>
      </c>
      <c r="K34" s="539"/>
      <c r="L34" s="2483"/>
      <c r="M34" s="2485"/>
      <c r="N34" s="2485"/>
      <c r="O34" s="2485"/>
      <c r="P34" s="3502"/>
      <c r="Q34" s="531" t="str">
        <f t="shared" si="11"/>
        <v>项目建筑规模</v>
      </c>
      <c r="R34" s="669" t="s">
        <v>14</v>
      </c>
      <c r="S34" s="670">
        <f t="shared" si="12"/>
        <v>102</v>
      </c>
      <c r="T34" s="669" t="s">
        <v>14</v>
      </c>
      <c r="U34" s="670">
        <f t="shared" si="13"/>
        <v>100</v>
      </c>
      <c r="V34" s="669" t="s">
        <v>14</v>
      </c>
      <c r="W34" s="670">
        <f t="shared" si="14"/>
        <v>102</v>
      </c>
      <c r="X34" s="671"/>
      <c r="Y34" s="3504"/>
      <c r="Z34" s="672" t="str">
        <f t="shared" si="15"/>
        <v>项目建筑规模</v>
      </c>
      <c r="AA34" s="1260">
        <f t="shared" si="3"/>
        <v>0.98039215686274506</v>
      </c>
      <c r="AB34" s="1260">
        <f t="shared" si="4"/>
        <v>1</v>
      </c>
      <c r="AC34" s="1808">
        <f t="shared" si="5"/>
        <v>0.98039215686274506</v>
      </c>
    </row>
    <row r="35" spans="1:29" ht="15">
      <c r="A35" s="409"/>
      <c r="B35" s="364" t="s">
        <v>1698</v>
      </c>
      <c r="C35" s="399" t="s">
        <v>3534</v>
      </c>
      <c r="D35" s="374">
        <v>100</v>
      </c>
      <c r="E35" s="399" t="s">
        <v>3534</v>
      </c>
      <c r="F35" s="400">
        <f>SUMIF(106:106,E35,107:107)-SUMIF(106:106,C35,107:107)+100</f>
        <v>100</v>
      </c>
      <c r="G35" s="399" t="s">
        <v>3534</v>
      </c>
      <c r="H35" s="374">
        <f>SUMIF(106:106,G35,107:107)-SUMIF(106:106,C35,107:107)+100</f>
        <v>100</v>
      </c>
      <c r="I35" s="399" t="s">
        <v>3534</v>
      </c>
      <c r="J35" s="374">
        <f>SUMIF(106:106,I35,107:107)-SUMIF(106:106,C35,107:107)+100</f>
        <v>100</v>
      </c>
      <c r="K35" s="538">
        <v>2</v>
      </c>
      <c r="L35" s="2484"/>
      <c r="M35" s="2479"/>
      <c r="N35" s="2479"/>
      <c r="O35" s="2479"/>
      <c r="P35" s="3502"/>
      <c r="Q35" s="1259" t="str">
        <f t="shared" si="11"/>
        <v>建筑结构</v>
      </c>
      <c r="R35" s="667" t="s">
        <v>14</v>
      </c>
      <c r="S35" s="668">
        <f t="shared" si="12"/>
        <v>100</v>
      </c>
      <c r="T35" s="667" t="s">
        <v>14</v>
      </c>
      <c r="U35" s="668">
        <f t="shared" si="13"/>
        <v>100</v>
      </c>
      <c r="V35" s="667" t="s">
        <v>14</v>
      </c>
      <c r="W35" s="668">
        <f t="shared" si="14"/>
        <v>100</v>
      </c>
      <c r="X35" s="1261"/>
      <c r="Y35" s="3504"/>
      <c r="Z35" s="1260" t="str">
        <f t="shared" si="15"/>
        <v>建筑结构</v>
      </c>
      <c r="AA35" s="1260">
        <f t="shared" si="3"/>
        <v>1</v>
      </c>
      <c r="AB35" s="1260">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4"/>
      <c r="M36" s="2479"/>
      <c r="N36" s="2479"/>
      <c r="O36" s="2479"/>
      <c r="P36" s="3502"/>
      <c r="Q36" s="1259" t="str">
        <f t="shared" si="11"/>
        <v>公共部分装修</v>
      </c>
      <c r="R36" s="667" t="s">
        <v>14</v>
      </c>
      <c r="S36" s="668">
        <f t="shared" si="12"/>
        <v>100</v>
      </c>
      <c r="T36" s="667" t="s">
        <v>14</v>
      </c>
      <c r="U36" s="668">
        <f t="shared" si="13"/>
        <v>100</v>
      </c>
      <c r="V36" s="667" t="s">
        <v>14</v>
      </c>
      <c r="W36" s="668">
        <f t="shared" si="14"/>
        <v>100</v>
      </c>
      <c r="X36" s="1261"/>
      <c r="Y36" s="3504"/>
      <c r="Z36" s="1260" t="str">
        <f t="shared" si="15"/>
        <v>公共部分装修</v>
      </c>
      <c r="AA36" s="1260">
        <f t="shared" si="3"/>
        <v>1</v>
      </c>
      <c r="AB36" s="1260">
        <f t="shared" si="4"/>
        <v>1</v>
      </c>
      <c r="AC36" s="1808">
        <f t="shared" si="5"/>
        <v>1</v>
      </c>
    </row>
    <row r="37" spans="1:29" ht="15">
      <c r="A37" s="409"/>
      <c r="B37" s="364" t="s">
        <v>1786</v>
      </c>
      <c r="C37" s="411">
        <f>'数据-取费表'!N6</f>
        <v>0.8</v>
      </c>
      <c r="D37" s="374">
        <v>100</v>
      </c>
      <c r="E37" s="411">
        <v>1</v>
      </c>
      <c r="F37" s="400">
        <f>LOOKUP(E37,111:111,112:112)-LOOKUP(C37,111:111,112:112)+100</f>
        <v>102</v>
      </c>
      <c r="G37" s="411">
        <f>ROUND(1-1/60,2)</f>
        <v>0.98</v>
      </c>
      <c r="H37" s="400">
        <f>LOOKUP(G37,111:111,112:112)-LOOKUP(C37,111:111,112:112)+100</f>
        <v>102</v>
      </c>
      <c r="I37" s="411">
        <f>C37</f>
        <v>0.8</v>
      </c>
      <c r="J37" s="374">
        <f>LOOKUP(I37,111:111,112:112)-LOOKUP(C37,111:111,112:112)+100</f>
        <v>100</v>
      </c>
      <c r="K37" s="538">
        <v>2</v>
      </c>
      <c r="L37" s="2484"/>
      <c r="M37" s="2479"/>
      <c r="N37" s="2479"/>
      <c r="O37" s="2479"/>
      <c r="P37" s="3502"/>
      <c r="Q37" s="1259" t="str">
        <f t="shared" si="11"/>
        <v>成新度</v>
      </c>
      <c r="R37" s="667" t="s">
        <v>14</v>
      </c>
      <c r="S37" s="668">
        <f t="shared" si="12"/>
        <v>102</v>
      </c>
      <c r="T37" s="667" t="s">
        <v>14</v>
      </c>
      <c r="U37" s="668">
        <f t="shared" si="13"/>
        <v>102</v>
      </c>
      <c r="V37" s="667" t="s">
        <v>14</v>
      </c>
      <c r="W37" s="668">
        <f t="shared" si="14"/>
        <v>100</v>
      </c>
      <c r="X37" s="1261"/>
      <c r="Y37" s="3504"/>
      <c r="Z37" s="1260" t="str">
        <f t="shared" si="15"/>
        <v>成新度</v>
      </c>
      <c r="AA37" s="1260">
        <f t="shared" si="3"/>
        <v>0.98039215686274506</v>
      </c>
      <c r="AB37" s="1260">
        <f t="shared" si="4"/>
        <v>0.98039215686274506</v>
      </c>
      <c r="AC37" s="1808">
        <f t="shared" si="5"/>
        <v>1</v>
      </c>
    </row>
    <row r="38" spans="1:29" s="102" customFormat="1" ht="15">
      <c r="A38" s="410"/>
      <c r="B38" s="364" t="s">
        <v>1818</v>
      </c>
      <c r="C38" s="399" t="s">
        <v>3673</v>
      </c>
      <c r="D38" s="119">
        <v>100</v>
      </c>
      <c r="E38" s="399" t="s">
        <v>3673</v>
      </c>
      <c r="F38" s="400">
        <f>SUMIF(113:113,E38,114:114)-SUMIF(113:113,C38,114:114)+100</f>
        <v>100</v>
      </c>
      <c r="G38" s="399" t="s">
        <v>3678</v>
      </c>
      <c r="H38" s="374">
        <f>SUMIF(113:113,G38,114:114)-SUMIF(113:113,C38,114:114)+100</f>
        <v>102</v>
      </c>
      <c r="I38" s="399" t="s">
        <v>3673</v>
      </c>
      <c r="J38" s="374">
        <f>SUMIF(113:113,I38,114:114)-SUMIF(113:113,C38,114:114)+100</f>
        <v>100</v>
      </c>
      <c r="K38" s="538">
        <v>2</v>
      </c>
      <c r="L38" s="2480"/>
      <c r="M38" s="2433"/>
      <c r="N38" s="2433"/>
      <c r="O38" s="2433"/>
      <c r="P38" s="3502"/>
      <c r="Q38" s="530" t="str">
        <f t="shared" si="11"/>
        <v>写字楼等级</v>
      </c>
      <c r="R38" s="664" t="s">
        <v>14</v>
      </c>
      <c r="S38" s="665">
        <f t="shared" si="12"/>
        <v>100</v>
      </c>
      <c r="T38" s="664" t="s">
        <v>14</v>
      </c>
      <c r="U38" s="665">
        <f t="shared" si="13"/>
        <v>102</v>
      </c>
      <c r="V38" s="664" t="s">
        <v>14</v>
      </c>
      <c r="W38" s="665">
        <f t="shared" si="14"/>
        <v>100</v>
      </c>
      <c r="X38" s="666"/>
      <c r="Y38" s="3504"/>
      <c r="Z38" s="50" t="str">
        <f t="shared" si="15"/>
        <v>写字楼等级</v>
      </c>
      <c r="AA38" s="50">
        <f t="shared" si="3"/>
        <v>1</v>
      </c>
      <c r="AB38" s="50">
        <f t="shared" si="4"/>
        <v>0.98039215686274506</v>
      </c>
      <c r="AC38" s="799">
        <f t="shared" si="5"/>
        <v>1</v>
      </c>
    </row>
    <row r="39" spans="1:29" ht="15">
      <c r="A39" s="409"/>
      <c r="B39" s="364" t="s">
        <v>1819</v>
      </c>
      <c r="C39" s="399" t="s">
        <v>3576</v>
      </c>
      <c r="D39" s="374">
        <v>100</v>
      </c>
      <c r="E39" s="399" t="s">
        <v>3576</v>
      </c>
      <c r="F39" s="400">
        <f>SUMIF(115:115,E39,116:116)-SUMIF(115:115,C39,116:116)+100</f>
        <v>100</v>
      </c>
      <c r="G39" s="399" t="s">
        <v>3576</v>
      </c>
      <c r="H39" s="374">
        <f>SUMIF(115:115,G39,116:116)-SUMIF(115:115,C39,116:116)+100</f>
        <v>100</v>
      </c>
      <c r="I39" s="399" t="s">
        <v>3576</v>
      </c>
      <c r="J39" s="374">
        <f>SUMIF(115:115,I39,116:116)-SUMIF(115:115,C39,116:116)+100</f>
        <v>100</v>
      </c>
      <c r="K39" s="538">
        <v>2</v>
      </c>
      <c r="L39" s="2484"/>
      <c r="M39" s="2479"/>
      <c r="N39" s="2479"/>
      <c r="O39" s="2479"/>
      <c r="P39" s="3502" t="s">
        <v>1696</v>
      </c>
      <c r="Q39" s="1259" t="str">
        <f t="shared" si="11"/>
        <v>物业管理</v>
      </c>
      <c r="R39" s="667" t="s">
        <v>14</v>
      </c>
      <c r="S39" s="668">
        <f t="shared" si="12"/>
        <v>100</v>
      </c>
      <c r="T39" s="667" t="s">
        <v>14</v>
      </c>
      <c r="U39" s="668">
        <f t="shared" si="13"/>
        <v>100</v>
      </c>
      <c r="V39" s="667" t="s">
        <v>14</v>
      </c>
      <c r="W39" s="668">
        <f t="shared" si="14"/>
        <v>100</v>
      </c>
      <c r="X39" s="1261"/>
      <c r="Y39" s="3504" t="s">
        <v>1696</v>
      </c>
      <c r="Z39" s="1260" t="str">
        <f t="shared" si="15"/>
        <v>物业管理</v>
      </c>
      <c r="AA39" s="1260">
        <f t="shared" si="3"/>
        <v>1</v>
      </c>
      <c r="AB39" s="1260">
        <f t="shared" si="4"/>
        <v>1</v>
      </c>
      <c r="AC39" s="1808">
        <f t="shared" si="5"/>
        <v>1</v>
      </c>
    </row>
    <row r="40" spans="1:29" ht="15">
      <c r="A40" s="409"/>
      <c r="B40" s="364" t="s">
        <v>1787</v>
      </c>
      <c r="C40" s="399" t="s">
        <v>3560</v>
      </c>
      <c r="D40" s="374">
        <v>100</v>
      </c>
      <c r="E40" s="399" t="s">
        <v>3560</v>
      </c>
      <c r="F40" s="400">
        <f>SUMIF(117:117,E40,118:118)-SUMIF(117:117,C40,118:118)+100</f>
        <v>100</v>
      </c>
      <c r="G40" s="399" t="s">
        <v>3560</v>
      </c>
      <c r="H40" s="374">
        <f>SUMIF(117:117,G40,118:118)-SUMIF(117:117,C40,118:118)+100</f>
        <v>100</v>
      </c>
      <c r="I40" s="399" t="s">
        <v>3560</v>
      </c>
      <c r="J40" s="374">
        <f>SUMIF(117:117,I40,118:118)-SUMIF(117:117,C40,118:118)+100</f>
        <v>100</v>
      </c>
      <c r="K40" s="538">
        <v>1</v>
      </c>
      <c r="L40" s="2484"/>
      <c r="M40" s="2479"/>
      <c r="N40" s="2479"/>
      <c r="O40" s="2479"/>
      <c r="P40" s="3502"/>
      <c r="Q40" s="1259" t="str">
        <f t="shared" si="11"/>
        <v>市政基础设施</v>
      </c>
      <c r="R40" s="667" t="s">
        <v>14</v>
      </c>
      <c r="S40" s="668">
        <f t="shared" si="12"/>
        <v>100</v>
      </c>
      <c r="T40" s="667" t="s">
        <v>14</v>
      </c>
      <c r="U40" s="668">
        <f t="shared" si="13"/>
        <v>100</v>
      </c>
      <c r="V40" s="667" t="s">
        <v>14</v>
      </c>
      <c r="W40" s="668">
        <f t="shared" si="14"/>
        <v>100</v>
      </c>
      <c r="X40" s="1261"/>
      <c r="Y40" s="3504"/>
      <c r="Z40" s="1260" t="str">
        <f t="shared" si="15"/>
        <v>市政基础设施</v>
      </c>
      <c r="AA40" s="1260">
        <f t="shared" si="3"/>
        <v>1</v>
      </c>
      <c r="AB40" s="1260">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4"/>
      <c r="M41" s="2479"/>
      <c r="N41" s="2479"/>
      <c r="O41" s="2479"/>
      <c r="P41" s="3502"/>
      <c r="Q41" s="1259" t="str">
        <f t="shared" si="11"/>
        <v>层高</v>
      </c>
      <c r="R41" s="667" t="s">
        <v>14</v>
      </c>
      <c r="S41" s="668">
        <f t="shared" si="12"/>
        <v>100</v>
      </c>
      <c r="T41" s="667" t="s">
        <v>14</v>
      </c>
      <c r="U41" s="668">
        <f t="shared" si="13"/>
        <v>100</v>
      </c>
      <c r="V41" s="667" t="s">
        <v>14</v>
      </c>
      <c r="W41" s="668">
        <f t="shared" si="14"/>
        <v>100</v>
      </c>
      <c r="X41" s="1261"/>
      <c r="Y41" s="3504"/>
      <c r="Z41" s="1260" t="str">
        <f t="shared" si="15"/>
        <v>层高</v>
      </c>
      <c r="AA41" s="1260">
        <f t="shared" si="3"/>
        <v>1</v>
      </c>
      <c r="AB41" s="1260">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502"/>
      <c r="Q42" s="531" t="str">
        <f t="shared" si="11"/>
        <v>单套建筑面积</v>
      </c>
      <c r="R42" s="669" t="s">
        <v>14</v>
      </c>
      <c r="S42" s="670">
        <f t="shared" si="12"/>
        <v>100</v>
      </c>
      <c r="T42" s="669" t="s">
        <v>14</v>
      </c>
      <c r="U42" s="670">
        <f t="shared" si="13"/>
        <v>100</v>
      </c>
      <c r="V42" s="669" t="s">
        <v>14</v>
      </c>
      <c r="W42" s="670">
        <f t="shared" si="14"/>
        <v>100</v>
      </c>
      <c r="X42" s="671"/>
      <c r="Y42" s="3504"/>
      <c r="Z42" s="672" t="str">
        <f t="shared" si="15"/>
        <v>单套建筑面积</v>
      </c>
      <c r="AA42" s="1260">
        <f t="shared" si="3"/>
        <v>1</v>
      </c>
      <c r="AB42" s="1260">
        <f t="shared" si="4"/>
        <v>1</v>
      </c>
      <c r="AC42" s="1808">
        <f t="shared" si="5"/>
        <v>1</v>
      </c>
    </row>
    <row r="43" spans="1:29" ht="15">
      <c r="A43" s="409"/>
      <c r="B43" s="364" t="s">
        <v>1792</v>
      </c>
      <c r="C43" s="399" t="s">
        <v>3571</v>
      </c>
      <c r="D43" s="374">
        <v>100</v>
      </c>
      <c r="E43" s="399" t="s">
        <v>3574</v>
      </c>
      <c r="F43" s="400">
        <f>SUMIF(123:123,E43,124:124)-SUMIF(123:123,C43,124:124)+100</f>
        <v>97</v>
      </c>
      <c r="G43" s="399" t="s">
        <v>3574</v>
      </c>
      <c r="H43" s="374">
        <f>SUMIF(123:123,G43,124:124)-SUMIF(123:123,C43,124:124)+100</f>
        <v>97</v>
      </c>
      <c r="I43" s="399" t="s">
        <v>3571</v>
      </c>
      <c r="J43" s="374">
        <f>SUMIF(123:123,I43,124:124)-SUMIF(123:123,C43,124:124)+100</f>
        <v>100</v>
      </c>
      <c r="K43" s="538">
        <v>1.5</v>
      </c>
      <c r="L43" s="2484"/>
      <c r="M43" s="2479"/>
      <c r="N43" s="2479"/>
      <c r="O43" s="2479"/>
      <c r="P43" s="3502"/>
      <c r="Q43" s="1259" t="str">
        <f t="shared" si="11"/>
        <v>内部装修</v>
      </c>
      <c r="R43" s="667" t="s">
        <v>14</v>
      </c>
      <c r="S43" s="668">
        <f t="shared" si="12"/>
        <v>97</v>
      </c>
      <c r="T43" s="667" t="s">
        <v>14</v>
      </c>
      <c r="U43" s="668">
        <f t="shared" si="13"/>
        <v>97</v>
      </c>
      <c r="V43" s="667" t="s">
        <v>14</v>
      </c>
      <c r="W43" s="668">
        <f t="shared" si="14"/>
        <v>100</v>
      </c>
      <c r="X43" s="1261"/>
      <c r="Y43" s="3504"/>
      <c r="Z43" s="1260" t="str">
        <f t="shared" si="15"/>
        <v>内部装修</v>
      </c>
      <c r="AA43" s="1260">
        <f t="shared" si="3"/>
        <v>1.0309278350515463</v>
      </c>
      <c r="AB43" s="1260">
        <f t="shared" si="4"/>
        <v>1.0309278350515463</v>
      </c>
      <c r="AC43" s="1808">
        <f t="shared" si="5"/>
        <v>1</v>
      </c>
    </row>
    <row r="44" spans="1:29" ht="28.8">
      <c r="A44" s="409"/>
      <c r="B44" s="364" t="s">
        <v>1707</v>
      </c>
      <c r="C44" s="399" t="s">
        <v>3548</v>
      </c>
      <c r="D44" s="374">
        <v>100</v>
      </c>
      <c r="E44" s="1756" t="s">
        <v>3548</v>
      </c>
      <c r="F44" s="400">
        <f>SUMIF(125:125,E44,126:126)-SUMIF(125:125,C44,126:126)+100</f>
        <v>100</v>
      </c>
      <c r="G44" s="1756" t="s">
        <v>3548</v>
      </c>
      <c r="H44" s="374">
        <f>SUMIF(125:125,G44,126:126)-SUMIF(125:125,C44,126:126)+100</f>
        <v>100</v>
      </c>
      <c r="I44" s="1756" t="s">
        <v>3548</v>
      </c>
      <c r="J44" s="374">
        <f>SUMIF(125:125,I44,126:126)-SUMIF(125:125,C44,126:126)+100</f>
        <v>100</v>
      </c>
      <c r="K44" s="538">
        <v>2</v>
      </c>
      <c r="L44" s="2484"/>
      <c r="M44" s="2479"/>
      <c r="N44" s="2479"/>
      <c r="O44" s="2479"/>
      <c r="P44" s="3502"/>
      <c r="Q44" s="1259" t="str">
        <f t="shared" si="11"/>
        <v>内部装修维护情况</v>
      </c>
      <c r="R44" s="667" t="s">
        <v>14</v>
      </c>
      <c r="S44" s="668">
        <f t="shared" si="12"/>
        <v>100</v>
      </c>
      <c r="T44" s="667" t="s">
        <v>14</v>
      </c>
      <c r="U44" s="668">
        <f t="shared" si="13"/>
        <v>100</v>
      </c>
      <c r="V44" s="667" t="s">
        <v>14</v>
      </c>
      <c r="W44" s="668">
        <f t="shared" si="14"/>
        <v>100</v>
      </c>
      <c r="X44" s="1261"/>
      <c r="Y44" s="3504"/>
      <c r="Z44" s="1260" t="str">
        <f t="shared" si="15"/>
        <v>内部装修维护情况</v>
      </c>
      <c r="AA44" s="1260">
        <f t="shared" si="3"/>
        <v>1</v>
      </c>
      <c r="AB44" s="1260">
        <f t="shared" si="4"/>
        <v>1</v>
      </c>
      <c r="AC44" s="1808">
        <f t="shared" si="5"/>
        <v>1</v>
      </c>
    </row>
    <row r="45" spans="1:29" s="102" customFormat="1" ht="15">
      <c r="A45" s="410"/>
      <c r="B45" s="3180" t="s">
        <v>3584</v>
      </c>
      <c r="C45" s="407" t="s">
        <v>3664</v>
      </c>
      <c r="D45" s="119">
        <v>100</v>
      </c>
      <c r="E45" s="371" t="s">
        <v>3661</v>
      </c>
      <c r="F45" s="364">
        <f>SUMIF(127:127,E45,128:128)-SUMIF(127:127,C45,128:128)+100</f>
        <v>112</v>
      </c>
      <c r="G45" s="371" t="s">
        <v>3661</v>
      </c>
      <c r="H45" s="119">
        <f>SUMIF(127:127,G45,128:128)-SUMIF(127:127,C45,128:128)+100</f>
        <v>112</v>
      </c>
      <c r="I45" s="371" t="s">
        <v>3661</v>
      </c>
      <c r="J45" s="119">
        <f>SUMIF(127:127,I45,128:128)-SUMIF(127:127,C45,128:128)+100</f>
        <v>112</v>
      </c>
      <c r="K45" s="539"/>
      <c r="L45" s="2480"/>
      <c r="M45" s="2433"/>
      <c r="N45" s="2433"/>
      <c r="O45" s="2433"/>
      <c r="P45" s="3502"/>
      <c r="Q45" s="530" t="str">
        <f t="shared" si="11"/>
        <v>地下面积占比</v>
      </c>
      <c r="R45" s="664" t="s">
        <v>14</v>
      </c>
      <c r="S45" s="665">
        <f t="shared" si="12"/>
        <v>112</v>
      </c>
      <c r="T45" s="664" t="s">
        <v>14</v>
      </c>
      <c r="U45" s="665">
        <f t="shared" si="13"/>
        <v>112</v>
      </c>
      <c r="V45" s="664" t="s">
        <v>14</v>
      </c>
      <c r="W45" s="665">
        <f t="shared" si="14"/>
        <v>112</v>
      </c>
      <c r="X45" s="666"/>
      <c r="Y45" s="3504"/>
      <c r="Z45" s="50" t="str">
        <f t="shared" si="15"/>
        <v>地下面积占比</v>
      </c>
      <c r="AA45" s="50">
        <f t="shared" si="3"/>
        <v>0.8928571428571429</v>
      </c>
      <c r="AB45" s="50">
        <f t="shared" si="4"/>
        <v>0.8928571428571429</v>
      </c>
      <c r="AC45" s="799">
        <f t="shared" si="5"/>
        <v>0.8928571428571429</v>
      </c>
    </row>
    <row r="46" spans="1:29" ht="15">
      <c r="A46" s="409"/>
      <c r="B46" s="1063">
        <v>111</v>
      </c>
      <c r="C46" s="3181">
        <v>0.2</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4"/>
      <c r="M46" s="2479"/>
      <c r="N46" s="2479"/>
      <c r="O46" s="2479"/>
      <c r="P46" s="3502"/>
      <c r="Q46" s="1259">
        <f t="shared" si="11"/>
        <v>111</v>
      </c>
      <c r="R46" s="667" t="s">
        <v>14</v>
      </c>
      <c r="S46" s="668">
        <f t="shared" si="12"/>
        <v>100</v>
      </c>
      <c r="T46" s="667" t="s">
        <v>14</v>
      </c>
      <c r="U46" s="668">
        <f t="shared" si="13"/>
        <v>100</v>
      </c>
      <c r="V46" s="667" t="s">
        <v>14</v>
      </c>
      <c r="W46" s="668">
        <f t="shared" si="14"/>
        <v>100</v>
      </c>
      <c r="X46" s="1261"/>
      <c r="Y46" s="3504"/>
      <c r="Z46" s="1260">
        <f t="shared" si="15"/>
        <v>111</v>
      </c>
      <c r="AA46" s="1260">
        <f t="shared" si="3"/>
        <v>1</v>
      </c>
      <c r="AB46" s="1260">
        <f t="shared" si="4"/>
        <v>1</v>
      </c>
      <c r="AC46" s="1808">
        <f t="shared" si="5"/>
        <v>1</v>
      </c>
    </row>
    <row r="47" spans="1:29" ht="15.6" thickBot="1">
      <c r="A47" s="415"/>
      <c r="B47" s="1745">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4"/>
      <c r="M47" s="2479"/>
      <c r="N47" s="2479"/>
      <c r="O47" s="2479"/>
      <c r="P47" s="3503"/>
      <c r="Q47" s="1259">
        <f t="shared" si="11"/>
        <v>111</v>
      </c>
      <c r="R47" s="667" t="s">
        <v>14</v>
      </c>
      <c r="S47" s="668">
        <f t="shared" si="12"/>
        <v>100</v>
      </c>
      <c r="T47" s="667" t="s">
        <v>14</v>
      </c>
      <c r="U47" s="668">
        <f t="shared" si="13"/>
        <v>100</v>
      </c>
      <c r="V47" s="667" t="s">
        <v>14</v>
      </c>
      <c r="W47" s="668">
        <f t="shared" si="14"/>
        <v>100</v>
      </c>
      <c r="X47" s="1261"/>
      <c r="Y47" s="3505"/>
      <c r="Z47" s="1260">
        <f t="shared" si="15"/>
        <v>111</v>
      </c>
      <c r="AA47" s="1260">
        <f t="shared" si="3"/>
        <v>1</v>
      </c>
      <c r="AB47" s="1260">
        <f t="shared" si="4"/>
        <v>1</v>
      </c>
      <c r="AC47" s="1808">
        <f t="shared" si="5"/>
        <v>1</v>
      </c>
    </row>
    <row r="48" spans="1:29" ht="14.4">
      <c r="A48" s="416" t="s">
        <v>1708</v>
      </c>
      <c r="B48" s="417"/>
      <c r="C48" s="1077" t="s">
        <v>0</v>
      </c>
      <c r="D48" s="418"/>
      <c r="E48" s="419">
        <f>中海金融中心!N42</f>
        <v>76900</v>
      </c>
      <c r="F48" s="420"/>
      <c r="G48" s="421">
        <f>丽金智地中心!N141</f>
        <v>82017</v>
      </c>
      <c r="H48" s="422"/>
      <c r="I48" s="419">
        <f>中海国际中心!O83</f>
        <v>83000</v>
      </c>
      <c r="J48" s="422"/>
      <c r="K48" s="674"/>
      <c r="L48" s="2486"/>
      <c r="M48" s="2479"/>
      <c r="N48" s="2479"/>
      <c r="O48" s="2479"/>
      <c r="P48" s="3491" t="str">
        <f>A48</f>
        <v>成交单价（元/平方米）</v>
      </c>
      <c r="Q48" s="3492"/>
      <c r="R48" s="3493">
        <f>E48</f>
        <v>76900</v>
      </c>
      <c r="S48" s="3493"/>
      <c r="T48" s="3493">
        <f>G48</f>
        <v>82017</v>
      </c>
      <c r="U48" s="3493"/>
      <c r="V48" s="3493">
        <f>I48</f>
        <v>83000</v>
      </c>
      <c r="W48" s="3493"/>
      <c r="X48" s="385"/>
      <c r="Y48" s="673"/>
      <c r="Z48" s="385"/>
      <c r="AA48" s="385"/>
      <c r="AB48" s="385"/>
      <c r="AC48" s="555"/>
    </row>
    <row r="49" spans="1:29" ht="15" thickBot="1">
      <c r="A49" s="423" t="s">
        <v>1793</v>
      </c>
      <c r="B49" s="424"/>
      <c r="C49" s="1078">
        <f>R50</f>
        <v>71807</v>
      </c>
      <c r="D49" s="2137" t="s">
        <v>2138</v>
      </c>
      <c r="E49" s="1079">
        <f>R49</f>
        <v>68723</v>
      </c>
      <c r="F49" s="2138"/>
      <c r="G49" s="1078">
        <f>T49</f>
        <v>74044</v>
      </c>
      <c r="H49" s="2138"/>
      <c r="I49" s="1079">
        <f>V49</f>
        <v>72654</v>
      </c>
      <c r="J49" s="2138"/>
      <c r="K49" s="2140">
        <f>F49+H49+J49</f>
        <v>0</v>
      </c>
      <c r="L49" s="2486"/>
      <c r="M49" s="2479"/>
      <c r="N49" s="2479"/>
      <c r="O49" s="2479"/>
      <c r="P49" s="3491" t="str">
        <f>A49</f>
        <v>比较价值（元/平方米）</v>
      </c>
      <c r="Q49" s="3492"/>
      <c r="R49" s="3493">
        <f>IF(F1="售价",ROUND(PRODUCT(R48,AA7:AA47),0),ROUND(PRODUCT(R48,AA7:AA47),1))</f>
        <v>68723</v>
      </c>
      <c r="S49" s="3493"/>
      <c r="T49" s="3493">
        <f>IF(F1="售价",ROUND(PRODUCT(T48,AB7:AB47),0),ROUND(PRODUCT(T48,AB7:AB47),1))</f>
        <v>74044</v>
      </c>
      <c r="U49" s="3493"/>
      <c r="V49" s="3493">
        <f>IF(F1="售价",ROUND(PRODUCT(V48,AC7:AC47),0),ROUND(PRODUCT(V48,AC7:AC47),1))</f>
        <v>72654</v>
      </c>
      <c r="W49" s="3493"/>
      <c r="X49" s="385"/>
      <c r="Y49" s="385"/>
      <c r="Z49" s="385"/>
      <c r="AA49" s="385"/>
      <c r="AB49" s="385"/>
      <c r="AC49" s="555"/>
    </row>
    <row r="50" spans="1:29" ht="15" thickBot="1">
      <c r="A50" s="427" t="s">
        <v>1794</v>
      </c>
      <c r="B50" s="428"/>
      <c r="C50" s="351">
        <f>R50</f>
        <v>71807</v>
      </c>
      <c r="D50" s="351"/>
      <c r="E50" s="351"/>
      <c r="F50" s="351"/>
      <c r="G50" s="351"/>
      <c r="H50" s="351"/>
      <c r="I50" s="351"/>
      <c r="J50" s="429"/>
      <c r="K50" s="675"/>
      <c r="L50" s="2486"/>
      <c r="M50" s="2479"/>
      <c r="N50" s="2479"/>
      <c r="O50" s="2479"/>
      <c r="P50" s="3494" t="str">
        <f>A50</f>
        <v>估价对象XX用房的比较价值（楼面单价，元/平方米）</v>
      </c>
      <c r="Q50" s="3495"/>
      <c r="R50" s="3496">
        <f>IF(F1="售价",ROUND(IF(D49="简单平均",AVERAGE(R49:V49),R49*F49+T49*H49+V49*J49),0),ROUND(IF(D49="简单平均",AVERAGE(R49:V49),R49*F49+T49*H49+V49*J49),1))</f>
        <v>71807</v>
      </c>
      <c r="S50" s="3496"/>
      <c r="T50" s="3496"/>
      <c r="U50" s="3496"/>
      <c r="V50" s="3496"/>
      <c r="W50" s="3496"/>
      <c r="X50" s="1794"/>
      <c r="Y50" s="1794"/>
      <c r="Z50" s="1794"/>
      <c r="AA50" s="1794"/>
      <c r="AB50" s="1794"/>
      <c r="AC50" s="1795"/>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2" t="s">
        <v>1795</v>
      </c>
      <c r="D53" s="433"/>
      <c r="E53" s="434">
        <f>IF(E48&lt;E49,E49/E48-1,E48/E49-1)</f>
        <v>0.11898491043755355</v>
      </c>
      <c r="F53" s="435" t="str">
        <f>IF(OR(E53&gt;=0.3,E53&lt;=-0.3),"超过30%","")</f>
        <v/>
      </c>
      <c r="G53" s="434">
        <f>IF(G48&lt;G49,G49/G48-1,G48/G49-1)</f>
        <v>0.10767921776241152</v>
      </c>
      <c r="H53" s="435" t="str">
        <f>IF(OR(G53&gt;=0.3,G53&lt;=-0.3),"超过30%","")</f>
        <v/>
      </c>
      <c r="I53" s="434">
        <f>IF(I48&lt;I49,I49/I48-1,I48/I49-1)</f>
        <v>0.14240096897624355</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2" t="s">
        <v>1796</v>
      </c>
      <c r="D54" s="436"/>
      <c r="E54" s="434">
        <f>IF(E49&lt;G49,G49/E49-1,E49/G49-1)</f>
        <v>7.7426771241069225E-2</v>
      </c>
      <c r="F54" s="435" t="str">
        <f>IF(OR(E54&gt;=0.2,E54&lt;=-0.2),"超过20%","")</f>
        <v/>
      </c>
      <c r="G54" s="434">
        <f>IF(G49&lt;I49,I49/G49-1,G49/I49-1)</f>
        <v>1.913177526357801E-2</v>
      </c>
      <c r="H54" s="435" t="str">
        <f>IF(OR(G54&gt;=0.2,G54&lt;=-0.2),"超过20%","")</f>
        <v/>
      </c>
      <c r="I54" s="434">
        <f>IF(I49&lt;E49,E49/I49-1,I49/E49-1)</f>
        <v>5.7200646071911887E-2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29" s="437" customFormat="1" ht="13.5" customHeight="1">
      <c r="A55" s="2489"/>
      <c r="B55" s="2489"/>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29"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2.2" thickBot="1">
      <c r="A58" s="658" t="s">
        <v>1798</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29" s="442" customFormat="1" ht="14.4">
      <c r="A59" s="440" t="s">
        <v>1679</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3175">
        <f t="shared" ref="P59" si="17">EDATE(O59,-1)</f>
        <v>45323</v>
      </c>
      <c r="Q59" s="3175">
        <f t="shared" ref="Q59" si="18">EDATE(P59,-1)</f>
        <v>45292</v>
      </c>
      <c r="R59" s="3175">
        <f t="shared" ref="R59" si="19">EDATE(Q59,-1)</f>
        <v>45261</v>
      </c>
      <c r="S59" s="3175">
        <f t="shared" ref="S59" si="20">EDATE(R59,-1)</f>
        <v>45231</v>
      </c>
      <c r="T59" s="3175">
        <f t="shared" ref="T59" si="21">EDATE(S59,-1)</f>
        <v>45200</v>
      </c>
      <c r="U59" s="3175">
        <f t="shared" ref="U59" si="22">EDATE(T59,-1)</f>
        <v>45170</v>
      </c>
      <c r="V59" s="3175">
        <f t="shared" ref="V59" si="23">EDATE(U59,-1)</f>
        <v>45139</v>
      </c>
      <c r="W59" s="3175">
        <f t="shared" ref="W59" si="24">EDATE(V59,-1)</f>
        <v>45108</v>
      </c>
      <c r="X59" s="3175">
        <f t="shared" ref="X59" si="25">EDATE(W59,-1)</f>
        <v>45078</v>
      </c>
      <c r="Y59" s="3175">
        <f t="shared" ref="Y59" si="26">EDATE(X59,-1)</f>
        <v>45047</v>
      </c>
      <c r="Z59" s="3175">
        <f t="shared" ref="Z59" si="27">EDATE(Y59,-1)</f>
        <v>45017</v>
      </c>
      <c r="AA59" s="3175">
        <f t="shared" ref="AA59" si="28">EDATE(Z59,-1)</f>
        <v>44986</v>
      </c>
      <c r="AB59" s="3175">
        <f t="shared" ref="AB59" si="29">EDATE(AA59,-1)</f>
        <v>44958</v>
      </c>
      <c r="AC59" s="2502"/>
    </row>
    <row r="60" spans="1:29" s="102" customFormat="1">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2433"/>
    </row>
    <row r="61" spans="1:29" s="102" customFormat="1" ht="15" thickBot="1">
      <c r="A61" s="449" t="s">
        <v>1716</v>
      </c>
      <c r="B61" s="450"/>
      <c r="C61" s="451"/>
      <c r="D61" s="452"/>
      <c r="E61" s="452"/>
      <c r="F61" s="452"/>
      <c r="G61" s="452"/>
      <c r="H61" s="452"/>
      <c r="I61" s="452"/>
      <c r="J61" s="452"/>
      <c r="K61" s="452"/>
      <c r="L61" s="452"/>
      <c r="M61" s="453"/>
      <c r="N61" s="452"/>
      <c r="O61" s="453"/>
      <c r="P61" s="2520"/>
      <c r="Q61" s="2500"/>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2"/>
      <c r="O62" s="2512"/>
      <c r="P62" s="2521"/>
      <c r="Q62" s="2500"/>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2"/>
      <c r="O63" s="2512"/>
      <c r="P63" s="2520"/>
      <c r="Q63" s="2500"/>
      <c r="R63" s="2433"/>
      <c r="S63" s="2433"/>
      <c r="T63" s="2433"/>
      <c r="U63" s="2433"/>
      <c r="V63" s="2433"/>
      <c r="W63" s="2433"/>
      <c r="X63" s="2433"/>
      <c r="Y63" s="2433"/>
      <c r="Z63" s="2433"/>
      <c r="AA63" s="2433"/>
      <c r="AB63" s="2433"/>
      <c r="AC63" s="2433"/>
    </row>
    <row r="64" spans="1:29" ht="14.4">
      <c r="A64" s="379" t="s">
        <v>1719</v>
      </c>
      <c r="B64" s="460" t="s">
        <v>1685</v>
      </c>
      <c r="C64" s="461" t="str">
        <f>C9</f>
        <v>办公</v>
      </c>
      <c r="D64" s="462"/>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16384:16384" ht="14.4" thickBot="1">
      <c r="A65" s="367"/>
      <c r="B65" s="466"/>
      <c r="C65" s="467">
        <v>100</v>
      </c>
      <c r="D65" s="467"/>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16384:16384" ht="29.4" thickTop="1">
      <c r="A66" s="367"/>
      <c r="B66" s="469" t="s">
        <v>1688</v>
      </c>
      <c r="C66" s="513" t="s">
        <v>3667</v>
      </c>
      <c r="D66" s="513" t="s">
        <v>3668</v>
      </c>
      <c r="E66" s="513" t="s">
        <v>3669</v>
      </c>
      <c r="F66" s="513" t="s">
        <v>3670</v>
      </c>
      <c r="G66" s="513" t="s">
        <v>3671</v>
      </c>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c r="XFD66" s="347">
        <v>25</v>
      </c>
    </row>
    <row r="67" spans="1:29 16384:16384" ht="14.4" thickBot="1">
      <c r="A67" s="367"/>
      <c r="B67" s="474"/>
      <c r="C67" s="467">
        <f t="shared" ref="C67:E67" si="30">D67-2</f>
        <v>92</v>
      </c>
      <c r="D67" s="467">
        <f t="shared" si="30"/>
        <v>94</v>
      </c>
      <c r="E67" s="467">
        <f t="shared" si="30"/>
        <v>96</v>
      </c>
      <c r="F67" s="467">
        <f>G67-2</f>
        <v>98</v>
      </c>
      <c r="G67" s="467">
        <v>100</v>
      </c>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16384:16384" ht="15" thickTop="1">
      <c r="A68" s="367"/>
      <c r="B68" s="477" t="s">
        <v>1689</v>
      </c>
      <c r="C68" s="478" t="str">
        <f>C69&amp;"（含）"&amp;"-"&amp;D69</f>
        <v>0（含）-3</v>
      </c>
      <c r="D68" s="478" t="str">
        <f t="shared" ref="D68:L68" si="31">D69&amp;"（含）"&amp;"-"&amp;E69</f>
        <v>3（含）-</v>
      </c>
      <c r="E68" s="478" t="str">
        <f t="shared" si="31"/>
        <v>（含）-</v>
      </c>
      <c r="F68" s="478" t="str">
        <f t="shared" si="31"/>
        <v>（含）-</v>
      </c>
      <c r="G68" s="478" t="str">
        <f t="shared" si="31"/>
        <v>（含）-</v>
      </c>
      <c r="H68" s="478" t="str">
        <f t="shared" si="31"/>
        <v>（含）-</v>
      </c>
      <c r="I68" s="478" t="str">
        <f t="shared" si="31"/>
        <v>（含）-</v>
      </c>
      <c r="J68" s="478" t="str">
        <f t="shared" si="31"/>
        <v>（含）-</v>
      </c>
      <c r="K68" s="478" t="str">
        <f t="shared" si="31"/>
        <v>（含）-</v>
      </c>
      <c r="L68" s="478" t="str">
        <f t="shared" si="31"/>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16384:16384">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16384:16384" ht="14.4" thickBot="1">
      <c r="A70" s="367"/>
      <c r="B70" s="466"/>
      <c r="C70" s="475">
        <v>100</v>
      </c>
      <c r="D70" s="475">
        <f t="shared" ref="D70:M70" si="32">C70-$K11</f>
        <v>100</v>
      </c>
      <c r="E70" s="475">
        <f t="shared" si="32"/>
        <v>100</v>
      </c>
      <c r="F70" s="475">
        <f t="shared" si="32"/>
        <v>100</v>
      </c>
      <c r="G70" s="475">
        <f t="shared" si="32"/>
        <v>100</v>
      </c>
      <c r="H70" s="475">
        <f t="shared" si="32"/>
        <v>100</v>
      </c>
      <c r="I70" s="475">
        <f t="shared" si="32"/>
        <v>100</v>
      </c>
      <c r="J70" s="475">
        <f t="shared" si="32"/>
        <v>100</v>
      </c>
      <c r="K70" s="475">
        <f t="shared" si="32"/>
        <v>100</v>
      </c>
      <c r="L70" s="475">
        <f t="shared" si="32"/>
        <v>100</v>
      </c>
      <c r="M70" s="476">
        <f t="shared" si="32"/>
        <v>100</v>
      </c>
      <c r="N70" s="2514"/>
      <c r="O70" s="2514"/>
      <c r="P70" s="2522"/>
      <c r="Q70" s="2500"/>
      <c r="R70" s="2479"/>
      <c r="S70" s="2479"/>
      <c r="T70" s="2479"/>
      <c r="U70" s="2479"/>
      <c r="V70" s="2479"/>
      <c r="W70" s="2479"/>
      <c r="X70" s="2479"/>
      <c r="Y70" s="2479"/>
      <c r="Z70" s="2479"/>
      <c r="AA70" s="2479"/>
      <c r="AB70" s="2479"/>
      <c r="AC70" s="2479"/>
    </row>
    <row r="71" spans="1:29 16384:16384" s="408" customFormat="1" ht="14.4"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16384:16384" s="408" customFormat="1" ht="14.4"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16384:16384" s="408" customFormat="1" ht="14.4"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16384:16384" s="408" customFormat="1" ht="14.4"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16384:16384" s="408" customFormat="1" ht="14.4"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16384:16384" s="408" customFormat="1" ht="14.4"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 thickTop="1">
      <c r="A81" s="367"/>
      <c r="B81" s="469" t="s">
        <v>1727</v>
      </c>
      <c r="C81" s="509" t="s">
        <v>1721</v>
      </c>
      <c r="D81" s="509" t="s">
        <v>1722</v>
      </c>
      <c r="E81" s="509" t="s">
        <v>1723</v>
      </c>
      <c r="F81" s="509" t="s">
        <v>1724</v>
      </c>
      <c r="G81" s="509" t="s">
        <v>1725</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4.4" thickBot="1">
      <c r="A82" s="367"/>
      <c r="B82" s="474"/>
      <c r="C82" s="475">
        <v>100</v>
      </c>
      <c r="D82" s="475">
        <f>C82-$K19</f>
        <v>98</v>
      </c>
      <c r="E82" s="475">
        <f>D82-$K19</f>
        <v>96</v>
      </c>
      <c r="F82" s="475">
        <f>E82-$K19</f>
        <v>94</v>
      </c>
      <c r="G82" s="475">
        <f>F82-$K19</f>
        <v>92</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 thickTop="1">
      <c r="A83" s="367"/>
      <c r="B83" s="477" t="s">
        <v>1813</v>
      </c>
      <c r="C83" s="581" t="s">
        <v>1799</v>
      </c>
      <c r="D83" s="581" t="s">
        <v>1800</v>
      </c>
      <c r="E83" s="581" t="s">
        <v>1801</v>
      </c>
      <c r="F83" s="581" t="s">
        <v>1802</v>
      </c>
      <c r="G83" s="581" t="s">
        <v>1803</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4.4" thickBot="1">
      <c r="A84" s="367"/>
      <c r="B84" s="477"/>
      <c r="C84" s="475">
        <v>100</v>
      </c>
      <c r="D84" s="475">
        <f>C84-$K21</f>
        <v>99</v>
      </c>
      <c r="E84" s="475">
        <f>D84-$K21</f>
        <v>98</v>
      </c>
      <c r="F84" s="475">
        <f>E84-$K21</f>
        <v>97</v>
      </c>
      <c r="G84" s="475">
        <f>F84-$K21</f>
        <v>96</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 thickTop="1">
      <c r="A85" s="367"/>
      <c r="B85" s="469" t="s">
        <v>1822</v>
      </c>
      <c r="C85" s="509" t="s">
        <v>1721</v>
      </c>
      <c r="D85" s="509" t="s">
        <v>1722</v>
      </c>
      <c r="E85" s="509" t="s">
        <v>1723</v>
      </c>
      <c r="F85" s="509" t="s">
        <v>1724</v>
      </c>
      <c r="G85" s="509" t="s">
        <v>1725</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4.4" thickBot="1">
      <c r="A86" s="367"/>
      <c r="B86" s="474"/>
      <c r="C86" s="475">
        <v>100</v>
      </c>
      <c r="D86" s="475">
        <f>C86-$K23</f>
        <v>98</v>
      </c>
      <c r="E86" s="475">
        <f>D86-$K23</f>
        <v>96</v>
      </c>
      <c r="F86" s="475">
        <f>E86-$K23</f>
        <v>94</v>
      </c>
      <c r="G86" s="475">
        <f>F86-$K23</f>
        <v>92</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9.4" thickTop="1">
      <c r="A87" s="370"/>
      <c r="B87" s="469" t="s">
        <v>1823</v>
      </c>
      <c r="C87" s="3176" t="s">
        <v>3561</v>
      </c>
      <c r="D87" s="3177" t="s">
        <v>3563</v>
      </c>
      <c r="E87" s="3177" t="s">
        <v>3565</v>
      </c>
      <c r="F87" s="3177" t="s">
        <v>3566</v>
      </c>
      <c r="G87" s="485"/>
      <c r="H87" s="485"/>
      <c r="I87" s="485"/>
      <c r="J87" s="485"/>
      <c r="K87" s="485"/>
      <c r="L87" s="510"/>
      <c r="M87" s="511"/>
      <c r="N87" s="2512"/>
      <c r="O87" s="2512"/>
      <c r="P87" s="2522"/>
      <c r="Q87" s="2500"/>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33">C88-$K25</f>
        <v>99</v>
      </c>
      <c r="E88" s="475">
        <f t="shared" si="33"/>
        <v>98</v>
      </c>
      <c r="F88" s="475">
        <f t="shared" si="33"/>
        <v>97</v>
      </c>
      <c r="G88" s="475">
        <f t="shared" si="33"/>
        <v>96</v>
      </c>
      <c r="H88" s="475">
        <f t="shared" si="33"/>
        <v>95</v>
      </c>
      <c r="I88" s="475">
        <f t="shared" si="33"/>
        <v>94</v>
      </c>
      <c r="J88" s="475">
        <f t="shared" si="33"/>
        <v>93</v>
      </c>
      <c r="K88" s="475">
        <f t="shared" si="33"/>
        <v>92</v>
      </c>
      <c r="L88" s="475">
        <f t="shared" si="33"/>
        <v>91</v>
      </c>
      <c r="M88" s="475">
        <f t="shared" si="33"/>
        <v>90</v>
      </c>
      <c r="N88" s="2514"/>
      <c r="O88" s="2514"/>
      <c r="P88" s="2522"/>
      <c r="Q88" s="2500"/>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2"/>
      <c r="O89" s="2512"/>
      <c r="P89" s="2522"/>
      <c r="Q89" s="2500"/>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14"/>
      <c r="O90" s="2514"/>
      <c r="P90" s="2522"/>
      <c r="Q90" s="2500"/>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15"/>
      <c r="O92" s="2515"/>
      <c r="P92" s="2523"/>
      <c r="Q92" s="2507"/>
      <c r="R92" s="2485"/>
      <c r="S92" s="2485"/>
      <c r="T92" s="2485"/>
      <c r="U92" s="2485"/>
      <c r="V92" s="2485"/>
      <c r="W92" s="2485"/>
      <c r="X92" s="2485"/>
      <c r="Y92" s="2485"/>
      <c r="Z92" s="2485"/>
      <c r="AA92" s="2485"/>
      <c r="AB92" s="2485"/>
      <c r="AC92" s="2485"/>
    </row>
    <row r="93" spans="1:29" ht="14.4" thickTop="1">
      <c r="A93" s="367"/>
      <c r="B93" s="469">
        <f>B29</f>
        <v>111</v>
      </c>
      <c r="C93" s="485"/>
      <c r="D93" s="485"/>
      <c r="E93" s="485"/>
      <c r="F93" s="485"/>
      <c r="G93" s="485"/>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91"/>
      <c r="D94" s="467"/>
      <c r="E94" s="467"/>
      <c r="F94" s="467"/>
      <c r="G94" s="467"/>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4.4" thickTop="1">
      <c r="A95" s="367"/>
      <c r="B95" s="469">
        <f>B30</f>
        <v>111</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4.4" thickTop="1">
      <c r="A97" s="367"/>
      <c r="B97" s="469">
        <f>B31</f>
        <v>111</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4.4"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4.4" thickTop="1">
      <c r="A99" s="367"/>
      <c r="B99" s="477">
        <f>B32</f>
        <v>111</v>
      </c>
      <c r="C99" s="31"/>
      <c r="D99" s="31"/>
      <c r="E99" s="31"/>
      <c r="F99" s="31"/>
      <c r="G99" s="517"/>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4.4" thickBot="1">
      <c r="A100" s="375"/>
      <c r="B100" s="500"/>
      <c r="C100" s="501"/>
      <c r="D100" s="501"/>
      <c r="E100" s="501"/>
      <c r="F100" s="501"/>
      <c r="G100" s="521"/>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ht="14.4">
      <c r="A101" s="379" t="s">
        <v>1694</v>
      </c>
      <c r="B101" s="460" t="s">
        <v>1736</v>
      </c>
      <c r="C101" s="3178" t="s">
        <v>3568</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75">
        <v>100</v>
      </c>
      <c r="D102" s="475">
        <f t="shared" ref="D102:M102" si="36">C102-$K33</f>
        <v>98</v>
      </c>
      <c r="E102" s="475">
        <f t="shared" si="36"/>
        <v>96</v>
      </c>
      <c r="F102" s="475">
        <f t="shared" si="36"/>
        <v>94</v>
      </c>
      <c r="G102" s="475">
        <f t="shared" si="36"/>
        <v>92</v>
      </c>
      <c r="H102" s="475">
        <f t="shared" si="36"/>
        <v>90</v>
      </c>
      <c r="I102" s="475">
        <f t="shared" si="36"/>
        <v>88</v>
      </c>
      <c r="J102" s="475">
        <f t="shared" si="36"/>
        <v>86</v>
      </c>
      <c r="K102" s="475">
        <f t="shared" si="36"/>
        <v>84</v>
      </c>
      <c r="L102" s="475">
        <f t="shared" si="36"/>
        <v>82</v>
      </c>
      <c r="M102" s="476">
        <f t="shared" si="36"/>
        <v>80</v>
      </c>
      <c r="N102" s="2514"/>
      <c r="O102" s="2514"/>
      <c r="P102" s="2522"/>
      <c r="Q102" s="2500"/>
      <c r="R102" s="2479"/>
      <c r="S102" s="2479"/>
      <c r="T102" s="2479"/>
      <c r="U102" s="2479"/>
      <c r="V102" s="2479"/>
      <c r="W102" s="2479"/>
      <c r="X102" s="2479"/>
      <c r="Y102" s="2479"/>
      <c r="Z102" s="2479"/>
      <c r="AA102" s="2479"/>
      <c r="AB102" s="2479"/>
      <c r="AC102" s="2479"/>
    </row>
    <row r="103" spans="1:29" ht="28.2" thickTop="1">
      <c r="A103" s="367"/>
      <c r="B103" s="469" t="s">
        <v>1737</v>
      </c>
      <c r="C103" s="509" t="str">
        <f>C104&amp;"(含)"&amp;"-"&amp;D104</f>
        <v>0(含)-10000</v>
      </c>
      <c r="D103" s="509" t="str">
        <f t="shared" ref="D103:L103" si="37">D104&amp;"(含)"&amp;"-"&amp;E104</f>
        <v>10000(含)-20000</v>
      </c>
      <c r="E103" s="509" t="str">
        <f t="shared" si="37"/>
        <v>20000(含)-30000</v>
      </c>
      <c r="F103" s="509" t="str">
        <f t="shared" si="37"/>
        <v>30000(含)-40000</v>
      </c>
      <c r="G103" s="509" t="str">
        <f t="shared" si="37"/>
        <v>40000(含)-50000</v>
      </c>
      <c r="H103" s="509" t="str">
        <f t="shared" si="37"/>
        <v>50000(含)-60000</v>
      </c>
      <c r="I103" s="509" t="str">
        <f t="shared" si="37"/>
        <v>60000(含)-70000</v>
      </c>
      <c r="J103" s="509" t="str">
        <f t="shared" si="37"/>
        <v>70000(含)-</v>
      </c>
      <c r="K103" s="509" t="str">
        <f t="shared" si="37"/>
        <v>(含)-</v>
      </c>
      <c r="L103" s="509" t="str">
        <f t="shared" si="37"/>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4.4" thickBot="1">
      <c r="A105" s="484"/>
      <c r="B105" s="474"/>
      <c r="C105" s="491">
        <v>100</v>
      </c>
      <c r="D105" s="467">
        <f>C105-1</f>
        <v>99</v>
      </c>
      <c r="E105" s="467">
        <f t="shared" ref="E105:H105" si="38">D105-1</f>
        <v>98</v>
      </c>
      <c r="F105" s="467">
        <f t="shared" si="38"/>
        <v>97</v>
      </c>
      <c r="G105" s="467">
        <f t="shared" si="38"/>
        <v>96</v>
      </c>
      <c r="H105" s="467">
        <f t="shared" si="38"/>
        <v>95</v>
      </c>
      <c r="I105" s="467">
        <f t="shared" ref="I105" si="39">H105-1</f>
        <v>94</v>
      </c>
      <c r="J105" s="467">
        <f t="shared" ref="J105" si="40">I105-1</f>
        <v>93</v>
      </c>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1738</v>
      </c>
      <c r="C106" s="3177" t="s">
        <v>3569</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4.4" thickBot="1">
      <c r="A107" s="367"/>
      <c r="B107" s="474"/>
      <c r="C107" s="475">
        <v>100</v>
      </c>
      <c r="D107" s="475">
        <f t="shared" ref="D107:M107" si="41">C107-$K35</f>
        <v>98</v>
      </c>
      <c r="E107" s="475">
        <f t="shared" si="41"/>
        <v>96</v>
      </c>
      <c r="F107" s="475">
        <f t="shared" si="41"/>
        <v>94</v>
      </c>
      <c r="G107" s="475">
        <f t="shared" si="41"/>
        <v>92</v>
      </c>
      <c r="H107" s="475">
        <f t="shared" si="41"/>
        <v>90</v>
      </c>
      <c r="I107" s="475">
        <f t="shared" si="41"/>
        <v>88</v>
      </c>
      <c r="J107" s="475">
        <f t="shared" si="41"/>
        <v>86</v>
      </c>
      <c r="K107" s="475">
        <f t="shared" si="41"/>
        <v>84</v>
      </c>
      <c r="L107" s="475">
        <f t="shared" si="41"/>
        <v>82</v>
      </c>
      <c r="M107" s="476">
        <f t="shared" si="41"/>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1740</v>
      </c>
      <c r="C108" s="3177" t="s">
        <v>3570</v>
      </c>
      <c r="D108" s="3177" t="s">
        <v>3572</v>
      </c>
      <c r="E108" s="3177" t="s">
        <v>3573</v>
      </c>
      <c r="F108" s="3179" t="s">
        <v>3575</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4.4" thickBot="1">
      <c r="A109" s="367"/>
      <c r="B109" s="474"/>
      <c r="C109" s="475">
        <v>100</v>
      </c>
      <c r="D109" s="475">
        <f t="shared" ref="D109:M109" si="42">C109-$K36</f>
        <v>100</v>
      </c>
      <c r="E109" s="475">
        <f t="shared" si="42"/>
        <v>100</v>
      </c>
      <c r="F109" s="475">
        <f t="shared" si="42"/>
        <v>100</v>
      </c>
      <c r="G109" s="475">
        <f t="shared" si="42"/>
        <v>100</v>
      </c>
      <c r="H109" s="475">
        <f t="shared" si="42"/>
        <v>100</v>
      </c>
      <c r="I109" s="475">
        <f t="shared" si="42"/>
        <v>100</v>
      </c>
      <c r="J109" s="475">
        <f t="shared" si="42"/>
        <v>100</v>
      </c>
      <c r="K109" s="475">
        <f t="shared" si="42"/>
        <v>100</v>
      </c>
      <c r="L109" s="475">
        <f t="shared" si="42"/>
        <v>100</v>
      </c>
      <c r="M109" s="476">
        <f t="shared" si="42"/>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4.4" thickBot="1">
      <c r="A112" s="367"/>
      <c r="B112" s="474"/>
      <c r="C112" s="512">
        <v>100</v>
      </c>
      <c r="D112" s="475">
        <f>C112+$K37</f>
        <v>102</v>
      </c>
      <c r="E112" s="475">
        <f t="shared" ref="E112:M112" si="43">D112+$K37</f>
        <v>104</v>
      </c>
      <c r="F112" s="475">
        <f t="shared" si="43"/>
        <v>106</v>
      </c>
      <c r="G112" s="475">
        <f t="shared" si="43"/>
        <v>108</v>
      </c>
      <c r="H112" s="475">
        <f t="shared" si="43"/>
        <v>110</v>
      </c>
      <c r="I112" s="475">
        <f t="shared" si="43"/>
        <v>112</v>
      </c>
      <c r="J112" s="475">
        <f t="shared" si="43"/>
        <v>114</v>
      </c>
      <c r="K112" s="475">
        <f t="shared" si="43"/>
        <v>116</v>
      </c>
      <c r="L112" s="475">
        <f t="shared" si="43"/>
        <v>118</v>
      </c>
      <c r="M112" s="475">
        <f t="shared" si="43"/>
        <v>120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1824</v>
      </c>
      <c r="C113" s="3177" t="s">
        <v>3679</v>
      </c>
      <c r="D113" s="3177" t="s">
        <v>3674</v>
      </c>
      <c r="E113" s="3177" t="s">
        <v>3675</v>
      </c>
      <c r="F113" s="3177" t="s">
        <v>3676</v>
      </c>
      <c r="G113" s="3177" t="s">
        <v>3677</v>
      </c>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4.4" thickBot="1">
      <c r="A114" s="484"/>
      <c r="B114" s="474"/>
      <c r="C114" s="475">
        <v>100</v>
      </c>
      <c r="D114" s="475">
        <f>C114-$K38</f>
        <v>98</v>
      </c>
      <c r="E114" s="475">
        <f t="shared" ref="E114:M114" si="44">D114-$K38</f>
        <v>96</v>
      </c>
      <c r="F114" s="475">
        <f t="shared" si="44"/>
        <v>94</v>
      </c>
      <c r="G114" s="475">
        <f t="shared" si="44"/>
        <v>92</v>
      </c>
      <c r="H114" s="475">
        <f t="shared" si="44"/>
        <v>90</v>
      </c>
      <c r="I114" s="475">
        <f t="shared" si="44"/>
        <v>88</v>
      </c>
      <c r="J114" s="475">
        <f t="shared" si="44"/>
        <v>86</v>
      </c>
      <c r="K114" s="475">
        <f t="shared" si="44"/>
        <v>84</v>
      </c>
      <c r="L114" s="475">
        <f t="shared" si="44"/>
        <v>82</v>
      </c>
      <c r="M114" s="475">
        <f t="shared" si="44"/>
        <v>80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1741</v>
      </c>
      <c r="C115" s="3177" t="s">
        <v>3577</v>
      </c>
      <c r="D115" s="3177" t="s">
        <v>3578</v>
      </c>
      <c r="E115" s="3179" t="s">
        <v>3579</v>
      </c>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4.4" thickBot="1">
      <c r="A116" s="367"/>
      <c r="B116" s="474"/>
      <c r="C116" s="475">
        <v>100</v>
      </c>
      <c r="D116" s="475">
        <f t="shared" ref="D116:M116" si="45">C116-$K39</f>
        <v>98</v>
      </c>
      <c r="E116" s="475">
        <f t="shared" si="45"/>
        <v>96</v>
      </c>
      <c r="F116" s="475">
        <f t="shared" si="45"/>
        <v>94</v>
      </c>
      <c r="G116" s="475">
        <f t="shared" si="45"/>
        <v>92</v>
      </c>
      <c r="H116" s="475">
        <f t="shared" si="45"/>
        <v>90</v>
      </c>
      <c r="I116" s="475">
        <f t="shared" si="45"/>
        <v>88</v>
      </c>
      <c r="J116" s="475">
        <f t="shared" si="45"/>
        <v>86</v>
      </c>
      <c r="K116" s="475">
        <f t="shared" si="45"/>
        <v>84</v>
      </c>
      <c r="L116" s="475">
        <f t="shared" si="45"/>
        <v>82</v>
      </c>
      <c r="M116" s="476">
        <f t="shared" si="45"/>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1742</v>
      </c>
      <c r="C117" s="3177" t="s">
        <v>3580</v>
      </c>
      <c r="D117" s="3177" t="s">
        <v>3581</v>
      </c>
      <c r="E117" s="3177" t="s">
        <v>3582</v>
      </c>
      <c r="F117" s="485"/>
      <c r="G117" s="485"/>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1825</v>
      </c>
      <c r="C119" s="3179" t="s">
        <v>3583</v>
      </c>
      <c r="D119" s="513"/>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4.4" thickBot="1">
      <c r="A120" s="367"/>
      <c r="B120" s="474"/>
      <c r="C120" s="512">
        <v>100</v>
      </c>
      <c r="D120" s="475">
        <f>C120-$K41</f>
        <v>100</v>
      </c>
      <c r="E120" s="475">
        <f t="shared" ref="E120:M120" si="46">D120-$K41</f>
        <v>100</v>
      </c>
      <c r="F120" s="475">
        <f t="shared" si="46"/>
        <v>100</v>
      </c>
      <c r="G120" s="475">
        <f t="shared" si="46"/>
        <v>100</v>
      </c>
      <c r="H120" s="475">
        <f t="shared" si="46"/>
        <v>100</v>
      </c>
      <c r="I120" s="475">
        <f t="shared" si="46"/>
        <v>100</v>
      </c>
      <c r="J120" s="475">
        <f t="shared" si="46"/>
        <v>100</v>
      </c>
      <c r="K120" s="475">
        <f t="shared" si="46"/>
        <v>100</v>
      </c>
      <c r="L120" s="475">
        <f t="shared" si="46"/>
        <v>100</v>
      </c>
      <c r="M120" s="475">
        <f t="shared" si="46"/>
        <v>100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1808</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4.4"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1744</v>
      </c>
      <c r="C123" s="3177" t="s">
        <v>3570</v>
      </c>
      <c r="D123" s="3177" t="s">
        <v>3572</v>
      </c>
      <c r="E123" s="3177" t="s">
        <v>3573</v>
      </c>
      <c r="F123" s="3179" t="s">
        <v>3575</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4.4" thickBot="1">
      <c r="A124" s="367"/>
      <c r="B124" s="474"/>
      <c r="C124" s="475">
        <v>100</v>
      </c>
      <c r="D124" s="475">
        <f t="shared" ref="D124:M124" si="47">C124-$K43</f>
        <v>98.5</v>
      </c>
      <c r="E124" s="475">
        <f t="shared" si="47"/>
        <v>97</v>
      </c>
      <c r="F124" s="475">
        <f t="shared" si="47"/>
        <v>95.5</v>
      </c>
      <c r="G124" s="475">
        <f t="shared" si="47"/>
        <v>94</v>
      </c>
      <c r="H124" s="475">
        <f t="shared" si="47"/>
        <v>92.5</v>
      </c>
      <c r="I124" s="475">
        <f t="shared" si="47"/>
        <v>91</v>
      </c>
      <c r="J124" s="475">
        <f t="shared" si="47"/>
        <v>89.5</v>
      </c>
      <c r="K124" s="475">
        <f t="shared" si="47"/>
        <v>88</v>
      </c>
      <c r="L124" s="475">
        <f t="shared" si="47"/>
        <v>86.5</v>
      </c>
      <c r="M124" s="476">
        <f t="shared" si="47"/>
        <v>85</v>
      </c>
      <c r="N124" s="2514"/>
      <c r="O124" s="2514"/>
      <c r="P124" s="2522"/>
      <c r="Q124" s="2500"/>
      <c r="R124" s="2479"/>
      <c r="S124" s="2479"/>
      <c r="T124" s="2479"/>
      <c r="U124" s="2479"/>
      <c r="V124" s="2479"/>
      <c r="W124" s="2479"/>
      <c r="X124" s="2479"/>
      <c r="Y124" s="2479"/>
      <c r="Z124" s="2479"/>
      <c r="AA124" s="2479"/>
      <c r="AB124" s="2479"/>
      <c r="AC124" s="2479"/>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28.8" thickTop="1">
      <c r="A127" s="406"/>
      <c r="B127" s="469" t="str">
        <f>B45</f>
        <v>地下面积占比</v>
      </c>
      <c r="C127" s="485" t="s">
        <v>3662</v>
      </c>
      <c r="D127" s="485" t="s">
        <v>3663</v>
      </c>
      <c r="E127" s="485" t="s">
        <v>3664</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4.4" thickBot="1">
      <c r="A128" s="484"/>
      <c r="B128" s="474"/>
      <c r="C128" s="467">
        <v>112</v>
      </c>
      <c r="D128" s="467">
        <v>106</v>
      </c>
      <c r="E128" s="467">
        <v>100</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4.4"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4.4"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4.4"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4.4"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1" t="s">
        <v>1658</v>
      </c>
      <c r="B1" s="1722"/>
      <c r="C1" s="1722"/>
      <c r="D1" s="1722"/>
      <c r="E1" s="1723"/>
      <c r="F1" s="2471"/>
      <c r="G1" s="459"/>
      <c r="H1" s="459"/>
      <c r="I1" s="459"/>
      <c r="J1" s="459"/>
      <c r="K1" s="459"/>
      <c r="L1" s="459"/>
      <c r="M1" s="459"/>
      <c r="N1" s="459"/>
      <c r="O1" s="459"/>
      <c r="P1" s="459"/>
      <c r="Q1" s="459"/>
      <c r="R1" s="459"/>
      <c r="S1" s="459"/>
    </row>
    <row r="2" spans="1:22" ht="15.6">
      <c r="A2" s="1724" t="s">
        <v>1462</v>
      </c>
      <c r="B2" s="808">
        <f ca="1">SUMIF(B6:B13,"&lt;&gt;#ref!",B6:B13)</f>
        <v>244183</v>
      </c>
      <c r="C2" s="1725" t="s">
        <v>1651</v>
      </c>
      <c r="D2" s="1726" t="s">
        <v>1652</v>
      </c>
      <c r="E2" s="2386">
        <f>SUM(E6:E13)</f>
        <v>51206.530000000013</v>
      </c>
      <c r="F2" s="2471"/>
      <c r="G2" s="459"/>
      <c r="H2" s="459"/>
      <c r="I2" s="459"/>
      <c r="J2" s="459"/>
      <c r="K2" s="459"/>
      <c r="L2" s="459"/>
      <c r="M2" s="459"/>
      <c r="N2" s="459"/>
      <c r="O2" s="459"/>
      <c r="P2" s="459"/>
      <c r="Q2" s="459"/>
      <c r="R2" s="459"/>
      <c r="S2" s="459"/>
    </row>
    <row r="3" spans="1:22" ht="15.6">
      <c r="A3" s="1724" t="s">
        <v>686</v>
      </c>
      <c r="B3" s="2380">
        <f ca="1">ROUND(B2*10000/E2,0)</f>
        <v>47686</v>
      </c>
      <c r="C3" s="1725" t="s">
        <v>1659</v>
      </c>
      <c r="D3" s="2471"/>
      <c r="E3" s="2474"/>
      <c r="F3" s="2471"/>
      <c r="G3" s="459"/>
      <c r="H3" s="459"/>
      <c r="I3" s="459"/>
      <c r="J3" s="459"/>
      <c r="K3" s="459"/>
      <c r="L3" s="459"/>
      <c r="M3" s="459"/>
      <c r="N3" s="459"/>
      <c r="O3" s="459"/>
      <c r="P3" s="459"/>
      <c r="Q3" s="459"/>
      <c r="R3" s="459"/>
      <c r="S3" s="459"/>
    </row>
    <row r="4" spans="1:22" ht="15.6">
      <c r="A4" s="2475"/>
      <c r="B4" s="2471"/>
      <c r="C4" s="2471"/>
      <c r="D4" s="2471"/>
      <c r="E4" s="2474"/>
      <c r="F4" s="2471"/>
      <c r="G4" s="459"/>
      <c r="H4" s="459"/>
      <c r="I4" s="459"/>
      <c r="J4" s="459"/>
      <c r="K4" s="459"/>
      <c r="L4" s="459"/>
      <c r="M4" s="459"/>
      <c r="N4" s="459"/>
      <c r="O4" s="459"/>
      <c r="P4" s="459"/>
      <c r="Q4" s="459"/>
      <c r="R4" s="459"/>
      <c r="S4" s="459"/>
    </row>
    <row r="5" spans="1:22" ht="14.4">
      <c r="A5" s="2382" t="s">
        <v>1653</v>
      </c>
      <c r="B5" s="3541" t="s">
        <v>1654</v>
      </c>
      <c r="C5" s="3542"/>
      <c r="D5" s="2472"/>
      <c r="E5" s="1727" t="s">
        <v>1655</v>
      </c>
      <c r="F5" s="129" t="s">
        <v>1656</v>
      </c>
      <c r="G5" s="459"/>
      <c r="H5" s="459"/>
      <c r="I5" s="459"/>
      <c r="J5" s="459"/>
      <c r="K5" s="459"/>
      <c r="L5" s="459"/>
      <c r="M5" s="459"/>
      <c r="N5" s="459"/>
      <c r="O5" s="459"/>
      <c r="P5" s="459"/>
      <c r="Q5" s="459"/>
      <c r="R5" s="459"/>
      <c r="S5" s="459"/>
    </row>
    <row r="6" spans="1:22" ht="14.4">
      <c r="A6" s="2383" t="str">
        <f>'数据-取费表'!AN6</f>
        <v>收益法（地上1-3层商业）</v>
      </c>
      <c r="B6" s="2381">
        <f ca="1">IF(F6="是",'数据-取费表'!AO6,0)</f>
        <v>23866</v>
      </c>
      <c r="C6" s="1725" t="s">
        <v>1651</v>
      </c>
      <c r="D6" s="2471"/>
      <c r="E6" s="2385">
        <f>IF(OR(A6=0,F6="否"),0,'数据-取费表'!K6+'数据-取费表'!S6)</f>
        <v>7415.4800000000005</v>
      </c>
      <c r="F6" s="1728" t="s">
        <v>1657</v>
      </c>
      <c r="G6" s="459"/>
      <c r="H6" s="459"/>
      <c r="I6" s="459"/>
      <c r="J6" s="459"/>
      <c r="K6" s="459"/>
      <c r="L6" s="459"/>
      <c r="M6" s="459"/>
      <c r="N6" s="459"/>
      <c r="O6" s="459"/>
      <c r="P6" s="459"/>
      <c r="Q6" s="459"/>
      <c r="R6" s="459"/>
      <c r="S6" s="459"/>
    </row>
    <row r="7" spans="1:22" ht="14.4">
      <c r="A7" s="2383" t="str">
        <f>'数据-取费表'!AN7</f>
        <v>收益法 （地下商业）</v>
      </c>
      <c r="B7" s="2381">
        <f ca="1">IF(F7="是",'数据-取费表'!AO7,0)</f>
        <v>3298</v>
      </c>
      <c r="C7" s="1725" t="s">
        <v>1651</v>
      </c>
      <c r="D7" s="2471"/>
      <c r="E7" s="2385">
        <f>IF(OR(A7=0,F7="否"),0,'数据-取费表'!K7+'数据-取费表'!S7)</f>
        <v>1861.38</v>
      </c>
      <c r="F7" s="1728" t="s">
        <v>1657</v>
      </c>
      <c r="G7" s="459"/>
      <c r="H7" s="459"/>
      <c r="I7" s="459"/>
      <c r="J7" s="459"/>
      <c r="K7" s="459"/>
      <c r="L7" s="459"/>
      <c r="M7" s="459"/>
      <c r="N7" s="459"/>
      <c r="O7" s="459"/>
      <c r="P7" s="459"/>
      <c r="Q7" s="459"/>
      <c r="R7" s="459"/>
      <c r="S7" s="459"/>
    </row>
    <row r="8" spans="1:22" ht="14.4">
      <c r="A8" s="2383" t="str">
        <f>'数据-取费表'!AN8</f>
        <v>收益法（地上办公）</v>
      </c>
      <c r="B8" s="2381">
        <f ca="1">IF(F8="是",'数据-取费表'!AO8,0)</f>
        <v>214477</v>
      </c>
      <c r="C8" s="1725" t="s">
        <v>1651</v>
      </c>
      <c r="D8" s="2471"/>
      <c r="E8" s="2385">
        <f>IF(OR(A8=0,F8="否"),0,'数据-取费表'!K8+'数据-取费表'!S8)</f>
        <v>34039.19000000001</v>
      </c>
      <c r="F8" s="1728" t="s">
        <v>1657</v>
      </c>
      <c r="G8" s="459"/>
      <c r="H8" s="459"/>
      <c r="I8" s="459"/>
      <c r="J8" s="459"/>
      <c r="K8" s="459"/>
      <c r="L8" s="459"/>
      <c r="M8" s="459"/>
      <c r="N8" s="459"/>
      <c r="O8" s="459"/>
      <c r="P8" s="459"/>
      <c r="Q8" s="459"/>
      <c r="R8" s="459"/>
      <c r="S8" s="459"/>
    </row>
    <row r="9" spans="1:22" ht="14.4">
      <c r="A9" s="2383" t="str">
        <f>'数据-取费表'!AN9</f>
        <v>收益法 （地下车位）</v>
      </c>
      <c r="B9" s="2381">
        <f ca="1">IF(F9="是",'数据-取费表'!AO9,0)</f>
        <v>2542</v>
      </c>
      <c r="C9" s="1725" t="s">
        <v>1651</v>
      </c>
      <c r="D9" s="2471"/>
      <c r="E9" s="2385">
        <f>IF(OR(A9=0,F9="否"),0,'数据-取费表'!K9+'数据-取费表'!S9)</f>
        <v>7890.48</v>
      </c>
      <c r="F9" s="1728"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5" t="s">
        <v>1651</v>
      </c>
      <c r="D10" s="2471"/>
      <c r="E10" s="2385">
        <f>IF(OR(A10=0,F10="否"),0,'数据-取费表'!K10+'数据-取费表'!S10)</f>
        <v>0</v>
      </c>
      <c r="F10" s="1728"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5" t="s">
        <v>1651</v>
      </c>
      <c r="D11" s="2471"/>
      <c r="E11" s="2385">
        <f>IF(OR(A11=0,F11="否"),0,'数据-取费表'!K11+'数据-取费表'!S11)</f>
        <v>0</v>
      </c>
      <c r="F11" s="1728"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5" t="s">
        <v>1651</v>
      </c>
      <c r="D12" s="2471"/>
      <c r="E12" s="2385">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1651</v>
      </c>
      <c r="D13" s="2473"/>
      <c r="E13" s="2385">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25" zoomScale="70" zoomScaleNormal="70" zoomScaleSheetLayoutView="70" workbookViewId="0">
      <selection activeCell="C5" sqref="C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3521</v>
      </c>
      <c r="D1" s="1267" t="s">
        <v>43</v>
      </c>
      <c r="E1" s="1268" t="s">
        <v>678</v>
      </c>
      <c r="F1" s="996">
        <f ca="1">J53</f>
        <v>18.98</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23866</v>
      </c>
      <c r="C2" s="1285" t="s">
        <v>805</v>
      </c>
      <c r="D2" s="1285"/>
      <c r="E2" s="1291"/>
      <c r="F2" s="1292"/>
      <c r="G2" s="2470"/>
      <c r="H2" s="2460"/>
      <c r="I2" s="2460"/>
      <c r="J2" s="2460"/>
      <c r="K2" s="2461"/>
      <c r="L2" s="2460"/>
      <c r="M2" s="2460"/>
    </row>
    <row r="3" spans="1:37" ht="18" customHeight="1" thickBot="1">
      <c r="A3" s="1293" t="s">
        <v>806</v>
      </c>
      <c r="B3" s="1294">
        <f ca="1">IF(ISERROR(B2*10000/F43),0,ROUND(B2*10000/F43,0))</f>
        <v>32445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1847</v>
      </c>
      <c r="D5" s="1269" t="s">
        <v>693</v>
      </c>
      <c r="E5" s="1005"/>
      <c r="F5" s="1006"/>
      <c r="G5" s="1288"/>
      <c r="H5" s="291">
        <v>1</v>
      </c>
      <c r="I5" s="292" t="s">
        <v>692</v>
      </c>
      <c r="J5" s="1004">
        <f ca="1">J6+J10+J12</f>
        <v>2416</v>
      </c>
      <c r="K5" s="1269" t="s">
        <v>693</v>
      </c>
      <c r="L5" s="1005"/>
      <c r="M5" s="1006"/>
    </row>
    <row r="6" spans="1:37" ht="18" customHeight="1">
      <c r="A6" s="1003" t="s">
        <v>398</v>
      </c>
      <c r="B6" s="3545" t="s">
        <v>694</v>
      </c>
      <c r="C6" s="1008">
        <f ca="1">ROUND(F6*F8*F7*(1-F9)/10000,0)</f>
        <v>1845</v>
      </c>
      <c r="D6" s="147" t="s">
        <v>2109</v>
      </c>
      <c r="E6" s="294" t="s">
        <v>696</v>
      </c>
      <c r="F6" s="295">
        <f ca="1">INDIRECT("'数据-取费表'!u"&amp;$G$1)</f>
        <v>6.87</v>
      </c>
      <c r="G6" s="1288"/>
      <c r="H6" s="1003" t="s">
        <v>398</v>
      </c>
      <c r="I6" s="3545" t="s">
        <v>694</v>
      </c>
      <c r="J6" s="293">
        <f ca="1">ROUND(M6*M8*M7*(1-M9)/10000,0)</f>
        <v>2416</v>
      </c>
      <c r="K6" s="147" t="s">
        <v>2108</v>
      </c>
      <c r="L6" s="294" t="s">
        <v>696</v>
      </c>
      <c r="M6" s="295">
        <f ca="1">INDIRECT("'数据-取费表'!z"&amp;$G$1)</f>
        <v>10</v>
      </c>
    </row>
    <row r="7" spans="1:37" ht="18" customHeight="1">
      <c r="A7" s="1007"/>
      <c r="B7" s="3546"/>
      <c r="C7" s="1009"/>
      <c r="D7" s="299"/>
      <c r="E7" s="1010" t="s">
        <v>697</v>
      </c>
      <c r="F7" s="295">
        <f ca="1">IF(INDIRECT("'数据-取费表'!ah"&amp;$G$1)="",INDIRECT("'数据-取费表'!k"&amp;$G$1),INDIRECT("'数据-取费表'!ah"&amp;$G$1))</f>
        <v>7355.85</v>
      </c>
      <c r="G7" s="1288"/>
      <c r="H7" s="296"/>
      <c r="I7" s="3546"/>
      <c r="J7" s="298"/>
      <c r="K7" s="299"/>
      <c r="L7" s="294" t="s">
        <v>697</v>
      </c>
      <c r="M7" s="295">
        <f ca="1">F7</f>
        <v>7355.85</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0.1</v>
      </c>
    </row>
    <row r="10" spans="1:37" ht="18" customHeight="1">
      <c r="A10" s="1003" t="s">
        <v>402</v>
      </c>
      <c r="B10" s="1270" t="s">
        <v>700</v>
      </c>
      <c r="C10" s="308">
        <f ca="1">ROUND(IF(F10="押一",C6/12*F11,IF(F10="押二",C6/12*2*F11,IF(F10="押三",C6/12*3*F11,C11*F11))),0)</f>
        <v>2</v>
      </c>
      <c r="D10" s="150" t="s">
        <v>2117</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5566</v>
      </c>
      <c r="D13" s="1015" t="s">
        <v>705</v>
      </c>
      <c r="E13" s="1015" t="s">
        <v>706</v>
      </c>
      <c r="F13" s="1016">
        <f ca="1">INDIRECT("'数据-取费表'!y"&amp;$G$1)</f>
        <v>0.8</v>
      </c>
      <c r="G13" s="1288"/>
      <c r="H13" s="1013">
        <v>2</v>
      </c>
      <c r="I13" s="1014" t="s">
        <v>704</v>
      </c>
      <c r="J13" s="1002">
        <f ca="1">ROUND(J14*J15,0)</f>
        <v>5497</v>
      </c>
      <c r="K13" s="1021" t="s">
        <v>705</v>
      </c>
      <c r="L13" s="1295"/>
      <c r="M13" s="1296"/>
    </row>
    <row r="14" spans="1:37" ht="18" customHeight="1">
      <c r="A14" s="925" t="s">
        <v>397</v>
      </c>
      <c r="B14" s="294" t="s">
        <v>707</v>
      </c>
      <c r="C14" s="310">
        <f ca="1">INDIRECT("'数据-取费表'!m"&amp;$G$1)+INDIRECT("'数据-取费表'!t"&amp;$G$1)</f>
        <v>4450</v>
      </c>
      <c r="D14" s="1253" t="s">
        <v>708</v>
      </c>
      <c r="E14" s="1251"/>
      <c r="F14" s="311"/>
      <c r="G14" s="1288"/>
      <c r="H14" s="925" t="s">
        <v>398</v>
      </c>
      <c r="I14" s="294" t="s">
        <v>709</v>
      </c>
      <c r="J14" s="21">
        <f ca="1">C29</f>
        <v>6958</v>
      </c>
      <c r="K14" s="12"/>
      <c r="L14" s="756"/>
      <c r="M14" s="757"/>
    </row>
    <row r="15" spans="1:37" s="1300" customFormat="1" ht="18" customHeight="1" thickBot="1">
      <c r="A15" s="925" t="s">
        <v>399</v>
      </c>
      <c r="B15" s="294" t="s">
        <v>710</v>
      </c>
      <c r="C15" s="21">
        <f ca="1">ROUND(C14*F15,0)</f>
        <v>356</v>
      </c>
      <c r="D15" s="312" t="s">
        <v>711</v>
      </c>
      <c r="E15" s="312" t="s">
        <v>712</v>
      </c>
      <c r="F15" s="313">
        <f>'数据-取费表'!B33</f>
        <v>0.08</v>
      </c>
      <c r="G15" s="1299"/>
      <c r="H15" s="1023" t="s">
        <v>402</v>
      </c>
      <c r="I15" s="1024" t="s">
        <v>706</v>
      </c>
      <c r="J15" s="1033">
        <f ca="1">INDIRECT("'数据-取费表'!ad"&amp;$G$1)</f>
        <v>0.79</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470</v>
      </c>
      <c r="K16" s="1021" t="s">
        <v>715</v>
      </c>
      <c r="L16" s="1022"/>
      <c r="M16" s="1006"/>
    </row>
    <row r="17" spans="1:37" s="1300" customFormat="1" ht="18" customHeight="1">
      <c r="A17" s="925" t="s">
        <v>681</v>
      </c>
      <c r="B17" s="294" t="s">
        <v>716</v>
      </c>
      <c r="C17" s="21">
        <f ca="1">ROUND(F17*(F43+INDIRECT("'数据-取费表'!S"&amp;$G$1))/10000,0)</f>
        <v>148</v>
      </c>
      <c r="D17" s="294" t="s">
        <v>717</v>
      </c>
      <c r="E17" s="294" t="s">
        <v>718</v>
      </c>
      <c r="F17" s="23">
        <f>'数据-取费表'!B35</f>
        <v>200</v>
      </c>
      <c r="G17" s="1299"/>
      <c r="H17" s="925" t="s">
        <v>398</v>
      </c>
      <c r="I17" s="294" t="s">
        <v>719</v>
      </c>
      <c r="J17" s="2136">
        <f ca="1">ROUND(IF(AND(项目基本情况!B11="自然人",项目基本情况!B10="北京市"),J6*M17/(1+'数据-取费表'!C42),J18+J19+J20),2)</f>
        <v>407.08</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89</v>
      </c>
      <c r="D18" s="294" t="s">
        <v>711</v>
      </c>
      <c r="E18" s="294" t="s">
        <v>712</v>
      </c>
      <c r="F18" s="314">
        <f>'数据-取费表'!B36</f>
        <v>0.02</v>
      </c>
      <c r="G18" s="1299"/>
      <c r="H18" s="925" t="s">
        <v>397</v>
      </c>
      <c r="I18" s="294" t="s">
        <v>723</v>
      </c>
      <c r="J18" s="21">
        <f ca="1">ROUND(J6*M18/(1+'数据-取费表'!C42),2)</f>
        <v>128.85</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5043</v>
      </c>
      <c r="D19" s="123" t="s">
        <v>726</v>
      </c>
      <c r="E19" s="1265"/>
      <c r="F19" s="23"/>
      <c r="G19" s="1288"/>
      <c r="H19" s="925" t="s">
        <v>399</v>
      </c>
      <c r="I19" s="294" t="s">
        <v>727</v>
      </c>
      <c r="J19" s="21">
        <f ca="1">IF(K19="按租金收入计税",ROUND(J6*M19/(1+'数据-取费表'!C42),2),ROUND(C29*M19*0.7,2))</f>
        <v>276.11</v>
      </c>
      <c r="K19" s="1274" t="s">
        <v>3334</v>
      </c>
      <c r="L19" s="294" t="s">
        <v>712</v>
      </c>
      <c r="M19" s="314">
        <f>IF(K19="按租金收入计税",'数据-取费表'!B51,'数据-取费表'!B50)</f>
        <v>0.12</v>
      </c>
    </row>
    <row r="20" spans="1:37" s="1300" customFormat="1" ht="18" customHeight="1">
      <c r="A20" s="925" t="s">
        <v>402</v>
      </c>
      <c r="B20" s="294" t="s">
        <v>728</v>
      </c>
      <c r="C20" s="21">
        <f ca="1">ROUND(C19*F20,0)</f>
        <v>101</v>
      </c>
      <c r="D20" s="315" t="s">
        <v>729</v>
      </c>
      <c r="E20" s="294" t="s">
        <v>712</v>
      </c>
      <c r="F20" s="314">
        <f>'数据-取费表'!B37</f>
        <v>0.02</v>
      </c>
      <c r="G20" s="1299"/>
      <c r="H20" s="925" t="s">
        <v>680</v>
      </c>
      <c r="I20" s="147" t="s">
        <v>730</v>
      </c>
      <c r="J20" s="22">
        <f ca="1">ROUND(M20*M21/10000,2)</f>
        <v>2.12</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881.71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20.87</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241</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5.5</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36.24</v>
      </c>
      <c r="K24" s="1026" t="s">
        <v>748</v>
      </c>
      <c r="L24" s="1024" t="s">
        <v>744</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1946</v>
      </c>
      <c r="K25" s="1029" t="s">
        <v>753</v>
      </c>
      <c r="L25" s="1030"/>
      <c r="M25" s="1031"/>
    </row>
    <row r="26" spans="1:37">
      <c r="A26" s="925" t="s">
        <v>397</v>
      </c>
      <c r="B26" s="294" t="s">
        <v>754</v>
      </c>
      <c r="C26" s="21">
        <f ca="1">ROUND((C19+C20)*F26,0)</f>
        <v>1029</v>
      </c>
      <c r="D26" s="315" t="s">
        <v>755</v>
      </c>
      <c r="E26" s="305" t="s">
        <v>756</v>
      </c>
      <c r="F26" s="304">
        <f ca="1">INDIRECT("'数据-取费表'!q"&amp;$G$1)</f>
        <v>0.2</v>
      </c>
      <c r="G26" s="1288"/>
      <c r="H26" s="291" t="s">
        <v>395</v>
      </c>
      <c r="I26" s="292" t="s">
        <v>757</v>
      </c>
      <c r="J26" s="293">
        <f ca="1">IF(J5&lt;&gt;0,ROUND(J25*(1-((1+M28)/(1+M26))^M27)/(M26-M28),0),0)</f>
        <v>22318</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15.21</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0.02</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6958</v>
      </c>
      <c r="D29" s="1026"/>
      <c r="E29" s="1024"/>
      <c r="F29" s="1027"/>
      <c r="G29" s="1299"/>
      <c r="H29" s="325" t="s">
        <v>396</v>
      </c>
      <c r="I29" s="326" t="s">
        <v>768</v>
      </c>
      <c r="J29" s="327">
        <f ca="1">ROUND(J26/(1+F40)^F41,0)</f>
        <v>18239</v>
      </c>
      <c r="K29" s="328" t="s">
        <v>769</v>
      </c>
      <c r="L29" s="329"/>
      <c r="M29" s="330">
        <f ca="1">INDIRECT("'数据-取费表'!k"&amp;$G$1)</f>
        <v>7355.85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366</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311.38</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98.4</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210.86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2.12</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881.71</v>
      </c>
      <c r="G35" s="1288"/>
      <c r="H35" s="2462"/>
      <c r="I35" s="1301"/>
      <c r="J35" s="1302"/>
      <c r="K35" s="2466"/>
      <c r="L35" s="2465"/>
      <c r="M35" s="2465"/>
    </row>
    <row r="36" spans="1:18" ht="18" customHeight="1">
      <c r="A36" s="1036" t="s">
        <v>402</v>
      </c>
      <c r="B36" s="294" t="s">
        <v>738</v>
      </c>
      <c r="C36" s="21">
        <f ca="1">ROUND(C29*F36,2)</f>
        <v>20.87</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5.57</v>
      </c>
      <c r="D37" s="1252" t="s">
        <v>743</v>
      </c>
      <c r="E37" s="294" t="s">
        <v>744</v>
      </c>
      <c r="F37" s="321">
        <f ca="1">INDIRECT("'数据-取费表'!Al"&amp;$G$1)</f>
        <v>1E-3</v>
      </c>
      <c r="G37" s="1288"/>
      <c r="H37" s="2465"/>
      <c r="I37" s="1301"/>
      <c r="J37" s="1302"/>
      <c r="K37" s="2324"/>
      <c r="L37" s="2465"/>
      <c r="M37" s="2465"/>
    </row>
    <row r="38" spans="1:18" ht="18" customHeight="1" thickBot="1">
      <c r="A38" s="1023" t="s">
        <v>684</v>
      </c>
      <c r="B38" s="1024" t="s">
        <v>728</v>
      </c>
      <c r="C38" s="1025">
        <f ca="1">ROUND(C5*F38,2)</f>
        <v>27.71</v>
      </c>
      <c r="D38" s="1026" t="s">
        <v>748</v>
      </c>
      <c r="E38" s="1024" t="s">
        <v>744</v>
      </c>
      <c r="F38" s="1020">
        <f ca="1">INDIRECT("'数据-取费表'!Am"&amp;$G$1)</f>
        <v>1.4999999999999999E-2</v>
      </c>
      <c r="G38" s="1288"/>
      <c r="H38" s="2465"/>
      <c r="I38" s="1301"/>
      <c r="J38" s="1302"/>
      <c r="K38" s="2463"/>
      <c r="L38" s="2465"/>
      <c r="M38" s="2465"/>
    </row>
    <row r="39" spans="1:18" ht="24.6" customHeight="1" thickTop="1">
      <c r="A39" s="1013" t="s">
        <v>394</v>
      </c>
      <c r="B39" s="1028" t="s">
        <v>772</v>
      </c>
      <c r="C39" s="302">
        <f ca="1">C5-C30</f>
        <v>1481</v>
      </c>
      <c r="D39" s="1029" t="s">
        <v>773</v>
      </c>
      <c r="E39" s="1030"/>
      <c r="F39" s="1031"/>
      <c r="G39" s="1288"/>
      <c r="H39" s="2465"/>
      <c r="I39" s="1301"/>
      <c r="J39" s="1302"/>
      <c r="K39" s="2463"/>
      <c r="L39" s="2465"/>
      <c r="M39" s="2465"/>
    </row>
    <row r="40" spans="1:18" ht="18" customHeight="1">
      <c r="A40" s="291" t="s">
        <v>395</v>
      </c>
      <c r="B40" s="292" t="s">
        <v>774</v>
      </c>
      <c r="C40" s="293">
        <f ca="1">ROUND(C39*(1-((1+F42)/(1+F40))^F41)/(F40-F42),0)</f>
        <v>4922</v>
      </c>
      <c r="D40" s="316" t="s">
        <v>758</v>
      </c>
      <c r="E40" s="294" t="s">
        <v>759</v>
      </c>
      <c r="F40" s="304">
        <f ca="1">INDIRECT("'数据-取费表'!I"&amp;$G$1)</f>
        <v>5.5E-2</v>
      </c>
      <c r="G40" s="1288"/>
      <c r="H40" s="1362">
        <f ca="1">C39/C5</f>
        <v>0.80184082295614512</v>
      </c>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3.77</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f ca="1">ROUND(C40*10000/F43,0)</f>
        <v>6691</v>
      </c>
      <c r="D43" s="328" t="s">
        <v>777</v>
      </c>
      <c r="E43" s="329" t="s">
        <v>778</v>
      </c>
      <c r="F43" s="330">
        <f ca="1">INDIRECT("'数据-取费表'!k"&amp;$G$1)</f>
        <v>7355.85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-5015</v>
      </c>
      <c r="D46" s="1309" t="str">
        <f>C2</f>
        <v>万元</v>
      </c>
      <c r="E46" s="1303"/>
      <c r="F46" s="1303"/>
      <c r="I46" s="1310" t="s">
        <v>810</v>
      </c>
      <c r="J46" s="1311"/>
      <c r="K46" s="1312"/>
      <c r="L46" s="1313">
        <f ca="1">IF(M47="住宅",0,IF(L48&gt;J51,L60,J60))</f>
        <v>705</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23161</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705</v>
      </c>
      <c r="R48" s="1323" t="s">
        <v>822</v>
      </c>
    </row>
    <row r="49" spans="1:18" s="1288" customFormat="1" ht="13.8" thickBot="1">
      <c r="A49" s="918" t="s">
        <v>439</v>
      </c>
      <c r="B49" s="1275" t="s">
        <v>779</v>
      </c>
      <c r="C49" s="1048">
        <f ca="1">ROUND(F49*F51*F50*(1-F52)/10000,0)</f>
        <v>0</v>
      </c>
      <c r="D49" s="989" t="s">
        <v>2110</v>
      </c>
      <c r="E49" s="1276" t="s">
        <v>780</v>
      </c>
      <c r="F49" s="994"/>
      <c r="H49" s="682"/>
      <c r="I49" s="1324" t="s">
        <v>823</v>
      </c>
      <c r="J49" s="1328">
        <f>'数据-取费表'!N18</f>
        <v>2007</v>
      </c>
      <c r="K49" s="1326" t="s">
        <v>824</v>
      </c>
      <c r="L49" s="1329"/>
      <c r="O49" s="1330" t="s">
        <v>405</v>
      </c>
      <c r="P49" s="1322" t="s">
        <v>825</v>
      </c>
      <c r="Q49" s="1323">
        <f ca="1">C29</f>
        <v>6958</v>
      </c>
      <c r="R49" s="1323" t="s">
        <v>818</v>
      </c>
    </row>
    <row r="50" spans="1:18" s="1288" customFormat="1" ht="13.8" thickBot="1">
      <c r="A50" s="919"/>
      <c r="B50" s="922"/>
      <c r="C50" s="1052"/>
      <c r="D50" s="896"/>
      <c r="E50" s="990" t="s">
        <v>697</v>
      </c>
      <c r="F50" s="991">
        <f ca="1">F7</f>
        <v>7355.85</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19015</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23866</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5566</v>
      </c>
      <c r="D56" s="1348"/>
      <c r="E56" s="1349"/>
      <c r="F56" s="1341"/>
      <c r="I56" s="1350" t="s">
        <v>842</v>
      </c>
      <c r="J56" s="1351" t="s">
        <v>3536</v>
      </c>
      <c r="K56" s="1324" t="s">
        <v>843</v>
      </c>
      <c r="L56" s="1327" t="str">
        <f ca="1">IF(L48&lt;J51,"——",L48-J53)</f>
        <v>——</v>
      </c>
      <c r="O56" s="1321" t="s">
        <v>403</v>
      </c>
      <c r="P56" s="1322" t="s">
        <v>817</v>
      </c>
      <c r="Q56" s="1323">
        <f ca="1">C40+J29</f>
        <v>23161</v>
      </c>
      <c r="R56" s="1323" t="s">
        <v>818</v>
      </c>
    </row>
    <row r="57" spans="1:18" s="1288" customFormat="1" ht="24.6" thickBot="1">
      <c r="A57" s="1352"/>
      <c r="B57" s="893" t="s">
        <v>767</v>
      </c>
      <c r="C57" s="230">
        <f ca="1">C29</f>
        <v>6958</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28</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2783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705</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IF(项目基本情况!B11="自然人","——",IF(D61="按租金收入计税",ROUND(C49*F61/(1+'数据-取费表'!C42),2),IF(D61="按房产原值计税",ROUND(C57*F61*0.7,2),INDIRECT("'数据-取费表'!Aj"&amp;$G$1))))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IF(项目基本情况!B11="自然人","——",ROUND(F62*F63/10000,2))</f>
        <v>2.12</v>
      </c>
      <c r="D62" s="908" t="s">
        <v>786</v>
      </c>
      <c r="E62" s="893" t="s">
        <v>787</v>
      </c>
      <c r="F62" s="317">
        <f t="shared" si="0"/>
        <v>24</v>
      </c>
      <c r="I62" s="1363" t="s">
        <v>858</v>
      </c>
      <c r="J62" s="610" t="s">
        <v>859</v>
      </c>
      <c r="K62" s="610" t="s">
        <v>860</v>
      </c>
      <c r="L62" s="610" t="s">
        <v>861</v>
      </c>
      <c r="M62" s="1364" t="s">
        <v>862</v>
      </c>
      <c r="O62" s="1321" t="s">
        <v>409</v>
      </c>
      <c r="P62" s="1322" t="s">
        <v>863</v>
      </c>
      <c r="Q62" s="1323">
        <f ca="1">Q56+Q57</f>
        <v>23161</v>
      </c>
      <c r="R62" s="1323" t="s">
        <v>410</v>
      </c>
    </row>
    <row r="63" spans="1:18" s="1288" customFormat="1" ht="13.8" thickBot="1">
      <c r="A63" s="318"/>
      <c r="B63" s="899"/>
      <c r="C63" s="26"/>
      <c r="D63" s="909"/>
      <c r="E63" s="893" t="s">
        <v>788</v>
      </c>
      <c r="F63" s="295">
        <f t="shared" ca="1" si="0"/>
        <v>881.71</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ROUND(C57*F64,2)</f>
        <v>20.87</v>
      </c>
      <c r="D64" s="907" t="s">
        <v>791</v>
      </c>
      <c r="E64" s="893" t="s">
        <v>783</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5.57</v>
      </c>
      <c r="D65" s="907" t="s">
        <v>743</v>
      </c>
      <c r="E65" s="893" t="s">
        <v>744</v>
      </c>
      <c r="F65" s="321">
        <f t="shared" ca="1" si="0"/>
        <v>1E-3</v>
      </c>
      <c r="I65" s="1363" t="s">
        <v>867</v>
      </c>
      <c r="J65" s="610">
        <v>40</v>
      </c>
      <c r="K65" s="610">
        <v>30</v>
      </c>
      <c r="L65" s="610">
        <v>50</v>
      </c>
      <c r="M65" s="1365">
        <v>0.02</v>
      </c>
      <c r="O65" s="1321" t="s">
        <v>403</v>
      </c>
      <c r="P65" s="1322" t="s">
        <v>868</v>
      </c>
      <c r="Q65" s="1323">
        <f ca="1">C40+J29</f>
        <v>23161</v>
      </c>
      <c r="R65" s="1323" t="s">
        <v>818</v>
      </c>
    </row>
    <row r="66" spans="1:18" s="1288" customFormat="1" ht="16.2" thickBot="1">
      <c r="A66" s="925" t="s">
        <v>793</v>
      </c>
      <c r="B66" s="893" t="s">
        <v>728</v>
      </c>
      <c r="C66" s="21">
        <f ca="1">ROUND(C48*F66,2)</f>
        <v>0</v>
      </c>
      <c r="D66" s="907" t="s">
        <v>794</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-28</v>
      </c>
      <c r="D67" s="906" t="s">
        <v>753</v>
      </c>
      <c r="E67" s="911"/>
      <c r="F67" s="912"/>
      <c r="O67" s="1330" t="s">
        <v>405</v>
      </c>
      <c r="P67" s="1322" t="s">
        <v>850</v>
      </c>
      <c r="Q67" s="1366">
        <f ca="1">L51</f>
        <v>19015</v>
      </c>
      <c r="R67" s="1323" t="s">
        <v>870</v>
      </c>
    </row>
    <row r="68" spans="1:18" s="1288" customFormat="1" ht="16.2" thickBot="1">
      <c r="A68" s="890" t="s">
        <v>395</v>
      </c>
      <c r="B68" s="891" t="s">
        <v>774</v>
      </c>
      <c r="C68" s="293">
        <f ca="1">ROUND(C67*(1-((1+F70)/(1+F68))^F69)/(F68-F70),0)</f>
        <v>-93</v>
      </c>
      <c r="D68" s="908" t="s">
        <v>758</v>
      </c>
      <c r="E68" s="893" t="s">
        <v>759</v>
      </c>
      <c r="F68" s="304">
        <f ca="1">F40</f>
        <v>5.5E-2</v>
      </c>
      <c r="O68" s="1330" t="s">
        <v>406</v>
      </c>
      <c r="P68" s="1367" t="s">
        <v>871</v>
      </c>
      <c r="Q68" s="1323">
        <f ca="1">ROUND(Q69-Q70*Q71,0)</f>
        <v>1091</v>
      </c>
      <c r="R68" s="1323" t="s">
        <v>414</v>
      </c>
    </row>
    <row r="69" spans="1:18" s="1288" customFormat="1" ht="13.8" thickBot="1">
      <c r="A69" s="894"/>
      <c r="B69" s="895"/>
      <c r="C69" s="298"/>
      <c r="D69" s="913" t="s">
        <v>762</v>
      </c>
      <c r="E69" s="893" t="s">
        <v>763</v>
      </c>
      <c r="F69" s="324">
        <f ca="1">F41</f>
        <v>3.77</v>
      </c>
      <c r="O69" s="1330" t="s">
        <v>411</v>
      </c>
      <c r="P69" s="1367" t="s">
        <v>872</v>
      </c>
      <c r="Q69" s="1323">
        <f ca="1">C39</f>
        <v>1481</v>
      </c>
      <c r="R69" s="1323" t="s">
        <v>818</v>
      </c>
    </row>
    <row r="70" spans="1:18" s="1288" customFormat="1" ht="13.8" thickBot="1">
      <c r="A70" s="897"/>
      <c r="B70" s="898"/>
      <c r="C70" s="302"/>
      <c r="D70" s="909"/>
      <c r="E70" s="893" t="s">
        <v>766</v>
      </c>
      <c r="F70" s="988"/>
      <c r="O70" s="1330" t="s">
        <v>412</v>
      </c>
      <c r="P70" s="1367" t="s">
        <v>873</v>
      </c>
      <c r="Q70" s="1323">
        <f ca="1">C13</f>
        <v>5566</v>
      </c>
      <c r="R70" s="1323" t="s">
        <v>818</v>
      </c>
    </row>
    <row r="71" spans="1:18" s="1288" customFormat="1" ht="13.8" thickBot="1">
      <c r="A71" s="914" t="s">
        <v>396</v>
      </c>
      <c r="B71" s="915" t="s">
        <v>776</v>
      </c>
      <c r="C71" s="327">
        <f ca="1">ROUND(C68*10000/F71,0)</f>
        <v>-126</v>
      </c>
      <c r="D71" s="916" t="s">
        <v>777</v>
      </c>
      <c r="E71" s="917" t="s">
        <v>778</v>
      </c>
      <c r="F71" s="330">
        <f ca="1">F43</f>
        <v>7355.85</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390</v>
      </c>
      <c r="D75" s="1288"/>
      <c r="E75" s="1288"/>
      <c r="F75" s="1288"/>
      <c r="K75" s="1305"/>
      <c r="L75" s="1288"/>
      <c r="O75" s="1321" t="s">
        <v>409</v>
      </c>
      <c r="P75" s="1322" t="s">
        <v>838</v>
      </c>
      <c r="Q75" s="1323">
        <f ca="1">Q65+Q66</f>
        <v>23161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0.73699999999999999</v>
      </c>
    </row>
    <row r="80" spans="1:18">
      <c r="B80" s="331" t="s">
        <v>800</v>
      </c>
      <c r="C80" s="266">
        <f ca="1">ROUND(C75/C39,3)</f>
        <v>0.26300000000000001</v>
      </c>
    </row>
    <row r="81" spans="2:3">
      <c r="B81" s="262" t="s">
        <v>801</v>
      </c>
      <c r="C81" s="230"/>
    </row>
    <row r="82" spans="2:3">
      <c r="B82" s="265" t="s">
        <v>802</v>
      </c>
      <c r="C82" s="267">
        <f ca="1">1-C83</f>
        <v>-0.13100000000000001</v>
      </c>
    </row>
    <row r="83" spans="2:3">
      <c r="B83" s="265" t="s">
        <v>803</v>
      </c>
      <c r="C83" s="266">
        <f ca="1">ROUND(C13/C40,3)</f>
        <v>1.131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3484</v>
      </c>
      <c r="D1" s="1267" t="s">
        <v>43</v>
      </c>
      <c r="E1" s="1268" t="s">
        <v>678</v>
      </c>
      <c r="F1" s="996">
        <f ca="1">J53</f>
        <v>18.98</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3298</v>
      </c>
      <c r="C2" s="1285" t="s">
        <v>805</v>
      </c>
      <c r="D2" s="1285"/>
      <c r="E2" s="1291"/>
      <c r="F2" s="1292"/>
      <c r="G2" s="2470"/>
      <c r="H2" s="2460"/>
      <c r="I2" s="2460"/>
      <c r="J2" s="2460"/>
      <c r="K2" s="2461"/>
      <c r="L2" s="2460"/>
      <c r="M2" s="2460"/>
    </row>
    <row r="3" spans="1:37" ht="18" customHeight="1" thickBot="1">
      <c r="A3" s="1293" t="s">
        <v>806</v>
      </c>
      <c r="B3" s="1294">
        <f ca="1">IF(ISERROR(B2*10000/F43),0,ROUND(B2*10000/F43,0))</f>
        <v>17862</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291</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291</v>
      </c>
      <c r="D6" s="147" t="s">
        <v>2109</v>
      </c>
      <c r="E6" s="294" t="s">
        <v>696</v>
      </c>
      <c r="F6" s="295">
        <f ca="1">INDIRECT("'数据-取费表'!u"&amp;$G$1)</f>
        <v>4.8000000000000007</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1846.41</v>
      </c>
      <c r="G7" s="1288"/>
      <c r="H7" s="296"/>
      <c r="I7" s="3546"/>
      <c r="J7" s="298"/>
      <c r="K7" s="299"/>
      <c r="L7" s="294" t="s">
        <v>697</v>
      </c>
      <c r="M7" s="295">
        <f ca="1">F7</f>
        <v>1846.41</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1395</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1117</v>
      </c>
      <c r="D14" s="1253" t="s">
        <v>708</v>
      </c>
      <c r="E14" s="1251"/>
      <c r="F14" s="311"/>
      <c r="G14" s="1288"/>
      <c r="H14" s="925" t="s">
        <v>398</v>
      </c>
      <c r="I14" s="294" t="s">
        <v>709</v>
      </c>
      <c r="J14" s="21">
        <f ca="1">C29</f>
        <v>1744</v>
      </c>
      <c r="K14" s="12"/>
      <c r="L14" s="756"/>
      <c r="M14" s="757"/>
    </row>
    <row r="15" spans="1:37" s="1300" customFormat="1" ht="18" customHeight="1" thickBot="1">
      <c r="A15" s="925" t="s">
        <v>399</v>
      </c>
      <c r="B15" s="294" t="s">
        <v>710</v>
      </c>
      <c r="C15" s="21">
        <f ca="1">ROUND(C14*F15,0)</f>
        <v>89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6</v>
      </c>
      <c r="K16" s="1021" t="s">
        <v>715</v>
      </c>
      <c r="L16" s="1022"/>
      <c r="M16" s="1006"/>
    </row>
    <row r="17" spans="1:37" s="1300" customFormat="1" ht="18" customHeight="1">
      <c r="A17" s="925" t="s">
        <v>681</v>
      </c>
      <c r="B17" s="294" t="s">
        <v>716</v>
      </c>
      <c r="C17" s="21">
        <f ca="1">ROUND(F17*(F43+INDIRECT("'数据-取费表'!S"&amp;$G$1))/10000,0)</f>
        <v>37</v>
      </c>
      <c r="D17" s="294" t="s">
        <v>717</v>
      </c>
      <c r="E17" s="294" t="s">
        <v>718</v>
      </c>
      <c r="F17" s="23">
        <f>'数据-取费表'!B35</f>
        <v>200</v>
      </c>
      <c r="G17" s="1299"/>
      <c r="H17" s="925" t="s">
        <v>398</v>
      </c>
      <c r="I17" s="294" t="s">
        <v>719</v>
      </c>
      <c r="J17" s="2136">
        <f ca="1">ROUND(IF(AND(项目基本情况!B11="自然人",项目基本情况!B10="北京市"),J6*M17/(1+'数据-取费表'!C42),J18+J19+J20),2)</f>
        <v>0.53</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1265</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25</v>
      </c>
      <c r="D20" s="315" t="s">
        <v>729</v>
      </c>
      <c r="E20" s="294" t="s">
        <v>712</v>
      </c>
      <c r="F20" s="314">
        <f>'数据-取费表'!B37</f>
        <v>0.02</v>
      </c>
      <c r="G20" s="1299"/>
      <c r="H20" s="925" t="s">
        <v>680</v>
      </c>
      <c r="I20" s="147" t="s">
        <v>730</v>
      </c>
      <c r="J20" s="22">
        <f ca="1">ROUND(M20*M21/10000,2)</f>
        <v>0.53</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221.32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5.23</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-6</v>
      </c>
      <c r="K25" s="1029" t="s">
        <v>753</v>
      </c>
      <c r="L25" s="1030"/>
      <c r="M25" s="1031"/>
    </row>
    <row r="26" spans="1:37">
      <c r="A26" s="925" t="s">
        <v>397</v>
      </c>
      <c r="B26" s="294" t="s">
        <v>754</v>
      </c>
      <c r="C26" s="21">
        <f ca="1">ROUND((C19+C20)*F26,0)</f>
        <v>258</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1744</v>
      </c>
      <c r="D29" s="1026"/>
      <c r="E29" s="1024"/>
      <c r="F29" s="1027"/>
      <c r="G29" s="1299"/>
      <c r="H29" s="325" t="s">
        <v>396</v>
      </c>
      <c r="I29" s="326" t="s">
        <v>768</v>
      </c>
      <c r="J29" s="327">
        <f ca="1">ROUND(J26/(1+F40)^F41,0)</f>
        <v>0</v>
      </c>
      <c r="K29" s="328" t="s">
        <v>769</v>
      </c>
      <c r="L29" s="329"/>
      <c r="M29" s="330">
        <f ca="1">INDIRECT("'数据-取费表'!k"&amp;$G$1)</f>
        <v>1846.41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60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49.31</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15.52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33.26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0.53</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221.32</v>
      </c>
      <c r="G35" s="1288"/>
      <c r="H35" s="2462"/>
      <c r="I35" s="1301"/>
      <c r="J35" s="1302"/>
      <c r="K35" s="2466"/>
      <c r="L35" s="2465"/>
      <c r="M35" s="2465"/>
    </row>
    <row r="36" spans="1:18" ht="18" customHeight="1">
      <c r="A36" s="1036" t="s">
        <v>402</v>
      </c>
      <c r="B36" s="294" t="s">
        <v>738</v>
      </c>
      <c r="C36" s="21">
        <f ca="1">ROUND(C29*F36,2)</f>
        <v>5.23</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1.4</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4.37</v>
      </c>
      <c r="D38" s="1026" t="s">
        <v>748</v>
      </c>
      <c r="E38" s="1024" t="s">
        <v>712</v>
      </c>
      <c r="F38" s="1020">
        <f ca="1">INDIRECT("'数据-取费表'!Am"&amp;$G$1)</f>
        <v>1.4999999999999999E-2</v>
      </c>
      <c r="G38" s="1288"/>
      <c r="H38" s="2465"/>
      <c r="I38" s="1301"/>
      <c r="J38" s="1302"/>
      <c r="K38" s="2463"/>
      <c r="L38" s="2465"/>
      <c r="M38" s="2465"/>
    </row>
    <row r="39" spans="1:18" ht="24.6" customHeight="1" thickTop="1">
      <c r="A39" s="1013" t="s">
        <v>394</v>
      </c>
      <c r="B39" s="1028" t="s">
        <v>752</v>
      </c>
      <c r="C39" s="302">
        <f ca="1">C5-C30</f>
        <v>231</v>
      </c>
      <c r="D39" s="1029" t="s">
        <v>753</v>
      </c>
      <c r="E39" s="1030"/>
      <c r="F39" s="1031"/>
      <c r="G39" s="1288"/>
      <c r="H39" s="2465"/>
      <c r="I39" s="1301"/>
      <c r="J39" s="1302"/>
      <c r="K39" s="2463"/>
      <c r="L39" s="2465"/>
      <c r="M39" s="2465"/>
    </row>
    <row r="40" spans="1:18" ht="18" customHeight="1">
      <c r="A40" s="291" t="s">
        <v>395</v>
      </c>
      <c r="B40" s="292" t="s">
        <v>774</v>
      </c>
      <c r="C40" s="293">
        <f ca="1">ROUND(C39*(1-((1+F42)/(1+F40))^F41)/(F40-F42),0)</f>
        <v>3121</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f ca="1">C39/C5</f>
        <v>0.79381443298969068</v>
      </c>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16903</v>
      </c>
      <c r="D43" s="328" t="s">
        <v>777</v>
      </c>
      <c r="E43" s="329" t="s">
        <v>778</v>
      </c>
      <c r="F43" s="330">
        <f ca="1">INDIRECT("'数据-取费表'!k"&amp;$G$1)</f>
        <v>1846.41</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-3214</v>
      </c>
      <c r="D46" s="1309" t="str">
        <f>C2</f>
        <v>万元</v>
      </c>
      <c r="E46" s="1303"/>
      <c r="F46" s="1303"/>
      <c r="I46" s="1310" t="s">
        <v>810</v>
      </c>
      <c r="J46" s="1311"/>
      <c r="K46" s="1312"/>
      <c r="L46" s="1313">
        <f ca="1">IF(M47="住宅",0,IF(L48&gt;J51,L60,J60))</f>
        <v>177</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3121</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177</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1744</v>
      </c>
      <c r="R49" s="1323" t="s">
        <v>818</v>
      </c>
    </row>
    <row r="50" spans="1:18" s="1288" customFormat="1" ht="13.8" thickBot="1">
      <c r="A50" s="919"/>
      <c r="B50" s="922"/>
      <c r="C50" s="1052"/>
      <c r="D50" s="896"/>
      <c r="E50" s="990" t="s">
        <v>697</v>
      </c>
      <c r="F50" s="991">
        <f ca="1">F7</f>
        <v>1846.41</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2323</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3298</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1395</v>
      </c>
      <c r="D56" s="1348"/>
      <c r="E56" s="1349"/>
      <c r="F56" s="1341"/>
      <c r="I56" s="1350" t="s">
        <v>842</v>
      </c>
      <c r="J56" s="1351" t="s">
        <v>3536</v>
      </c>
      <c r="K56" s="1324" t="s">
        <v>843</v>
      </c>
      <c r="L56" s="1327" t="str">
        <f ca="1">IF(L48&lt;J51,"——",L48-J53)</f>
        <v>——</v>
      </c>
      <c r="O56" s="1321" t="s">
        <v>403</v>
      </c>
      <c r="P56" s="1322" t="s">
        <v>817</v>
      </c>
      <c r="Q56" s="1323">
        <f ca="1">C40+J29</f>
        <v>3121</v>
      </c>
      <c r="R56" s="1323" t="s">
        <v>818</v>
      </c>
    </row>
    <row r="57" spans="1:18" s="1288" customFormat="1" ht="24.6" thickBot="1">
      <c r="A57" s="1352"/>
      <c r="B57" s="893" t="s">
        <v>767</v>
      </c>
      <c r="C57" s="230">
        <f ca="1">C29</f>
        <v>1744</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8</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698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177</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0.53</v>
      </c>
      <c r="D62" s="908" t="s">
        <v>731</v>
      </c>
      <c r="E62" s="893" t="s">
        <v>732</v>
      </c>
      <c r="F62" s="317">
        <f t="shared" si="0"/>
        <v>24</v>
      </c>
      <c r="I62" s="1363" t="s">
        <v>858</v>
      </c>
      <c r="J62" s="610" t="s">
        <v>859</v>
      </c>
      <c r="K62" s="610" t="s">
        <v>860</v>
      </c>
      <c r="L62" s="610" t="s">
        <v>861</v>
      </c>
      <c r="M62" s="1364" t="s">
        <v>862</v>
      </c>
      <c r="O62" s="1321" t="s">
        <v>409</v>
      </c>
      <c r="P62" s="1322" t="s">
        <v>838</v>
      </c>
      <c r="Q62" s="1323">
        <f ca="1">Q56+Q57</f>
        <v>3121</v>
      </c>
      <c r="R62" s="1323" t="s">
        <v>410</v>
      </c>
    </row>
    <row r="63" spans="1:18" s="1288" customFormat="1" ht="13.8" thickBot="1">
      <c r="A63" s="318"/>
      <c r="B63" s="899"/>
      <c r="C63" s="26"/>
      <c r="D63" s="909"/>
      <c r="E63" s="893" t="s">
        <v>736</v>
      </c>
      <c r="F63" s="295">
        <f t="shared" ca="1" si="0"/>
        <v>221.32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5.23</v>
      </c>
      <c r="D64" s="907" t="s">
        <v>771</v>
      </c>
      <c r="E64" s="893" t="s">
        <v>712</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1.4</v>
      </c>
      <c r="D65" s="907" t="s">
        <v>743</v>
      </c>
      <c r="E65" s="893" t="s">
        <v>712</v>
      </c>
      <c r="F65" s="321">
        <f t="shared" ca="1" si="0"/>
        <v>1E-3</v>
      </c>
      <c r="I65" s="1363" t="s">
        <v>867</v>
      </c>
      <c r="J65" s="610">
        <v>40</v>
      </c>
      <c r="K65" s="610">
        <v>30</v>
      </c>
      <c r="L65" s="610">
        <v>50</v>
      </c>
      <c r="M65" s="1365">
        <v>0.02</v>
      </c>
      <c r="O65" s="1321" t="s">
        <v>403</v>
      </c>
      <c r="P65" s="1322" t="s">
        <v>817</v>
      </c>
      <c r="Q65" s="1323">
        <f ca="1">C40+J29</f>
        <v>3121</v>
      </c>
      <c r="R65" s="1323" t="s">
        <v>818</v>
      </c>
    </row>
    <row r="66" spans="1:18" s="1288" customFormat="1" ht="16.2" thickBot="1">
      <c r="A66" s="925" t="s">
        <v>793</v>
      </c>
      <c r="B66" s="893" t="s">
        <v>728</v>
      </c>
      <c r="C66" s="21">
        <f ca="1">ROUND(C48*F66,2)</f>
        <v>0</v>
      </c>
      <c r="D66" s="907" t="s">
        <v>748</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-8</v>
      </c>
      <c r="D67" s="906" t="s">
        <v>753</v>
      </c>
      <c r="E67" s="911"/>
      <c r="F67" s="912"/>
      <c r="O67" s="1330" t="s">
        <v>405</v>
      </c>
      <c r="P67" s="1322" t="s">
        <v>850</v>
      </c>
      <c r="Q67" s="1366">
        <f ca="1">L51</f>
        <v>2323</v>
      </c>
      <c r="R67" s="1323" t="s">
        <v>870</v>
      </c>
    </row>
    <row r="68" spans="1:18" s="1288" customFormat="1" ht="16.2" thickBot="1">
      <c r="A68" s="890" t="s">
        <v>395</v>
      </c>
      <c r="B68" s="891" t="s">
        <v>774</v>
      </c>
      <c r="C68" s="293">
        <f ca="1">ROUND(C67*(1-((1+F70)/(1+F68))^F69)/(F68-F70),0)</f>
        <v>-93</v>
      </c>
      <c r="D68" s="908" t="s">
        <v>758</v>
      </c>
      <c r="E68" s="893" t="s">
        <v>759</v>
      </c>
      <c r="F68" s="304">
        <f ca="1">F40</f>
        <v>5.5E-2</v>
      </c>
      <c r="O68" s="1330" t="s">
        <v>406</v>
      </c>
      <c r="P68" s="1367" t="s">
        <v>871</v>
      </c>
      <c r="Q68" s="1323">
        <f ca="1">ROUND(Q69-Q70*Q71,0)</f>
        <v>133</v>
      </c>
      <c r="R68" s="1323" t="s">
        <v>414</v>
      </c>
    </row>
    <row r="69" spans="1:18" s="1288" customFormat="1" ht="13.8" thickBot="1">
      <c r="A69" s="894"/>
      <c r="B69" s="895"/>
      <c r="C69" s="298"/>
      <c r="D69" s="913" t="s">
        <v>762</v>
      </c>
      <c r="E69" s="893" t="s">
        <v>763</v>
      </c>
      <c r="F69" s="324">
        <f ca="1">F41</f>
        <v>18.98</v>
      </c>
      <c r="O69" s="1330" t="s">
        <v>411</v>
      </c>
      <c r="P69" s="1367" t="s">
        <v>872</v>
      </c>
      <c r="Q69" s="1323">
        <f ca="1">C39</f>
        <v>231</v>
      </c>
      <c r="R69" s="1323" t="s">
        <v>818</v>
      </c>
    </row>
    <row r="70" spans="1:18" s="1288" customFormat="1" ht="13.8" thickBot="1">
      <c r="A70" s="897"/>
      <c r="B70" s="898"/>
      <c r="C70" s="302"/>
      <c r="D70" s="909"/>
      <c r="E70" s="893" t="s">
        <v>766</v>
      </c>
      <c r="F70" s="988"/>
      <c r="O70" s="1330" t="s">
        <v>412</v>
      </c>
      <c r="P70" s="1367" t="s">
        <v>873</v>
      </c>
      <c r="Q70" s="1323">
        <f ca="1">C13</f>
        <v>1395</v>
      </c>
      <c r="R70" s="1323" t="s">
        <v>818</v>
      </c>
    </row>
    <row r="71" spans="1:18" s="1288" customFormat="1" ht="13.8" thickBot="1">
      <c r="A71" s="914" t="s">
        <v>396</v>
      </c>
      <c r="B71" s="915" t="s">
        <v>776</v>
      </c>
      <c r="C71" s="327">
        <f ca="1">ROUND(C68*10000/F71,0)</f>
        <v>-504</v>
      </c>
      <c r="D71" s="916" t="s">
        <v>777</v>
      </c>
      <c r="E71" s="917" t="s">
        <v>778</v>
      </c>
      <c r="F71" s="330">
        <f ca="1">F43</f>
        <v>1846.41</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98</v>
      </c>
      <c r="D75" s="1288"/>
      <c r="E75" s="1288"/>
      <c r="F75" s="1288"/>
      <c r="K75" s="1305"/>
      <c r="L75" s="1288"/>
      <c r="O75" s="1321" t="s">
        <v>409</v>
      </c>
      <c r="P75" s="1322" t="s">
        <v>838</v>
      </c>
      <c r="Q75" s="1323">
        <f ca="1">Q65+Q66</f>
        <v>3121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0.57600000000000007</v>
      </c>
    </row>
    <row r="80" spans="1:18">
      <c r="B80" s="331" t="s">
        <v>800</v>
      </c>
      <c r="C80" s="266">
        <f ca="1">ROUND(C75/C39,3)</f>
        <v>0.42399999999999999</v>
      </c>
    </row>
    <row r="81" spans="2:3">
      <c r="B81" s="262" t="s">
        <v>801</v>
      </c>
      <c r="C81" s="230"/>
    </row>
    <row r="82" spans="2:3">
      <c r="B82" s="265" t="s">
        <v>802</v>
      </c>
      <c r="C82" s="267">
        <f ca="1">1-C83</f>
        <v>0.55299999999999994</v>
      </c>
    </row>
    <row r="83" spans="2:3">
      <c r="B83" s="265" t="s">
        <v>803</v>
      </c>
      <c r="C83" s="266">
        <f ca="1">ROUND(C13/C40,3)</f>
        <v>0.44700000000000001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3488</v>
      </c>
      <c r="D1" s="1267" t="s">
        <v>43</v>
      </c>
      <c r="E1" s="1268" t="s">
        <v>678</v>
      </c>
      <c r="F1" s="996">
        <f ca="1">J53</f>
        <v>28.98</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214477</v>
      </c>
      <c r="C2" s="1285" t="s">
        <v>805</v>
      </c>
      <c r="D2" s="1285"/>
      <c r="E2" s="1291"/>
      <c r="F2" s="1292"/>
      <c r="G2" s="2470"/>
      <c r="H2" s="2460"/>
      <c r="I2" s="2460"/>
      <c r="J2" s="2460"/>
      <c r="K2" s="2461"/>
      <c r="L2" s="2460"/>
      <c r="M2" s="2460"/>
    </row>
    <row r="3" spans="1:37" ht="18" customHeight="1" thickBot="1">
      <c r="A3" s="1293" t="s">
        <v>806</v>
      </c>
      <c r="B3" s="1294">
        <f ca="1">IF(ISERROR(B2*10000/F43),0,ROUND(B2*10000/F43,0))</f>
        <v>63520</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14770</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14752</v>
      </c>
      <c r="D6" s="147" t="s">
        <v>2109</v>
      </c>
      <c r="E6" s="294" t="s">
        <v>696</v>
      </c>
      <c r="F6" s="295">
        <f ca="1">INDIRECT("'数据-取费表'!u"&amp;$G$1)</f>
        <v>13.3</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33765.460000000006</v>
      </c>
      <c r="G7" s="1288"/>
      <c r="H7" s="296"/>
      <c r="I7" s="3546"/>
      <c r="J7" s="298"/>
      <c r="K7" s="299"/>
      <c r="L7" s="294" t="s">
        <v>697</v>
      </c>
      <c r="M7" s="295">
        <f ca="1">F7</f>
        <v>33765.460000000006</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18</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25548</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20423</v>
      </c>
      <c r="D14" s="1253" t="s">
        <v>708</v>
      </c>
      <c r="E14" s="1251"/>
      <c r="F14" s="311"/>
      <c r="G14" s="1288"/>
      <c r="H14" s="925" t="s">
        <v>398</v>
      </c>
      <c r="I14" s="294" t="s">
        <v>709</v>
      </c>
      <c r="J14" s="21">
        <f ca="1">C29</f>
        <v>31935</v>
      </c>
      <c r="K14" s="12"/>
      <c r="L14" s="756"/>
      <c r="M14" s="757"/>
    </row>
    <row r="15" spans="1:37" s="1300" customFormat="1" ht="18" customHeight="1" thickBot="1">
      <c r="A15" s="925" t="s">
        <v>399</v>
      </c>
      <c r="B15" s="294" t="s">
        <v>710</v>
      </c>
      <c r="C15" s="21">
        <f ca="1">ROUND(C14*F15,0)</f>
        <v>1634</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106</v>
      </c>
      <c r="K16" s="1021" t="s">
        <v>715</v>
      </c>
      <c r="L16" s="1022"/>
      <c r="M16" s="1006"/>
    </row>
    <row r="17" spans="1:37" s="1300" customFormat="1" ht="18" customHeight="1">
      <c r="A17" s="925" t="s">
        <v>681</v>
      </c>
      <c r="B17" s="294" t="s">
        <v>716</v>
      </c>
      <c r="C17" s="21">
        <f ca="1">ROUND(F17*(F43+INDIRECT("'数据-取费表'!S"&amp;$G$1))/10000,0)</f>
        <v>681</v>
      </c>
      <c r="D17" s="294" t="s">
        <v>717</v>
      </c>
      <c r="E17" s="294" t="s">
        <v>718</v>
      </c>
      <c r="F17" s="23">
        <f>'数据-取费表'!B35</f>
        <v>200</v>
      </c>
      <c r="G17" s="1299"/>
      <c r="H17" s="925" t="s">
        <v>398</v>
      </c>
      <c r="I17" s="294" t="s">
        <v>719</v>
      </c>
      <c r="J17" s="2136">
        <f ca="1">ROUND(IF(AND(项目基本情况!B11="自然人",项目基本情况!B10="北京市"),J6*M17/(1+'数据-取费表'!C42),J18+J19+J20),2)</f>
        <v>9.7100000000000009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408</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23146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463</v>
      </c>
      <c r="D20" s="315" t="s">
        <v>729</v>
      </c>
      <c r="E20" s="294" t="s">
        <v>712</v>
      </c>
      <c r="F20" s="314">
        <f>'数据-取费表'!B37</f>
        <v>0.02</v>
      </c>
      <c r="G20" s="1299"/>
      <c r="H20" s="925" t="s">
        <v>680</v>
      </c>
      <c r="I20" s="147" t="s">
        <v>730</v>
      </c>
      <c r="J20" s="22">
        <f ca="1">ROUND(M20*M21/10000,2)</f>
        <v>9.7100000000000009</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4047.32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95.81</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1107</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-106</v>
      </c>
      <c r="K25" s="1029" t="s">
        <v>753</v>
      </c>
      <c r="L25" s="1030"/>
      <c r="M25" s="1031"/>
    </row>
    <row r="26" spans="1:37">
      <c r="A26" s="925" t="s">
        <v>397</v>
      </c>
      <c r="B26" s="294" t="s">
        <v>754</v>
      </c>
      <c r="C26" s="21">
        <f ca="1">ROUND((C19+C20)*F26,0)</f>
        <v>4722</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31935</v>
      </c>
      <c r="D29" s="1026"/>
      <c r="E29" s="1024"/>
      <c r="F29" s="1027"/>
      <c r="G29" s="1299"/>
      <c r="H29" s="325" t="s">
        <v>396</v>
      </c>
      <c r="I29" s="326" t="s">
        <v>768</v>
      </c>
      <c r="J29" s="327">
        <f ca="1">ROUND(J26/(1+F40)^F41,0)</f>
        <v>0</v>
      </c>
      <c r="K29" s="328" t="s">
        <v>769</v>
      </c>
      <c r="L29" s="329"/>
      <c r="M29" s="330">
        <f ca="1">INDIRECT("'数据-取费表'!k"&amp;$G$1)</f>
        <v>33765.460000000006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2825</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2482.42</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786.77</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1685.94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9.7100000000000009</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4047.32</v>
      </c>
      <c r="G35" s="1288"/>
      <c r="H35" s="2462"/>
      <c r="I35" s="1301"/>
      <c r="J35" s="1302"/>
      <c r="K35" s="2466"/>
      <c r="L35" s="2465"/>
      <c r="M35" s="2465"/>
    </row>
    <row r="36" spans="1:18" ht="18" customHeight="1">
      <c r="A36" s="1036" t="s">
        <v>402</v>
      </c>
      <c r="B36" s="294" t="s">
        <v>738</v>
      </c>
      <c r="C36" s="21">
        <f ca="1">ROUND(C29*F36,2)</f>
        <v>95.81</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25.55</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221.55</v>
      </c>
      <c r="D38" s="1026" t="s">
        <v>748</v>
      </c>
      <c r="E38" s="1024" t="s">
        <v>712</v>
      </c>
      <c r="F38" s="1020">
        <f ca="1">INDIRECT("'数据-取费表'!Am"&amp;$G$1)</f>
        <v>1.4999999999999999E-2</v>
      </c>
      <c r="G38" s="1288"/>
      <c r="H38" s="2465"/>
      <c r="I38" s="1301"/>
      <c r="J38" s="1302"/>
      <c r="K38" s="2463"/>
      <c r="L38" s="2465"/>
      <c r="M38" s="2465"/>
    </row>
    <row r="39" spans="1:18" ht="24.6" customHeight="1" thickTop="1">
      <c r="A39" s="1013" t="s">
        <v>394</v>
      </c>
      <c r="B39" s="1028" t="s">
        <v>752</v>
      </c>
      <c r="C39" s="302">
        <f ca="1">C5-C30</f>
        <v>11945</v>
      </c>
      <c r="D39" s="1029" t="s">
        <v>753</v>
      </c>
      <c r="E39" s="1030"/>
      <c r="F39" s="1031"/>
      <c r="G39" s="1288"/>
      <c r="H39" s="2465">
        <f ca="1">C39/C5</f>
        <v>0.80873392010832768</v>
      </c>
      <c r="I39" s="1301"/>
      <c r="J39" s="1302"/>
      <c r="K39" s="2463"/>
      <c r="L39" s="2465"/>
      <c r="M39" s="2465"/>
    </row>
    <row r="40" spans="1:18" ht="18" customHeight="1">
      <c r="A40" s="291" t="s">
        <v>395</v>
      </c>
      <c r="B40" s="292" t="s">
        <v>774</v>
      </c>
      <c r="C40" s="293">
        <f ca="1">ROUND(C39*(1-((1+F42)/(1+F40))^F41)/(F40-F42),0)</f>
        <v>212906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63054</v>
      </c>
      <c r="D43" s="328" t="s">
        <v>777</v>
      </c>
      <c r="E43" s="329" t="s">
        <v>778</v>
      </c>
      <c r="F43" s="330">
        <f ca="1">INDIRECT("'数据-取费表'!k"&amp;$G$1)</f>
        <v>33765.460000000006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-214783</v>
      </c>
      <c r="D46" s="1309" t="str">
        <f>C2</f>
        <v>万元</v>
      </c>
      <c r="E46" s="1303"/>
      <c r="F46" s="1303"/>
      <c r="I46" s="1310" t="s">
        <v>810</v>
      </c>
      <c r="J46" s="1311"/>
      <c r="K46" s="1312"/>
      <c r="L46" s="1313">
        <f ca="1">IF(M47="住宅",0,IF(L48&gt;J51,L60,J60))</f>
        <v>1571</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212906</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1571</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31935</v>
      </c>
      <c r="R49" s="1323" t="s">
        <v>818</v>
      </c>
    </row>
    <row r="50" spans="1:18" s="1288" customFormat="1" ht="13.8" thickBot="1">
      <c r="A50" s="919"/>
      <c r="B50" s="922"/>
      <c r="C50" s="1052"/>
      <c r="D50" s="896"/>
      <c r="E50" s="990" t="s">
        <v>697</v>
      </c>
      <c r="F50" s="991">
        <f ca="1">F7</f>
        <v>33765.460000000006</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176961</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214477</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25548</v>
      </c>
      <c r="D56" s="1348"/>
      <c r="E56" s="1349"/>
      <c r="F56" s="1341"/>
      <c r="I56" s="1350" t="s">
        <v>842</v>
      </c>
      <c r="J56" s="1351" t="s">
        <v>3536</v>
      </c>
      <c r="K56" s="1324" t="s">
        <v>843</v>
      </c>
      <c r="L56" s="1327" t="str">
        <f ca="1">IF(L48&lt;J51,"——",L48-J53)</f>
        <v>——</v>
      </c>
      <c r="O56" s="1321" t="s">
        <v>403</v>
      </c>
      <c r="P56" s="1322" t="s">
        <v>817</v>
      </c>
      <c r="Q56" s="1323">
        <f ca="1">C40+J29</f>
        <v>212906</v>
      </c>
      <c r="R56" s="1323" t="s">
        <v>818</v>
      </c>
    </row>
    <row r="57" spans="1:18" s="1288" customFormat="1" ht="24.6" thickBot="1">
      <c r="A57" s="1352"/>
      <c r="B57" s="893" t="s">
        <v>767</v>
      </c>
      <c r="C57" s="230">
        <f ca="1">C29</f>
        <v>31935</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131</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12774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1571</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9.7100000000000009</v>
      </c>
      <c r="D62" s="908" t="s">
        <v>731</v>
      </c>
      <c r="E62" s="893" t="s">
        <v>732</v>
      </c>
      <c r="F62" s="317">
        <f t="shared" si="0"/>
        <v>24</v>
      </c>
      <c r="I62" s="1363" t="s">
        <v>858</v>
      </c>
      <c r="J62" s="610" t="s">
        <v>859</v>
      </c>
      <c r="K62" s="610" t="s">
        <v>860</v>
      </c>
      <c r="L62" s="610" t="s">
        <v>861</v>
      </c>
      <c r="M62" s="1364" t="s">
        <v>862</v>
      </c>
      <c r="O62" s="1321" t="s">
        <v>409</v>
      </c>
      <c r="P62" s="1322" t="s">
        <v>838</v>
      </c>
      <c r="Q62" s="1323">
        <f ca="1">Q56+Q57</f>
        <v>212906</v>
      </c>
      <c r="R62" s="1323" t="s">
        <v>410</v>
      </c>
    </row>
    <row r="63" spans="1:18" s="1288" customFormat="1" ht="13.8" thickBot="1">
      <c r="A63" s="318"/>
      <c r="B63" s="899"/>
      <c r="C63" s="26"/>
      <c r="D63" s="909"/>
      <c r="E63" s="893" t="s">
        <v>736</v>
      </c>
      <c r="F63" s="295">
        <f t="shared" ca="1" si="0"/>
        <v>4047.32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95.81</v>
      </c>
      <c r="D64" s="907" t="s">
        <v>771</v>
      </c>
      <c r="E64" s="893" t="s">
        <v>712</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25.55</v>
      </c>
      <c r="D65" s="907" t="s">
        <v>743</v>
      </c>
      <c r="E65" s="893" t="s">
        <v>712</v>
      </c>
      <c r="F65" s="321">
        <f t="shared" ca="1" si="0"/>
        <v>1E-3</v>
      </c>
      <c r="I65" s="1363" t="s">
        <v>867</v>
      </c>
      <c r="J65" s="610">
        <v>40</v>
      </c>
      <c r="K65" s="610">
        <v>30</v>
      </c>
      <c r="L65" s="610">
        <v>50</v>
      </c>
      <c r="M65" s="1365">
        <v>0.02</v>
      </c>
      <c r="O65" s="1321" t="s">
        <v>403</v>
      </c>
      <c r="P65" s="1322" t="s">
        <v>817</v>
      </c>
      <c r="Q65" s="1323">
        <f ca="1">C40+J29</f>
        <v>212906</v>
      </c>
      <c r="R65" s="1323" t="s">
        <v>818</v>
      </c>
    </row>
    <row r="66" spans="1:18" s="1288" customFormat="1" ht="16.2" thickBot="1">
      <c r="A66" s="925" t="s">
        <v>793</v>
      </c>
      <c r="B66" s="893" t="s">
        <v>728</v>
      </c>
      <c r="C66" s="21">
        <f ca="1">ROUND(C48*F66,2)</f>
        <v>0</v>
      </c>
      <c r="D66" s="907" t="s">
        <v>748</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-131</v>
      </c>
      <c r="D67" s="906" t="s">
        <v>753</v>
      </c>
      <c r="E67" s="911"/>
      <c r="F67" s="912"/>
      <c r="O67" s="1330" t="s">
        <v>405</v>
      </c>
      <c r="P67" s="1322" t="s">
        <v>850</v>
      </c>
      <c r="Q67" s="1366">
        <f ca="1">L51</f>
        <v>176961</v>
      </c>
      <c r="R67" s="1323" t="s">
        <v>870</v>
      </c>
    </row>
    <row r="68" spans="1:18" s="1288" customFormat="1" ht="16.2" thickBot="1">
      <c r="A68" s="890" t="s">
        <v>395</v>
      </c>
      <c r="B68" s="891" t="s">
        <v>774</v>
      </c>
      <c r="C68" s="293">
        <f ca="1">ROUND(C67*(1-((1+F70)/(1+F68))^F69)/(F68-F70),0)</f>
        <v>-1877</v>
      </c>
      <c r="D68" s="908" t="s">
        <v>758</v>
      </c>
      <c r="E68" s="893" t="s">
        <v>759</v>
      </c>
      <c r="F68" s="304">
        <f ca="1">F40</f>
        <v>5.5E-2</v>
      </c>
      <c r="O68" s="1330" t="s">
        <v>406</v>
      </c>
      <c r="P68" s="1367" t="s">
        <v>871</v>
      </c>
      <c r="Q68" s="1323">
        <f ca="1">ROUND(Q69-Q70*Q71,0)</f>
        <v>10157</v>
      </c>
      <c r="R68" s="1323" t="s">
        <v>414</v>
      </c>
    </row>
    <row r="69" spans="1:18" s="1288" customFormat="1" ht="13.8" thickBot="1">
      <c r="A69" s="894"/>
      <c r="B69" s="895"/>
      <c r="C69" s="298"/>
      <c r="D69" s="913" t="s">
        <v>762</v>
      </c>
      <c r="E69" s="893" t="s">
        <v>763</v>
      </c>
      <c r="F69" s="324">
        <f ca="1">F41</f>
        <v>28.98</v>
      </c>
      <c r="O69" s="1330" t="s">
        <v>411</v>
      </c>
      <c r="P69" s="1367" t="s">
        <v>872</v>
      </c>
      <c r="Q69" s="1323">
        <f ca="1">C39</f>
        <v>11945</v>
      </c>
      <c r="R69" s="1323" t="s">
        <v>818</v>
      </c>
    </row>
    <row r="70" spans="1:18" s="1288" customFormat="1" ht="13.8" thickBot="1">
      <c r="A70" s="897"/>
      <c r="B70" s="898"/>
      <c r="C70" s="302"/>
      <c r="D70" s="909"/>
      <c r="E70" s="893" t="s">
        <v>766</v>
      </c>
      <c r="F70" s="988"/>
      <c r="O70" s="1330" t="s">
        <v>412</v>
      </c>
      <c r="P70" s="1367" t="s">
        <v>873</v>
      </c>
      <c r="Q70" s="1323">
        <f ca="1">C13</f>
        <v>25548</v>
      </c>
      <c r="R70" s="1323" t="s">
        <v>818</v>
      </c>
    </row>
    <row r="71" spans="1:18" s="1288" customFormat="1" ht="13.8" thickBot="1">
      <c r="A71" s="914" t="s">
        <v>396</v>
      </c>
      <c r="B71" s="915" t="s">
        <v>776</v>
      </c>
      <c r="C71" s="327">
        <f ca="1">ROUND(C68*10000/F71,0)</f>
        <v>-556</v>
      </c>
      <c r="D71" s="916" t="s">
        <v>777</v>
      </c>
      <c r="E71" s="917" t="s">
        <v>778</v>
      </c>
      <c r="F71" s="330">
        <f ca="1">F43</f>
        <v>33765.460000000006</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1788</v>
      </c>
      <c r="D75" s="1288"/>
      <c r="E75" s="1288"/>
      <c r="F75" s="1288"/>
      <c r="K75" s="1305"/>
      <c r="L75" s="1288"/>
      <c r="O75" s="1321" t="s">
        <v>409</v>
      </c>
      <c r="P75" s="1322" t="s">
        <v>838</v>
      </c>
      <c r="Q75" s="1323">
        <f ca="1">Q65+Q66</f>
        <v>212906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0.88</v>
      </c>
    </row>
    <row r="83" spans="2:3">
      <c r="B83" s="265" t="s">
        <v>803</v>
      </c>
      <c r="C83" s="266">
        <f ca="1">ROUND(C13/C40,3)</f>
        <v>0.12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6" zoomScale="70" zoomScaleNormal="70" zoomScaleSheetLayoutView="70" workbookViewId="0">
      <selection activeCell="L38" sqref="L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3482</v>
      </c>
      <c r="D1" s="1267" t="s">
        <v>43</v>
      </c>
      <c r="E1" s="1268" t="s">
        <v>678</v>
      </c>
      <c r="F1" s="996">
        <f ca="1">J53</f>
        <v>28.98</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2542</v>
      </c>
      <c r="C2" s="1285" t="s">
        <v>805</v>
      </c>
      <c r="D2" s="1285"/>
      <c r="E2" s="1291"/>
      <c r="F2" s="1292"/>
      <c r="G2" s="2470"/>
      <c r="H2" s="2460"/>
      <c r="I2" s="2460"/>
      <c r="J2" s="2460"/>
      <c r="K2" s="2461"/>
      <c r="L2" s="2460"/>
      <c r="M2" s="2460"/>
    </row>
    <row r="3" spans="1:37" ht="18" customHeight="1" thickBot="1">
      <c r="A3" s="1293" t="s">
        <v>806</v>
      </c>
      <c r="B3" s="1294">
        <f ca="1">IF(ISERROR(B2*10000/F43),0,ROUND(B2*10000/F43,0))</f>
        <v>3248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185</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185</v>
      </c>
      <c r="D6" s="147" t="s">
        <v>2109</v>
      </c>
      <c r="E6" s="294" t="s">
        <v>696</v>
      </c>
      <c r="F6" s="295">
        <f ca="1">INDIRECT("'数据-取费表'!u"&amp;$G$1)</f>
        <v>1150</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149</v>
      </c>
      <c r="G7" s="1288"/>
      <c r="H7" s="296"/>
      <c r="I7" s="3546"/>
      <c r="J7" s="298"/>
      <c r="K7" s="299"/>
      <c r="L7" s="294" t="s">
        <v>697</v>
      </c>
      <c r="M7" s="295">
        <f ca="1">F7</f>
        <v>149</v>
      </c>
    </row>
    <row r="8" spans="1:37" ht="18" customHeight="1">
      <c r="A8" s="296"/>
      <c r="B8" s="3546"/>
      <c r="C8" s="298"/>
      <c r="D8" s="299"/>
      <c r="E8" s="294" t="s">
        <v>698</v>
      </c>
      <c r="F8" s="295">
        <f ca="1">INDIRECT("'数据-取费表'!ai"&amp;$G$1)</f>
        <v>12</v>
      </c>
      <c r="G8" s="1288"/>
      <c r="H8" s="296"/>
      <c r="I8" s="3546"/>
      <c r="J8" s="298"/>
      <c r="K8" s="299"/>
      <c r="L8" s="294" t="s">
        <v>698</v>
      </c>
      <c r="M8" s="295">
        <f ca="1">INDIRECT("'数据-取费表'!ai"&amp;$G$1)</f>
        <v>12</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3297"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5193</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4734</v>
      </c>
      <c r="D14" s="1253" t="s">
        <v>708</v>
      </c>
      <c r="E14" s="1251"/>
      <c r="F14" s="311"/>
      <c r="G14" s="1288"/>
      <c r="H14" s="925" t="s">
        <v>398</v>
      </c>
      <c r="I14" s="294" t="s">
        <v>709</v>
      </c>
      <c r="J14" s="21">
        <f ca="1">C29</f>
        <v>6491</v>
      </c>
      <c r="K14" s="12"/>
      <c r="L14" s="756"/>
      <c r="M14" s="757"/>
    </row>
    <row r="15" spans="1:37" s="1300" customFormat="1" ht="18" customHeight="1" thickBot="1">
      <c r="A15" s="925" t="s">
        <v>399</v>
      </c>
      <c r="B15" s="294" t="s">
        <v>710</v>
      </c>
      <c r="C15" s="21">
        <f ca="1">ROUND(C14*F15,0)</f>
        <v>379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15</v>
      </c>
      <c r="K16" s="1021" t="s">
        <v>715</v>
      </c>
      <c r="L16" s="1022"/>
      <c r="M16" s="1006"/>
    </row>
    <row r="17" spans="1:37" s="1300" customFormat="1" ht="18" customHeight="1">
      <c r="A17" s="925" t="s">
        <v>681</v>
      </c>
      <c r="B17" s="294" t="s">
        <v>716</v>
      </c>
      <c r="C17" s="21">
        <f ca="1">ROUND(F17*(F43+INDIRECT("'数据-取费表'!S"&amp;$G$1))/10000,0)</f>
        <v>158</v>
      </c>
      <c r="D17" s="294" t="s">
        <v>717</v>
      </c>
      <c r="E17" s="294" t="s">
        <v>718</v>
      </c>
      <c r="F17" s="23">
        <f>'数据-取费表'!B35</f>
        <v>200</v>
      </c>
      <c r="G17" s="1299"/>
      <c r="H17" s="925" t="s">
        <v>398</v>
      </c>
      <c r="I17" s="294" t="s">
        <v>719</v>
      </c>
      <c r="J17" s="2136">
        <f ca="1">ROUND(IF(AND(项目基本情况!B11="自然人",项目基本情况!B10="北京市"),J6*M17/(1+'数据-取费表'!C42),J18+J19+J20),2)</f>
        <v>2.25</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95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5366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107</v>
      </c>
      <c r="D20" s="315" t="s">
        <v>729</v>
      </c>
      <c r="E20" s="294" t="s">
        <v>712</v>
      </c>
      <c r="F20" s="314">
        <f>'数据-取费表'!B37</f>
        <v>0.02</v>
      </c>
      <c r="G20" s="1299"/>
      <c r="H20" s="925" t="s">
        <v>680</v>
      </c>
      <c r="I20" s="147" t="s">
        <v>730</v>
      </c>
      <c r="J20" s="22">
        <f ca="1">ROUND(M20*M21/10000,2)</f>
        <v>2.25</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938.18999999999994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12.98</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256</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-15</v>
      </c>
      <c r="K25" s="1029" t="s">
        <v>753</v>
      </c>
      <c r="L25" s="1030"/>
      <c r="M25" s="1031"/>
    </row>
    <row r="26" spans="1:37">
      <c r="A26" s="925" t="s">
        <v>397</v>
      </c>
      <c r="B26" s="294" t="s">
        <v>754</v>
      </c>
      <c r="C26" s="21">
        <f ca="1">ROUND((C19+C20)*F26,0)</f>
        <v>274</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6491</v>
      </c>
      <c r="D29" s="1026"/>
      <c r="E29" s="1024"/>
      <c r="F29" s="1027"/>
      <c r="G29" s="1299"/>
      <c r="H29" s="325" t="s">
        <v>396</v>
      </c>
      <c r="I29" s="326" t="s">
        <v>768</v>
      </c>
      <c r="J29" s="327">
        <f ca="1">ROUND(J26/(1+F40)^F41,0)</f>
        <v>0</v>
      </c>
      <c r="K29" s="328" t="s">
        <v>769</v>
      </c>
      <c r="L29" s="329"/>
      <c r="M29" s="330">
        <f ca="1">INDIRECT("'数据-取费表'!k"&amp;$G$1)</f>
        <v>7827.03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53</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33.26</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9.8699999999999992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21.14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2.25</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938.18999999999994</v>
      </c>
      <c r="G35" s="1288"/>
      <c r="H35" s="2462"/>
      <c r="I35" s="1301"/>
      <c r="J35" s="1302"/>
      <c r="K35" s="2466"/>
      <c r="L35" s="2465"/>
      <c r="M35" s="2465"/>
    </row>
    <row r="36" spans="1:18" ht="18" customHeight="1">
      <c r="A36" s="1036" t="s">
        <v>402</v>
      </c>
      <c r="B36" s="294" t="s">
        <v>738</v>
      </c>
      <c r="C36" s="21">
        <f ca="1">ROUND(C29*F36,2)</f>
        <v>12.98</v>
      </c>
      <c r="D36" s="1252" t="s">
        <v>771</v>
      </c>
      <c r="E36" s="294" t="s">
        <v>712</v>
      </c>
      <c r="F36" s="320">
        <f ca="1">INDIRECT("'数据-取费表'!Ak"&amp;$G$1)</f>
        <v>2E-3</v>
      </c>
      <c r="G36" s="1288"/>
      <c r="H36" s="2465"/>
      <c r="I36" s="1301"/>
      <c r="J36" s="1302"/>
      <c r="K36" s="2324"/>
      <c r="L36" s="2465"/>
      <c r="M36" s="2465"/>
    </row>
    <row r="37" spans="1:18" ht="18" customHeight="1">
      <c r="A37" s="925" t="s">
        <v>437</v>
      </c>
      <c r="B37" s="294" t="s">
        <v>742</v>
      </c>
      <c r="C37" s="21">
        <f ca="1">ROUND(C13*F37,2)</f>
        <v>5.19</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1.85</v>
      </c>
      <c r="D38" s="1026" t="s">
        <v>748</v>
      </c>
      <c r="E38" s="1024" t="s">
        <v>712</v>
      </c>
      <c r="F38" s="1020">
        <f ca="1">INDIRECT("'数据-取费表'!Am"&amp;$G$1)</f>
        <v>0.01</v>
      </c>
      <c r="G38" s="1288"/>
      <c r="H38" s="2465">
        <f ca="1">C39/C5</f>
        <v>0.71351351351351355</v>
      </c>
      <c r="I38" s="1301"/>
      <c r="J38" s="1302"/>
      <c r="K38" s="2463"/>
      <c r="L38" s="2465"/>
      <c r="M38" s="2465"/>
    </row>
    <row r="39" spans="1:18" ht="24.6" customHeight="1" thickTop="1">
      <c r="A39" s="1013" t="s">
        <v>394</v>
      </c>
      <c r="B39" s="1028" t="s">
        <v>752</v>
      </c>
      <c r="C39" s="302">
        <f ca="1">C5-C30</f>
        <v>132</v>
      </c>
      <c r="D39" s="1029" t="s">
        <v>753</v>
      </c>
      <c r="E39" s="1030"/>
      <c r="F39" s="1031"/>
      <c r="G39" s="1288"/>
      <c r="H39" s="2465"/>
      <c r="I39" s="1301"/>
      <c r="J39" s="1302"/>
      <c r="K39" s="2463"/>
      <c r="L39" s="2465"/>
      <c r="M39" s="2465"/>
    </row>
    <row r="40" spans="1:18" ht="18" customHeight="1">
      <c r="A40" s="291" t="s">
        <v>395</v>
      </c>
      <c r="B40" s="292" t="s">
        <v>774</v>
      </c>
      <c r="C40" s="293">
        <f ca="1">ROUND(C39*(1-((1+F42)/(1+F40))^F41)/(F40-F42),0)</f>
        <v>2223</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1.4999999999999999E-2</v>
      </c>
      <c r="G42" s="1288"/>
      <c r="H42" s="121"/>
      <c r="I42" s="1301"/>
      <c r="J42" s="1302"/>
      <c r="K42" s="2324"/>
      <c r="L42" s="121"/>
      <c r="M42" s="121"/>
    </row>
    <row r="43" spans="1:18" ht="18" customHeight="1" thickBot="1">
      <c r="A43" s="325" t="s">
        <v>396</v>
      </c>
      <c r="B43" s="326" t="s">
        <v>776</v>
      </c>
      <c r="C43" s="327">
        <f ca="1">ROUND(C40*10000/F43,0)</f>
        <v>2840</v>
      </c>
      <c r="D43" s="328" t="s">
        <v>777</v>
      </c>
      <c r="E43" s="329" t="s">
        <v>778</v>
      </c>
      <c r="F43" s="330">
        <f ca="1">INDIRECT("'数据-取费表'!k"&amp;$G$1)</f>
        <v>7827.03</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-2510</v>
      </c>
      <c r="D46" s="1309" t="str">
        <f>C2</f>
        <v>万元</v>
      </c>
      <c r="E46" s="1303"/>
      <c r="F46" s="1303"/>
      <c r="I46" s="1310" t="s">
        <v>810</v>
      </c>
      <c r="J46" s="1311"/>
      <c r="K46" s="1312"/>
      <c r="L46" s="1313">
        <f ca="1">IF(M47="住宅",0,IF(L48&gt;J51,L60,J60))</f>
        <v>319</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2223</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319</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6491</v>
      </c>
      <c r="R49" s="1323" t="s">
        <v>818</v>
      </c>
    </row>
    <row r="50" spans="1:18" s="1288" customFormat="1" ht="13.8" thickBot="1">
      <c r="A50" s="919"/>
      <c r="B50" s="922"/>
      <c r="C50" s="1052"/>
      <c r="D50" s="896"/>
      <c r="E50" s="990" t="s">
        <v>697</v>
      </c>
      <c r="F50" s="991">
        <f ca="1">F7</f>
        <v>149</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12</v>
      </c>
      <c r="I51" s="1334" t="s">
        <v>829</v>
      </c>
      <c r="J51" s="1327">
        <f>IF(J49="",J50,J49+J50-YEAR('数据-取费表'!B2))</f>
        <v>42</v>
      </c>
      <c r="K51" s="1335" t="s">
        <v>830</v>
      </c>
      <c r="L51" s="1336">
        <f ca="1">ROUND(-PV(INDIRECT("'数据-取费表'!h"&amp;$G$1),J51,(C39-C13*C76),0),0)</f>
        <v>-4034</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2542</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5193</v>
      </c>
      <c r="D56" s="1348"/>
      <c r="E56" s="1349"/>
      <c r="F56" s="1341"/>
      <c r="I56" s="1350" t="s">
        <v>842</v>
      </c>
      <c r="J56" s="1351" t="s">
        <v>3536</v>
      </c>
      <c r="K56" s="1324" t="s">
        <v>843</v>
      </c>
      <c r="L56" s="1327" t="str">
        <f ca="1">IF(L48&lt;J51,"——",L48-J53)</f>
        <v>——</v>
      </c>
      <c r="O56" s="1321" t="s">
        <v>403</v>
      </c>
      <c r="P56" s="1322" t="s">
        <v>817</v>
      </c>
      <c r="Q56" s="1323">
        <f ca="1">C40+J29</f>
        <v>2223</v>
      </c>
      <c r="R56" s="1323" t="s">
        <v>818</v>
      </c>
    </row>
    <row r="57" spans="1:18" s="1288" customFormat="1" ht="24.6" thickBot="1">
      <c r="A57" s="1352"/>
      <c r="B57" s="893" t="s">
        <v>767</v>
      </c>
      <c r="C57" s="230">
        <f ca="1">C29</f>
        <v>6491</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20</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2596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319</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2.25</v>
      </c>
      <c r="D62" s="908" t="s">
        <v>731</v>
      </c>
      <c r="E62" s="893" t="s">
        <v>732</v>
      </c>
      <c r="F62" s="317">
        <f t="shared" si="0"/>
        <v>24</v>
      </c>
      <c r="I62" s="1363" t="s">
        <v>858</v>
      </c>
      <c r="J62" s="610" t="s">
        <v>859</v>
      </c>
      <c r="K62" s="610" t="s">
        <v>860</v>
      </c>
      <c r="L62" s="610" t="s">
        <v>861</v>
      </c>
      <c r="M62" s="1364" t="s">
        <v>862</v>
      </c>
      <c r="O62" s="1321" t="s">
        <v>409</v>
      </c>
      <c r="P62" s="1322" t="s">
        <v>838</v>
      </c>
      <c r="Q62" s="1323">
        <f ca="1">Q56+Q57</f>
        <v>2223</v>
      </c>
      <c r="R62" s="1323" t="s">
        <v>410</v>
      </c>
    </row>
    <row r="63" spans="1:18" s="1288" customFormat="1" ht="13.8" thickBot="1">
      <c r="A63" s="318"/>
      <c r="B63" s="899"/>
      <c r="C63" s="26"/>
      <c r="D63" s="909"/>
      <c r="E63" s="893" t="s">
        <v>736</v>
      </c>
      <c r="F63" s="295">
        <f t="shared" ca="1" si="0"/>
        <v>938.18999999999994</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12.98</v>
      </c>
      <c r="D64" s="907" t="s">
        <v>771</v>
      </c>
      <c r="E64" s="893"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5.19</v>
      </c>
      <c r="D65" s="907" t="s">
        <v>743</v>
      </c>
      <c r="E65" s="893" t="s">
        <v>712</v>
      </c>
      <c r="F65" s="321">
        <f t="shared" ca="1" si="0"/>
        <v>1E-3</v>
      </c>
      <c r="I65" s="1363" t="s">
        <v>867</v>
      </c>
      <c r="J65" s="610">
        <v>40</v>
      </c>
      <c r="K65" s="610">
        <v>30</v>
      </c>
      <c r="L65" s="610">
        <v>50</v>
      </c>
      <c r="M65" s="1365">
        <v>0.02</v>
      </c>
      <c r="O65" s="1321" t="s">
        <v>403</v>
      </c>
      <c r="P65" s="1322" t="s">
        <v>817</v>
      </c>
      <c r="Q65" s="1323">
        <f ca="1">C40+J29</f>
        <v>2223</v>
      </c>
      <c r="R65" s="1323" t="s">
        <v>818</v>
      </c>
    </row>
    <row r="66" spans="1:18" s="1288" customFormat="1" ht="16.2"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-20</v>
      </c>
      <c r="D67" s="906" t="s">
        <v>753</v>
      </c>
      <c r="E67" s="911"/>
      <c r="F67" s="912"/>
      <c r="O67" s="1330" t="s">
        <v>405</v>
      </c>
      <c r="P67" s="1322" t="s">
        <v>850</v>
      </c>
      <c r="Q67" s="1366">
        <f ca="1">L51</f>
        <v>-4034</v>
      </c>
      <c r="R67" s="1323" t="s">
        <v>870</v>
      </c>
    </row>
    <row r="68" spans="1:18" s="1288" customFormat="1" ht="16.2" thickBot="1">
      <c r="A68" s="890" t="s">
        <v>395</v>
      </c>
      <c r="B68" s="891" t="s">
        <v>774</v>
      </c>
      <c r="C68" s="293">
        <f ca="1">ROUND(C67*(1-((1+F70)/(1+F68))^F69)/(F68-F70),0)</f>
        <v>-287</v>
      </c>
      <c r="D68" s="908" t="s">
        <v>758</v>
      </c>
      <c r="E68" s="893" t="s">
        <v>759</v>
      </c>
      <c r="F68" s="304">
        <f ca="1">F40</f>
        <v>5.5E-2</v>
      </c>
      <c r="O68" s="1330" t="s">
        <v>406</v>
      </c>
      <c r="P68" s="1367" t="s">
        <v>871</v>
      </c>
      <c r="Q68" s="1323">
        <f ca="1">ROUND(Q69-Q70*Q71,0)</f>
        <v>-232</v>
      </c>
      <c r="R68" s="1323" t="s">
        <v>414</v>
      </c>
    </row>
    <row r="69" spans="1:18" s="1288" customFormat="1" ht="13.8" thickBot="1">
      <c r="A69" s="894"/>
      <c r="B69" s="895"/>
      <c r="C69" s="298"/>
      <c r="D69" s="913" t="s">
        <v>762</v>
      </c>
      <c r="E69" s="893" t="s">
        <v>763</v>
      </c>
      <c r="F69" s="324">
        <f ca="1">F41</f>
        <v>28.98</v>
      </c>
      <c r="O69" s="1330" t="s">
        <v>411</v>
      </c>
      <c r="P69" s="1367" t="s">
        <v>872</v>
      </c>
      <c r="Q69" s="1323">
        <f ca="1">C39</f>
        <v>132</v>
      </c>
      <c r="R69" s="1323" t="s">
        <v>818</v>
      </c>
    </row>
    <row r="70" spans="1:18" s="1288" customFormat="1" ht="13.8" thickBot="1">
      <c r="A70" s="897"/>
      <c r="B70" s="898"/>
      <c r="C70" s="302"/>
      <c r="D70" s="909"/>
      <c r="E70" s="893" t="s">
        <v>766</v>
      </c>
      <c r="F70" s="988"/>
      <c r="O70" s="1330" t="s">
        <v>412</v>
      </c>
      <c r="P70" s="1367" t="s">
        <v>873</v>
      </c>
      <c r="Q70" s="1323">
        <f ca="1">C13</f>
        <v>5193</v>
      </c>
      <c r="R70" s="1323" t="s">
        <v>818</v>
      </c>
    </row>
    <row r="71" spans="1:18" s="1288" customFormat="1" ht="13.8" thickBot="1">
      <c r="A71" s="914" t="s">
        <v>396</v>
      </c>
      <c r="B71" s="915" t="s">
        <v>776</v>
      </c>
      <c r="C71" s="327">
        <f ca="1">ROUND(C68*10000/F71,0)</f>
        <v>-367</v>
      </c>
      <c r="D71" s="916" t="s">
        <v>777</v>
      </c>
      <c r="E71" s="917" t="s">
        <v>778</v>
      </c>
      <c r="F71" s="330">
        <f ca="1">F43</f>
        <v>7827.03</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364</v>
      </c>
      <c r="D75" s="1288"/>
      <c r="E75" s="1288"/>
      <c r="F75" s="1288"/>
      <c r="K75" s="1305"/>
      <c r="L75" s="1288"/>
      <c r="O75" s="1321" t="s">
        <v>409</v>
      </c>
      <c r="P75" s="1322" t="s">
        <v>838</v>
      </c>
      <c r="Q75" s="1323">
        <f ca="1">Q65+Q66</f>
        <v>2223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-1.758</v>
      </c>
    </row>
    <row r="80" spans="1:18">
      <c r="B80" s="331" t="s">
        <v>800</v>
      </c>
      <c r="C80" s="266">
        <f ca="1">ROUND(C75/C39,3)</f>
        <v>2.758</v>
      </c>
    </row>
    <row r="81" spans="2:3">
      <c r="B81" s="262" t="s">
        <v>801</v>
      </c>
      <c r="C81" s="230"/>
    </row>
    <row r="82" spans="2:3">
      <c r="B82" s="265" t="s">
        <v>802</v>
      </c>
      <c r="C82" s="267">
        <f ca="1">1-C83</f>
        <v>-1.3359999999999999</v>
      </c>
    </row>
    <row r="83" spans="2:3">
      <c r="B83" s="265" t="s">
        <v>803</v>
      </c>
      <c r="C83" s="266">
        <f ca="1">ROUND(C13/C40,3)</f>
        <v>2.3359999999999999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估价范围判定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c r="D1" s="1267" t="s">
        <v>43</v>
      </c>
      <c r="E1" s="1268" t="s">
        <v>678</v>
      </c>
      <c r="F1" s="996">
        <f ca="1">J53</f>
        <v>0</v>
      </c>
      <c r="G1" s="1282">
        <f>MATCH(C1,'数据-取费表'!A6:A16,0)+5</f>
        <v>10</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545" t="s">
        <v>694</v>
      </c>
      <c r="C6" s="1008">
        <f ca="1">ROUND(F6*F8*F7*(1-F9),0)</f>
        <v>0</v>
      </c>
      <c r="D6" s="147" t="s">
        <v>2106</v>
      </c>
      <c r="E6" s="294" t="s">
        <v>696</v>
      </c>
      <c r="F6" s="295">
        <f ca="1">INDIRECT("'数据-取费表'!u"&amp;$G$1)</f>
        <v>0</v>
      </c>
      <c r="G6" s="1288"/>
      <c r="H6" s="1003" t="s">
        <v>398</v>
      </c>
      <c r="I6" s="3545" t="s">
        <v>694</v>
      </c>
      <c r="J6" s="293">
        <f ca="1">ROUND(M6*M8*M7*(1-M9),0)</f>
        <v>0</v>
      </c>
      <c r="K6" s="1280" t="s">
        <v>2107</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0</v>
      </c>
      <c r="G7" s="1288"/>
      <c r="H7" s="296"/>
      <c r="I7" s="3546"/>
      <c r="J7" s="298"/>
      <c r="K7" s="299"/>
      <c r="L7" s="294" t="s">
        <v>697</v>
      </c>
      <c r="M7" s="295">
        <f ca="1">F7</f>
        <v>0</v>
      </c>
    </row>
    <row r="8" spans="1:37" ht="18" customHeight="1">
      <c r="A8" s="296"/>
      <c r="B8" s="3546"/>
      <c r="C8" s="298"/>
      <c r="D8" s="299"/>
      <c r="E8" s="294" t="s">
        <v>698</v>
      </c>
      <c r="F8" s="295">
        <f ca="1">INDIRECT("'数据-取费表'!ai"&amp;$G$1)</f>
        <v>0</v>
      </c>
      <c r="G8" s="1288"/>
      <c r="H8" s="296"/>
      <c r="I8" s="3546"/>
      <c r="J8" s="298"/>
      <c r="K8" s="299"/>
      <c r="L8" s="294" t="s">
        <v>698</v>
      </c>
      <c r="M8" s="295">
        <f ca="1">INDIRECT("'数据-取费表'!ai"&amp;$G$1)</f>
        <v>0</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c r="G10" s="1288"/>
      <c r="H10" s="1003" t="s">
        <v>402</v>
      </c>
      <c r="I10" s="1270" t="s">
        <v>700</v>
      </c>
      <c r="J10" s="293">
        <f ca="1">ROUND(IF(M10="押一",J6/12*M11,IF(M10="押二",J6/12*2*M11,IF(M10="押三",J6/12*3*M11,J11*M11))),0)</f>
        <v>0</v>
      </c>
      <c r="K10" s="1281" t="s">
        <v>2118</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3334</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0.02</v>
      </c>
      <c r="G20" s="1299"/>
      <c r="H20" s="925" t="s">
        <v>680</v>
      </c>
      <c r="I20" s="147" t="s">
        <v>730</v>
      </c>
      <c r="J20" s="22">
        <f ca="1">ROUND(M20*M21,0)</f>
        <v>0</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4"/>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4"/>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0" t="s">
        <v>3350</v>
      </c>
      <c r="B45" s="1303"/>
      <c r="C45" s="1372" t="e">
        <f ca="1">ROUND((C68-C40)/10000,4)</f>
        <v>#DIV/0!</v>
      </c>
      <c r="D45" s="3121" t="s">
        <v>3351</v>
      </c>
      <c r="E45" s="1303"/>
      <c r="F45" s="1303"/>
      <c r="O45" s="1306" t="s">
        <v>808</v>
      </c>
      <c r="P45" s="1362"/>
      <c r="Q45" s="1362"/>
      <c r="R45" s="1362"/>
    </row>
    <row r="46" spans="1:18" s="1288" customFormat="1" ht="13.8"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8"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8"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8"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8"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8"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2119</v>
      </c>
      <c r="E53" s="305" t="s">
        <v>701</v>
      </c>
      <c r="F53" s="1050"/>
      <c r="I53" s="1340" t="s">
        <v>836</v>
      </c>
      <c r="J53" s="2002">
        <f ca="1">IF(M47="住宅",IF(D1="——",MAX(J51,L48),MAX(J51,L48-'数据-取费表'!B24)),IF(D1="——",MIN(J51,L48),MIN(J51,L48-'数据-取费表'!B24)))</f>
        <v>0</v>
      </c>
      <c r="K53" s="3543" t="s">
        <v>837</v>
      </c>
      <c r="L53" s="3544"/>
      <c r="O53" s="1321" t="s">
        <v>409</v>
      </c>
      <c r="P53" s="1322" t="s">
        <v>838</v>
      </c>
      <c r="Q53" s="1323" t="e">
        <f ca="1">Q47+Q48</f>
        <v>#DIV/0!</v>
      </c>
      <c r="R53" s="1323" t="s">
        <v>410</v>
      </c>
    </row>
    <row r="54" spans="1:18" s="1288" customFormat="1" ht="13.8"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6"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6"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IF(项目基本情况!B11="自然人","——",IF(D61="按租金收入计税",ROUND(C49*F61/(1+'数据-取费表'!C42),0),IF(D61="按房产原值计税",ROUND(C57*F61*0.7,0),INDIRECT("'数据-取费表'!Aj"&amp;$G$1))))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IF(项目基本情况!B11="自然人","——",ROUND(F62*F63,0))</f>
        <v>0</v>
      </c>
      <c r="D62" s="908" t="s">
        <v>786</v>
      </c>
      <c r="E62" s="893" t="s">
        <v>787</v>
      </c>
      <c r="F62" s="317">
        <f t="shared" si="0"/>
        <v>24</v>
      </c>
      <c r="I62" s="1363" t="s">
        <v>858</v>
      </c>
      <c r="J62" s="610" t="s">
        <v>859</v>
      </c>
      <c r="K62" s="610" t="s">
        <v>860</v>
      </c>
      <c r="L62" s="610" t="s">
        <v>861</v>
      </c>
      <c r="M62" s="1364" t="s">
        <v>862</v>
      </c>
      <c r="O62" s="1321" t="s">
        <v>409</v>
      </c>
      <c r="P62" s="1322" t="s">
        <v>863</v>
      </c>
      <c r="Q62" s="1323" t="e">
        <f ca="1">Q56+Q57</f>
        <v>#DIV/0!</v>
      </c>
      <c r="R62" s="1323" t="s">
        <v>410</v>
      </c>
    </row>
    <row r="63" spans="1:18" s="1288" customFormat="1" ht="13.8"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2"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24.6"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2"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8" thickBot="1">
      <c r="A69" s="894"/>
      <c r="B69" s="895"/>
      <c r="C69" s="298"/>
      <c r="D69" s="913" t="s">
        <v>762</v>
      </c>
      <c r="E69" s="893" t="s">
        <v>763</v>
      </c>
      <c r="F69" s="324">
        <f ca="1">F41</f>
        <v>0</v>
      </c>
      <c r="O69" s="1330" t="s">
        <v>411</v>
      </c>
      <c r="P69" s="1367" t="s">
        <v>872</v>
      </c>
      <c r="Q69" s="1323">
        <f ca="1">C39</f>
        <v>0</v>
      </c>
      <c r="R69" s="1323" t="s">
        <v>818</v>
      </c>
    </row>
    <row r="70" spans="1:18" s="1288" customFormat="1" ht="13.8" thickBot="1">
      <c r="A70" s="897"/>
      <c r="B70" s="898"/>
      <c r="C70" s="302"/>
      <c r="D70" s="909"/>
      <c r="E70" s="893" t="s">
        <v>766</v>
      </c>
      <c r="F70" s="988"/>
      <c r="O70" s="1330" t="s">
        <v>412</v>
      </c>
      <c r="P70" s="1367" t="s">
        <v>873</v>
      </c>
      <c r="Q70" s="1323">
        <f ca="1">C13</f>
        <v>0</v>
      </c>
      <c r="R70" s="1323" t="s">
        <v>818</v>
      </c>
    </row>
    <row r="71" spans="1:18" s="1288" customFormat="1" ht="13.8"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5" customWidth="1"/>
    <col min="2" max="2" width="8.88671875" style="2585"/>
    <col min="3" max="5" width="12.88671875" style="2585" customWidth="1"/>
    <col min="6" max="6" width="47.44140625" style="2585" customWidth="1"/>
    <col min="7" max="7" width="13" style="2579" customWidth="1"/>
    <col min="8" max="8" width="8.88671875" style="2579"/>
    <col min="9" max="9" width="8.88671875" style="2580"/>
    <col min="10" max="10" width="5.77734375" style="2739" customWidth="1"/>
    <col min="11" max="11" width="11.77734375" style="2739" customWidth="1"/>
    <col min="12" max="13" width="10.77734375" style="2739" customWidth="1"/>
    <col min="14" max="14" width="10" style="2739" customWidth="1"/>
    <col min="15" max="16" width="10.44140625" style="2739" bestFit="1" customWidth="1"/>
    <col min="17" max="17" width="10" style="2739" customWidth="1"/>
    <col min="18" max="18" width="10.109375" style="2739" customWidth="1"/>
    <col min="19" max="19" width="10" style="2739" customWidth="1"/>
    <col min="20" max="20" width="26.109375" style="2739" customWidth="1"/>
    <col min="21" max="21" width="8.88671875" style="2739"/>
    <col min="22" max="22" width="8.88671875" style="2580"/>
    <col min="23" max="256" width="8.88671875" style="2585"/>
    <col min="257" max="257" width="9.44140625" style="2585" customWidth="1"/>
    <col min="258" max="258" width="8.88671875" style="2585"/>
    <col min="259" max="261" width="12.88671875" style="2585" customWidth="1"/>
    <col min="262" max="262" width="47.44140625" style="2585" customWidth="1"/>
    <col min="263" max="263" width="13" style="2585" customWidth="1"/>
    <col min="264" max="265" width="8.88671875" style="2585"/>
    <col min="266" max="266" width="5.77734375" style="2585" customWidth="1"/>
    <col min="267" max="267" width="11.77734375" style="2585" customWidth="1"/>
    <col min="268" max="269" width="10.77734375" style="2585" customWidth="1"/>
    <col min="270" max="270" width="10" style="2585" customWidth="1"/>
    <col min="271" max="272" width="10.44140625" style="2585" bestFit="1" customWidth="1"/>
    <col min="273" max="273" width="10" style="2585" customWidth="1"/>
    <col min="274" max="274" width="10.109375" style="2585" customWidth="1"/>
    <col min="275" max="275" width="10" style="2585" customWidth="1"/>
    <col min="276" max="276" width="26.109375" style="2585" customWidth="1"/>
    <col min="277" max="512" width="8.88671875" style="2585"/>
    <col min="513" max="513" width="9.44140625" style="2585" customWidth="1"/>
    <col min="514" max="514" width="8.88671875" style="2585"/>
    <col min="515" max="517" width="12.88671875" style="2585" customWidth="1"/>
    <col min="518" max="518" width="47.44140625" style="2585" customWidth="1"/>
    <col min="519" max="519" width="13" style="2585" customWidth="1"/>
    <col min="520" max="521" width="8.88671875" style="2585"/>
    <col min="522" max="522" width="5.77734375" style="2585" customWidth="1"/>
    <col min="523" max="523" width="11.77734375" style="2585" customWidth="1"/>
    <col min="524" max="525" width="10.77734375" style="2585" customWidth="1"/>
    <col min="526" max="526" width="10" style="2585" customWidth="1"/>
    <col min="527" max="528" width="10.44140625" style="2585" bestFit="1" customWidth="1"/>
    <col min="529" max="529" width="10" style="2585" customWidth="1"/>
    <col min="530" max="530" width="10.109375" style="2585" customWidth="1"/>
    <col min="531" max="531" width="10" style="2585" customWidth="1"/>
    <col min="532" max="532" width="26.109375" style="2585" customWidth="1"/>
    <col min="533" max="768" width="8.88671875" style="2585"/>
    <col min="769" max="769" width="9.44140625" style="2585" customWidth="1"/>
    <col min="770" max="770" width="8.88671875" style="2585"/>
    <col min="771" max="773" width="12.88671875" style="2585" customWidth="1"/>
    <col min="774" max="774" width="47.44140625" style="2585" customWidth="1"/>
    <col min="775" max="775" width="13" style="2585" customWidth="1"/>
    <col min="776" max="777" width="8.88671875" style="2585"/>
    <col min="778" max="778" width="5.77734375" style="2585" customWidth="1"/>
    <col min="779" max="779" width="11.77734375" style="2585" customWidth="1"/>
    <col min="780" max="781" width="10.77734375" style="2585" customWidth="1"/>
    <col min="782" max="782" width="10" style="2585" customWidth="1"/>
    <col min="783" max="784" width="10.44140625" style="2585" bestFit="1" customWidth="1"/>
    <col min="785" max="785" width="10" style="2585" customWidth="1"/>
    <col min="786" max="786" width="10.109375" style="2585" customWidth="1"/>
    <col min="787" max="787" width="10" style="2585" customWidth="1"/>
    <col min="788" max="788" width="26.109375" style="2585" customWidth="1"/>
    <col min="789" max="1024" width="8.88671875" style="2585"/>
    <col min="1025" max="1025" width="9.44140625" style="2585" customWidth="1"/>
    <col min="1026" max="1026" width="8.88671875" style="2585"/>
    <col min="1027" max="1029" width="12.88671875" style="2585" customWidth="1"/>
    <col min="1030" max="1030" width="47.44140625" style="2585" customWidth="1"/>
    <col min="1031" max="1031" width="13" style="2585" customWidth="1"/>
    <col min="1032" max="1033" width="8.88671875" style="2585"/>
    <col min="1034" max="1034" width="5.77734375" style="2585" customWidth="1"/>
    <col min="1035" max="1035" width="11.77734375" style="2585" customWidth="1"/>
    <col min="1036" max="1037" width="10.77734375" style="2585" customWidth="1"/>
    <col min="1038" max="1038" width="10" style="2585" customWidth="1"/>
    <col min="1039" max="1040" width="10.44140625" style="2585" bestFit="1" customWidth="1"/>
    <col min="1041" max="1041" width="10" style="2585" customWidth="1"/>
    <col min="1042" max="1042" width="10.109375" style="2585" customWidth="1"/>
    <col min="1043" max="1043" width="10" style="2585" customWidth="1"/>
    <col min="1044" max="1044" width="26.109375" style="2585" customWidth="1"/>
    <col min="1045" max="1280" width="8.88671875" style="2585"/>
    <col min="1281" max="1281" width="9.44140625" style="2585" customWidth="1"/>
    <col min="1282" max="1282" width="8.88671875" style="2585"/>
    <col min="1283" max="1285" width="12.88671875" style="2585" customWidth="1"/>
    <col min="1286" max="1286" width="47.44140625" style="2585" customWidth="1"/>
    <col min="1287" max="1287" width="13" style="2585" customWidth="1"/>
    <col min="1288" max="1289" width="8.88671875" style="2585"/>
    <col min="1290" max="1290" width="5.77734375" style="2585" customWidth="1"/>
    <col min="1291" max="1291" width="11.77734375" style="2585" customWidth="1"/>
    <col min="1292" max="1293" width="10.77734375" style="2585" customWidth="1"/>
    <col min="1294" max="1294" width="10" style="2585" customWidth="1"/>
    <col min="1295" max="1296" width="10.44140625" style="2585" bestFit="1" customWidth="1"/>
    <col min="1297" max="1297" width="10" style="2585" customWidth="1"/>
    <col min="1298" max="1298" width="10.109375" style="2585" customWidth="1"/>
    <col min="1299" max="1299" width="10" style="2585" customWidth="1"/>
    <col min="1300" max="1300" width="26.109375" style="2585" customWidth="1"/>
    <col min="1301" max="1536" width="8.88671875" style="2585"/>
    <col min="1537" max="1537" width="9.44140625" style="2585" customWidth="1"/>
    <col min="1538" max="1538" width="8.88671875" style="2585"/>
    <col min="1539" max="1541" width="12.88671875" style="2585" customWidth="1"/>
    <col min="1542" max="1542" width="47.44140625" style="2585" customWidth="1"/>
    <col min="1543" max="1543" width="13" style="2585" customWidth="1"/>
    <col min="1544" max="1545" width="8.88671875" style="2585"/>
    <col min="1546" max="1546" width="5.77734375" style="2585" customWidth="1"/>
    <col min="1547" max="1547" width="11.77734375" style="2585" customWidth="1"/>
    <col min="1548" max="1549" width="10.77734375" style="2585" customWidth="1"/>
    <col min="1550" max="1550" width="10" style="2585" customWidth="1"/>
    <col min="1551" max="1552" width="10.44140625" style="2585" bestFit="1" customWidth="1"/>
    <col min="1553" max="1553" width="10" style="2585" customWidth="1"/>
    <col min="1554" max="1554" width="10.109375" style="2585" customWidth="1"/>
    <col min="1555" max="1555" width="10" style="2585" customWidth="1"/>
    <col min="1556" max="1556" width="26.109375" style="2585" customWidth="1"/>
    <col min="1557" max="1792" width="8.88671875" style="2585"/>
    <col min="1793" max="1793" width="9.44140625" style="2585" customWidth="1"/>
    <col min="1794" max="1794" width="8.88671875" style="2585"/>
    <col min="1795" max="1797" width="12.88671875" style="2585" customWidth="1"/>
    <col min="1798" max="1798" width="47.44140625" style="2585" customWidth="1"/>
    <col min="1799" max="1799" width="13" style="2585" customWidth="1"/>
    <col min="1800" max="1801" width="8.88671875" style="2585"/>
    <col min="1802" max="1802" width="5.77734375" style="2585" customWidth="1"/>
    <col min="1803" max="1803" width="11.77734375" style="2585" customWidth="1"/>
    <col min="1804" max="1805" width="10.77734375" style="2585" customWidth="1"/>
    <col min="1806" max="1806" width="10" style="2585" customWidth="1"/>
    <col min="1807" max="1808" width="10.44140625" style="2585" bestFit="1" customWidth="1"/>
    <col min="1809" max="1809" width="10" style="2585" customWidth="1"/>
    <col min="1810" max="1810" width="10.109375" style="2585" customWidth="1"/>
    <col min="1811" max="1811" width="10" style="2585" customWidth="1"/>
    <col min="1812" max="1812" width="26.109375" style="2585" customWidth="1"/>
    <col min="1813" max="2048" width="8.88671875" style="2585"/>
    <col min="2049" max="2049" width="9.44140625" style="2585" customWidth="1"/>
    <col min="2050" max="2050" width="8.88671875" style="2585"/>
    <col min="2051" max="2053" width="12.88671875" style="2585" customWidth="1"/>
    <col min="2054" max="2054" width="47.44140625" style="2585" customWidth="1"/>
    <col min="2055" max="2055" width="13" style="2585" customWidth="1"/>
    <col min="2056" max="2057" width="8.88671875" style="2585"/>
    <col min="2058" max="2058" width="5.77734375" style="2585" customWidth="1"/>
    <col min="2059" max="2059" width="11.77734375" style="2585" customWidth="1"/>
    <col min="2060" max="2061" width="10.77734375" style="2585" customWidth="1"/>
    <col min="2062" max="2062" width="10" style="2585" customWidth="1"/>
    <col min="2063" max="2064" width="10.44140625" style="2585" bestFit="1" customWidth="1"/>
    <col min="2065" max="2065" width="10" style="2585" customWidth="1"/>
    <col min="2066" max="2066" width="10.109375" style="2585" customWidth="1"/>
    <col min="2067" max="2067" width="10" style="2585" customWidth="1"/>
    <col min="2068" max="2068" width="26.109375" style="2585" customWidth="1"/>
    <col min="2069" max="2304" width="8.88671875" style="2585"/>
    <col min="2305" max="2305" width="9.44140625" style="2585" customWidth="1"/>
    <col min="2306" max="2306" width="8.88671875" style="2585"/>
    <col min="2307" max="2309" width="12.88671875" style="2585" customWidth="1"/>
    <col min="2310" max="2310" width="47.44140625" style="2585" customWidth="1"/>
    <col min="2311" max="2311" width="13" style="2585" customWidth="1"/>
    <col min="2312" max="2313" width="8.88671875" style="2585"/>
    <col min="2314" max="2314" width="5.77734375" style="2585" customWidth="1"/>
    <col min="2315" max="2315" width="11.77734375" style="2585" customWidth="1"/>
    <col min="2316" max="2317" width="10.77734375" style="2585" customWidth="1"/>
    <col min="2318" max="2318" width="10" style="2585" customWidth="1"/>
    <col min="2319" max="2320" width="10.44140625" style="2585" bestFit="1" customWidth="1"/>
    <col min="2321" max="2321" width="10" style="2585" customWidth="1"/>
    <col min="2322" max="2322" width="10.109375" style="2585" customWidth="1"/>
    <col min="2323" max="2323" width="10" style="2585" customWidth="1"/>
    <col min="2324" max="2324" width="26.109375" style="2585" customWidth="1"/>
    <col min="2325" max="2560" width="8.88671875" style="2585"/>
    <col min="2561" max="2561" width="9.44140625" style="2585" customWidth="1"/>
    <col min="2562" max="2562" width="8.88671875" style="2585"/>
    <col min="2563" max="2565" width="12.88671875" style="2585" customWidth="1"/>
    <col min="2566" max="2566" width="47.44140625" style="2585" customWidth="1"/>
    <col min="2567" max="2567" width="13" style="2585" customWidth="1"/>
    <col min="2568" max="2569" width="8.88671875" style="2585"/>
    <col min="2570" max="2570" width="5.77734375" style="2585" customWidth="1"/>
    <col min="2571" max="2571" width="11.77734375" style="2585" customWidth="1"/>
    <col min="2572" max="2573" width="10.77734375" style="2585" customWidth="1"/>
    <col min="2574" max="2574" width="10" style="2585" customWidth="1"/>
    <col min="2575" max="2576" width="10.44140625" style="2585" bestFit="1" customWidth="1"/>
    <col min="2577" max="2577" width="10" style="2585" customWidth="1"/>
    <col min="2578" max="2578" width="10.109375" style="2585" customWidth="1"/>
    <col min="2579" max="2579" width="10" style="2585" customWidth="1"/>
    <col min="2580" max="2580" width="26.109375" style="2585" customWidth="1"/>
    <col min="2581" max="2816" width="8.88671875" style="2585"/>
    <col min="2817" max="2817" width="9.44140625" style="2585" customWidth="1"/>
    <col min="2818" max="2818" width="8.88671875" style="2585"/>
    <col min="2819" max="2821" width="12.88671875" style="2585" customWidth="1"/>
    <col min="2822" max="2822" width="47.44140625" style="2585" customWidth="1"/>
    <col min="2823" max="2823" width="13" style="2585" customWidth="1"/>
    <col min="2824" max="2825" width="8.88671875" style="2585"/>
    <col min="2826" max="2826" width="5.77734375" style="2585" customWidth="1"/>
    <col min="2827" max="2827" width="11.77734375" style="2585" customWidth="1"/>
    <col min="2828" max="2829" width="10.77734375" style="2585" customWidth="1"/>
    <col min="2830" max="2830" width="10" style="2585" customWidth="1"/>
    <col min="2831" max="2832" width="10.44140625" style="2585" bestFit="1" customWidth="1"/>
    <col min="2833" max="2833" width="10" style="2585" customWidth="1"/>
    <col min="2834" max="2834" width="10.109375" style="2585" customWidth="1"/>
    <col min="2835" max="2835" width="10" style="2585" customWidth="1"/>
    <col min="2836" max="2836" width="26.109375" style="2585" customWidth="1"/>
    <col min="2837" max="3072" width="8.88671875" style="2585"/>
    <col min="3073" max="3073" width="9.44140625" style="2585" customWidth="1"/>
    <col min="3074" max="3074" width="8.88671875" style="2585"/>
    <col min="3075" max="3077" width="12.88671875" style="2585" customWidth="1"/>
    <col min="3078" max="3078" width="47.44140625" style="2585" customWidth="1"/>
    <col min="3079" max="3079" width="13" style="2585" customWidth="1"/>
    <col min="3080" max="3081" width="8.88671875" style="2585"/>
    <col min="3082" max="3082" width="5.77734375" style="2585" customWidth="1"/>
    <col min="3083" max="3083" width="11.77734375" style="2585" customWidth="1"/>
    <col min="3084" max="3085" width="10.77734375" style="2585" customWidth="1"/>
    <col min="3086" max="3086" width="10" style="2585" customWidth="1"/>
    <col min="3087" max="3088" width="10.44140625" style="2585" bestFit="1" customWidth="1"/>
    <col min="3089" max="3089" width="10" style="2585" customWidth="1"/>
    <col min="3090" max="3090" width="10.109375" style="2585" customWidth="1"/>
    <col min="3091" max="3091" width="10" style="2585" customWidth="1"/>
    <col min="3092" max="3092" width="26.109375" style="2585" customWidth="1"/>
    <col min="3093" max="3328" width="8.88671875" style="2585"/>
    <col min="3329" max="3329" width="9.44140625" style="2585" customWidth="1"/>
    <col min="3330" max="3330" width="8.88671875" style="2585"/>
    <col min="3331" max="3333" width="12.88671875" style="2585" customWidth="1"/>
    <col min="3334" max="3334" width="47.44140625" style="2585" customWidth="1"/>
    <col min="3335" max="3335" width="13" style="2585" customWidth="1"/>
    <col min="3336" max="3337" width="8.88671875" style="2585"/>
    <col min="3338" max="3338" width="5.77734375" style="2585" customWidth="1"/>
    <col min="3339" max="3339" width="11.77734375" style="2585" customWidth="1"/>
    <col min="3340" max="3341" width="10.77734375" style="2585" customWidth="1"/>
    <col min="3342" max="3342" width="10" style="2585" customWidth="1"/>
    <col min="3343" max="3344" width="10.44140625" style="2585" bestFit="1" customWidth="1"/>
    <col min="3345" max="3345" width="10" style="2585" customWidth="1"/>
    <col min="3346" max="3346" width="10.109375" style="2585" customWidth="1"/>
    <col min="3347" max="3347" width="10" style="2585" customWidth="1"/>
    <col min="3348" max="3348" width="26.109375" style="2585" customWidth="1"/>
    <col min="3349" max="3584" width="8.88671875" style="2585"/>
    <col min="3585" max="3585" width="9.44140625" style="2585" customWidth="1"/>
    <col min="3586" max="3586" width="8.88671875" style="2585"/>
    <col min="3587" max="3589" width="12.88671875" style="2585" customWidth="1"/>
    <col min="3590" max="3590" width="47.44140625" style="2585" customWidth="1"/>
    <col min="3591" max="3591" width="13" style="2585" customWidth="1"/>
    <col min="3592" max="3593" width="8.88671875" style="2585"/>
    <col min="3594" max="3594" width="5.77734375" style="2585" customWidth="1"/>
    <col min="3595" max="3595" width="11.77734375" style="2585" customWidth="1"/>
    <col min="3596" max="3597" width="10.77734375" style="2585" customWidth="1"/>
    <col min="3598" max="3598" width="10" style="2585" customWidth="1"/>
    <col min="3599" max="3600" width="10.44140625" style="2585" bestFit="1" customWidth="1"/>
    <col min="3601" max="3601" width="10" style="2585" customWidth="1"/>
    <col min="3602" max="3602" width="10.109375" style="2585" customWidth="1"/>
    <col min="3603" max="3603" width="10" style="2585" customWidth="1"/>
    <col min="3604" max="3604" width="26.109375" style="2585" customWidth="1"/>
    <col min="3605" max="3840" width="8.88671875" style="2585"/>
    <col min="3841" max="3841" width="9.44140625" style="2585" customWidth="1"/>
    <col min="3842" max="3842" width="8.88671875" style="2585"/>
    <col min="3843" max="3845" width="12.88671875" style="2585" customWidth="1"/>
    <col min="3846" max="3846" width="47.44140625" style="2585" customWidth="1"/>
    <col min="3847" max="3847" width="13" style="2585" customWidth="1"/>
    <col min="3848" max="3849" width="8.88671875" style="2585"/>
    <col min="3850" max="3850" width="5.77734375" style="2585" customWidth="1"/>
    <col min="3851" max="3851" width="11.77734375" style="2585" customWidth="1"/>
    <col min="3852" max="3853" width="10.77734375" style="2585" customWidth="1"/>
    <col min="3854" max="3854" width="10" style="2585" customWidth="1"/>
    <col min="3855" max="3856" width="10.44140625" style="2585" bestFit="1" customWidth="1"/>
    <col min="3857" max="3857" width="10" style="2585" customWidth="1"/>
    <col min="3858" max="3858" width="10.109375" style="2585" customWidth="1"/>
    <col min="3859" max="3859" width="10" style="2585" customWidth="1"/>
    <col min="3860" max="3860" width="26.109375" style="2585" customWidth="1"/>
    <col min="3861" max="4096" width="8.88671875" style="2585"/>
    <col min="4097" max="4097" width="9.44140625" style="2585" customWidth="1"/>
    <col min="4098" max="4098" width="8.88671875" style="2585"/>
    <col min="4099" max="4101" width="12.88671875" style="2585" customWidth="1"/>
    <col min="4102" max="4102" width="47.44140625" style="2585" customWidth="1"/>
    <col min="4103" max="4103" width="13" style="2585" customWidth="1"/>
    <col min="4104" max="4105" width="8.88671875" style="2585"/>
    <col min="4106" max="4106" width="5.77734375" style="2585" customWidth="1"/>
    <col min="4107" max="4107" width="11.77734375" style="2585" customWidth="1"/>
    <col min="4108" max="4109" width="10.77734375" style="2585" customWidth="1"/>
    <col min="4110" max="4110" width="10" style="2585" customWidth="1"/>
    <col min="4111" max="4112" width="10.44140625" style="2585" bestFit="1" customWidth="1"/>
    <col min="4113" max="4113" width="10" style="2585" customWidth="1"/>
    <col min="4114" max="4114" width="10.109375" style="2585" customWidth="1"/>
    <col min="4115" max="4115" width="10" style="2585" customWidth="1"/>
    <col min="4116" max="4116" width="26.109375" style="2585" customWidth="1"/>
    <col min="4117" max="4352" width="8.88671875" style="2585"/>
    <col min="4353" max="4353" width="9.44140625" style="2585" customWidth="1"/>
    <col min="4354" max="4354" width="8.88671875" style="2585"/>
    <col min="4355" max="4357" width="12.88671875" style="2585" customWidth="1"/>
    <col min="4358" max="4358" width="47.44140625" style="2585" customWidth="1"/>
    <col min="4359" max="4359" width="13" style="2585" customWidth="1"/>
    <col min="4360" max="4361" width="8.88671875" style="2585"/>
    <col min="4362" max="4362" width="5.77734375" style="2585" customWidth="1"/>
    <col min="4363" max="4363" width="11.77734375" style="2585" customWidth="1"/>
    <col min="4364" max="4365" width="10.77734375" style="2585" customWidth="1"/>
    <col min="4366" max="4366" width="10" style="2585" customWidth="1"/>
    <col min="4367" max="4368" width="10.44140625" style="2585" bestFit="1" customWidth="1"/>
    <col min="4369" max="4369" width="10" style="2585" customWidth="1"/>
    <col min="4370" max="4370" width="10.109375" style="2585" customWidth="1"/>
    <col min="4371" max="4371" width="10" style="2585" customWidth="1"/>
    <col min="4372" max="4372" width="26.109375" style="2585" customWidth="1"/>
    <col min="4373" max="4608" width="8.88671875" style="2585"/>
    <col min="4609" max="4609" width="9.44140625" style="2585" customWidth="1"/>
    <col min="4610" max="4610" width="8.88671875" style="2585"/>
    <col min="4611" max="4613" width="12.88671875" style="2585" customWidth="1"/>
    <col min="4614" max="4614" width="47.44140625" style="2585" customWidth="1"/>
    <col min="4615" max="4615" width="13" style="2585" customWidth="1"/>
    <col min="4616" max="4617" width="8.88671875" style="2585"/>
    <col min="4618" max="4618" width="5.77734375" style="2585" customWidth="1"/>
    <col min="4619" max="4619" width="11.77734375" style="2585" customWidth="1"/>
    <col min="4620" max="4621" width="10.77734375" style="2585" customWidth="1"/>
    <col min="4622" max="4622" width="10" style="2585" customWidth="1"/>
    <col min="4623" max="4624" width="10.44140625" style="2585" bestFit="1" customWidth="1"/>
    <col min="4625" max="4625" width="10" style="2585" customWidth="1"/>
    <col min="4626" max="4626" width="10.109375" style="2585" customWidth="1"/>
    <col min="4627" max="4627" width="10" style="2585" customWidth="1"/>
    <col min="4628" max="4628" width="26.109375" style="2585" customWidth="1"/>
    <col min="4629" max="4864" width="8.88671875" style="2585"/>
    <col min="4865" max="4865" width="9.44140625" style="2585" customWidth="1"/>
    <col min="4866" max="4866" width="8.88671875" style="2585"/>
    <col min="4867" max="4869" width="12.88671875" style="2585" customWidth="1"/>
    <col min="4870" max="4870" width="47.44140625" style="2585" customWidth="1"/>
    <col min="4871" max="4871" width="13" style="2585" customWidth="1"/>
    <col min="4872" max="4873" width="8.88671875" style="2585"/>
    <col min="4874" max="4874" width="5.77734375" style="2585" customWidth="1"/>
    <col min="4875" max="4875" width="11.77734375" style="2585" customWidth="1"/>
    <col min="4876" max="4877" width="10.77734375" style="2585" customWidth="1"/>
    <col min="4878" max="4878" width="10" style="2585" customWidth="1"/>
    <col min="4879" max="4880" width="10.44140625" style="2585" bestFit="1" customWidth="1"/>
    <col min="4881" max="4881" width="10" style="2585" customWidth="1"/>
    <col min="4882" max="4882" width="10.109375" style="2585" customWidth="1"/>
    <col min="4883" max="4883" width="10" style="2585" customWidth="1"/>
    <col min="4884" max="4884" width="26.109375" style="2585" customWidth="1"/>
    <col min="4885" max="5120" width="8.88671875" style="2585"/>
    <col min="5121" max="5121" width="9.44140625" style="2585" customWidth="1"/>
    <col min="5122" max="5122" width="8.88671875" style="2585"/>
    <col min="5123" max="5125" width="12.88671875" style="2585" customWidth="1"/>
    <col min="5126" max="5126" width="47.44140625" style="2585" customWidth="1"/>
    <col min="5127" max="5127" width="13" style="2585" customWidth="1"/>
    <col min="5128" max="5129" width="8.88671875" style="2585"/>
    <col min="5130" max="5130" width="5.77734375" style="2585" customWidth="1"/>
    <col min="5131" max="5131" width="11.77734375" style="2585" customWidth="1"/>
    <col min="5132" max="5133" width="10.77734375" style="2585" customWidth="1"/>
    <col min="5134" max="5134" width="10" style="2585" customWidth="1"/>
    <col min="5135" max="5136" width="10.44140625" style="2585" bestFit="1" customWidth="1"/>
    <col min="5137" max="5137" width="10" style="2585" customWidth="1"/>
    <col min="5138" max="5138" width="10.109375" style="2585" customWidth="1"/>
    <col min="5139" max="5139" width="10" style="2585" customWidth="1"/>
    <col min="5140" max="5140" width="26.109375" style="2585" customWidth="1"/>
    <col min="5141" max="5376" width="8.88671875" style="2585"/>
    <col min="5377" max="5377" width="9.44140625" style="2585" customWidth="1"/>
    <col min="5378" max="5378" width="8.88671875" style="2585"/>
    <col min="5379" max="5381" width="12.88671875" style="2585" customWidth="1"/>
    <col min="5382" max="5382" width="47.44140625" style="2585" customWidth="1"/>
    <col min="5383" max="5383" width="13" style="2585" customWidth="1"/>
    <col min="5384" max="5385" width="8.88671875" style="2585"/>
    <col min="5386" max="5386" width="5.77734375" style="2585" customWidth="1"/>
    <col min="5387" max="5387" width="11.77734375" style="2585" customWidth="1"/>
    <col min="5388" max="5389" width="10.77734375" style="2585" customWidth="1"/>
    <col min="5390" max="5390" width="10" style="2585" customWidth="1"/>
    <col min="5391" max="5392" width="10.44140625" style="2585" bestFit="1" customWidth="1"/>
    <col min="5393" max="5393" width="10" style="2585" customWidth="1"/>
    <col min="5394" max="5394" width="10.109375" style="2585" customWidth="1"/>
    <col min="5395" max="5395" width="10" style="2585" customWidth="1"/>
    <col min="5396" max="5396" width="26.109375" style="2585" customWidth="1"/>
    <col min="5397" max="5632" width="8.88671875" style="2585"/>
    <col min="5633" max="5633" width="9.44140625" style="2585" customWidth="1"/>
    <col min="5634" max="5634" width="8.88671875" style="2585"/>
    <col min="5635" max="5637" width="12.88671875" style="2585" customWidth="1"/>
    <col min="5638" max="5638" width="47.44140625" style="2585" customWidth="1"/>
    <col min="5639" max="5639" width="13" style="2585" customWidth="1"/>
    <col min="5640" max="5641" width="8.88671875" style="2585"/>
    <col min="5642" max="5642" width="5.77734375" style="2585" customWidth="1"/>
    <col min="5643" max="5643" width="11.77734375" style="2585" customWidth="1"/>
    <col min="5644" max="5645" width="10.77734375" style="2585" customWidth="1"/>
    <col min="5646" max="5646" width="10" style="2585" customWidth="1"/>
    <col min="5647" max="5648" width="10.44140625" style="2585" bestFit="1" customWidth="1"/>
    <col min="5649" max="5649" width="10" style="2585" customWidth="1"/>
    <col min="5650" max="5650" width="10.109375" style="2585" customWidth="1"/>
    <col min="5651" max="5651" width="10" style="2585" customWidth="1"/>
    <col min="5652" max="5652" width="26.109375" style="2585" customWidth="1"/>
    <col min="5653" max="5888" width="8.88671875" style="2585"/>
    <col min="5889" max="5889" width="9.44140625" style="2585" customWidth="1"/>
    <col min="5890" max="5890" width="8.88671875" style="2585"/>
    <col min="5891" max="5893" width="12.88671875" style="2585" customWidth="1"/>
    <col min="5894" max="5894" width="47.44140625" style="2585" customWidth="1"/>
    <col min="5895" max="5895" width="13" style="2585" customWidth="1"/>
    <col min="5896" max="5897" width="8.88671875" style="2585"/>
    <col min="5898" max="5898" width="5.77734375" style="2585" customWidth="1"/>
    <col min="5899" max="5899" width="11.77734375" style="2585" customWidth="1"/>
    <col min="5900" max="5901" width="10.77734375" style="2585" customWidth="1"/>
    <col min="5902" max="5902" width="10" style="2585" customWidth="1"/>
    <col min="5903" max="5904" width="10.44140625" style="2585" bestFit="1" customWidth="1"/>
    <col min="5905" max="5905" width="10" style="2585" customWidth="1"/>
    <col min="5906" max="5906" width="10.109375" style="2585" customWidth="1"/>
    <col min="5907" max="5907" width="10" style="2585" customWidth="1"/>
    <col min="5908" max="5908" width="26.109375" style="2585" customWidth="1"/>
    <col min="5909" max="6144" width="8.88671875" style="2585"/>
    <col min="6145" max="6145" width="9.44140625" style="2585" customWidth="1"/>
    <col min="6146" max="6146" width="8.88671875" style="2585"/>
    <col min="6147" max="6149" width="12.88671875" style="2585" customWidth="1"/>
    <col min="6150" max="6150" width="47.44140625" style="2585" customWidth="1"/>
    <col min="6151" max="6151" width="13" style="2585" customWidth="1"/>
    <col min="6152" max="6153" width="8.88671875" style="2585"/>
    <col min="6154" max="6154" width="5.77734375" style="2585" customWidth="1"/>
    <col min="6155" max="6155" width="11.77734375" style="2585" customWidth="1"/>
    <col min="6156" max="6157" width="10.77734375" style="2585" customWidth="1"/>
    <col min="6158" max="6158" width="10" style="2585" customWidth="1"/>
    <col min="6159" max="6160" width="10.44140625" style="2585" bestFit="1" customWidth="1"/>
    <col min="6161" max="6161" width="10" style="2585" customWidth="1"/>
    <col min="6162" max="6162" width="10.109375" style="2585" customWidth="1"/>
    <col min="6163" max="6163" width="10" style="2585" customWidth="1"/>
    <col min="6164" max="6164" width="26.109375" style="2585" customWidth="1"/>
    <col min="6165" max="6400" width="8.88671875" style="2585"/>
    <col min="6401" max="6401" width="9.44140625" style="2585" customWidth="1"/>
    <col min="6402" max="6402" width="8.88671875" style="2585"/>
    <col min="6403" max="6405" width="12.88671875" style="2585" customWidth="1"/>
    <col min="6406" max="6406" width="47.44140625" style="2585" customWidth="1"/>
    <col min="6407" max="6407" width="13" style="2585" customWidth="1"/>
    <col min="6408" max="6409" width="8.88671875" style="2585"/>
    <col min="6410" max="6410" width="5.77734375" style="2585" customWidth="1"/>
    <col min="6411" max="6411" width="11.77734375" style="2585" customWidth="1"/>
    <col min="6412" max="6413" width="10.77734375" style="2585" customWidth="1"/>
    <col min="6414" max="6414" width="10" style="2585" customWidth="1"/>
    <col min="6415" max="6416" width="10.44140625" style="2585" bestFit="1" customWidth="1"/>
    <col min="6417" max="6417" width="10" style="2585" customWidth="1"/>
    <col min="6418" max="6418" width="10.109375" style="2585" customWidth="1"/>
    <col min="6419" max="6419" width="10" style="2585" customWidth="1"/>
    <col min="6420" max="6420" width="26.109375" style="2585" customWidth="1"/>
    <col min="6421" max="6656" width="8.88671875" style="2585"/>
    <col min="6657" max="6657" width="9.44140625" style="2585" customWidth="1"/>
    <col min="6658" max="6658" width="8.88671875" style="2585"/>
    <col min="6659" max="6661" width="12.88671875" style="2585" customWidth="1"/>
    <col min="6662" max="6662" width="47.44140625" style="2585" customWidth="1"/>
    <col min="6663" max="6663" width="13" style="2585" customWidth="1"/>
    <col min="6664" max="6665" width="8.88671875" style="2585"/>
    <col min="6666" max="6666" width="5.77734375" style="2585" customWidth="1"/>
    <col min="6667" max="6667" width="11.77734375" style="2585" customWidth="1"/>
    <col min="6668" max="6669" width="10.77734375" style="2585" customWidth="1"/>
    <col min="6670" max="6670" width="10" style="2585" customWidth="1"/>
    <col min="6671" max="6672" width="10.44140625" style="2585" bestFit="1" customWidth="1"/>
    <col min="6673" max="6673" width="10" style="2585" customWidth="1"/>
    <col min="6674" max="6674" width="10.109375" style="2585" customWidth="1"/>
    <col min="6675" max="6675" width="10" style="2585" customWidth="1"/>
    <col min="6676" max="6676" width="26.109375" style="2585" customWidth="1"/>
    <col min="6677" max="6912" width="8.88671875" style="2585"/>
    <col min="6913" max="6913" width="9.44140625" style="2585" customWidth="1"/>
    <col min="6914" max="6914" width="8.88671875" style="2585"/>
    <col min="6915" max="6917" width="12.88671875" style="2585" customWidth="1"/>
    <col min="6918" max="6918" width="47.44140625" style="2585" customWidth="1"/>
    <col min="6919" max="6919" width="13" style="2585" customWidth="1"/>
    <col min="6920" max="6921" width="8.88671875" style="2585"/>
    <col min="6922" max="6922" width="5.77734375" style="2585" customWidth="1"/>
    <col min="6923" max="6923" width="11.77734375" style="2585" customWidth="1"/>
    <col min="6924" max="6925" width="10.77734375" style="2585" customWidth="1"/>
    <col min="6926" max="6926" width="10" style="2585" customWidth="1"/>
    <col min="6927" max="6928" width="10.44140625" style="2585" bestFit="1" customWidth="1"/>
    <col min="6929" max="6929" width="10" style="2585" customWidth="1"/>
    <col min="6930" max="6930" width="10.109375" style="2585" customWidth="1"/>
    <col min="6931" max="6931" width="10" style="2585" customWidth="1"/>
    <col min="6932" max="6932" width="26.109375" style="2585" customWidth="1"/>
    <col min="6933" max="7168" width="8.88671875" style="2585"/>
    <col min="7169" max="7169" width="9.44140625" style="2585" customWidth="1"/>
    <col min="7170" max="7170" width="8.88671875" style="2585"/>
    <col min="7171" max="7173" width="12.88671875" style="2585" customWidth="1"/>
    <col min="7174" max="7174" width="47.44140625" style="2585" customWidth="1"/>
    <col min="7175" max="7175" width="13" style="2585" customWidth="1"/>
    <col min="7176" max="7177" width="8.88671875" style="2585"/>
    <col min="7178" max="7178" width="5.77734375" style="2585" customWidth="1"/>
    <col min="7179" max="7179" width="11.77734375" style="2585" customWidth="1"/>
    <col min="7180" max="7181" width="10.77734375" style="2585" customWidth="1"/>
    <col min="7182" max="7182" width="10" style="2585" customWidth="1"/>
    <col min="7183" max="7184" width="10.44140625" style="2585" bestFit="1" customWidth="1"/>
    <col min="7185" max="7185" width="10" style="2585" customWidth="1"/>
    <col min="7186" max="7186" width="10.109375" style="2585" customWidth="1"/>
    <col min="7187" max="7187" width="10" style="2585" customWidth="1"/>
    <col min="7188" max="7188" width="26.109375" style="2585" customWidth="1"/>
    <col min="7189" max="7424" width="8.88671875" style="2585"/>
    <col min="7425" max="7425" width="9.44140625" style="2585" customWidth="1"/>
    <col min="7426" max="7426" width="8.88671875" style="2585"/>
    <col min="7427" max="7429" width="12.88671875" style="2585" customWidth="1"/>
    <col min="7430" max="7430" width="47.44140625" style="2585" customWidth="1"/>
    <col min="7431" max="7431" width="13" style="2585" customWidth="1"/>
    <col min="7432" max="7433" width="8.88671875" style="2585"/>
    <col min="7434" max="7434" width="5.77734375" style="2585" customWidth="1"/>
    <col min="7435" max="7435" width="11.77734375" style="2585" customWidth="1"/>
    <col min="7436" max="7437" width="10.77734375" style="2585" customWidth="1"/>
    <col min="7438" max="7438" width="10" style="2585" customWidth="1"/>
    <col min="7439" max="7440" width="10.44140625" style="2585" bestFit="1" customWidth="1"/>
    <col min="7441" max="7441" width="10" style="2585" customWidth="1"/>
    <col min="7442" max="7442" width="10.109375" style="2585" customWidth="1"/>
    <col min="7443" max="7443" width="10" style="2585" customWidth="1"/>
    <col min="7444" max="7444" width="26.109375" style="2585" customWidth="1"/>
    <col min="7445" max="7680" width="8.88671875" style="2585"/>
    <col min="7681" max="7681" width="9.44140625" style="2585" customWidth="1"/>
    <col min="7682" max="7682" width="8.88671875" style="2585"/>
    <col min="7683" max="7685" width="12.88671875" style="2585" customWidth="1"/>
    <col min="7686" max="7686" width="47.44140625" style="2585" customWidth="1"/>
    <col min="7687" max="7687" width="13" style="2585" customWidth="1"/>
    <col min="7688" max="7689" width="8.88671875" style="2585"/>
    <col min="7690" max="7690" width="5.77734375" style="2585" customWidth="1"/>
    <col min="7691" max="7691" width="11.77734375" style="2585" customWidth="1"/>
    <col min="7692" max="7693" width="10.77734375" style="2585" customWidth="1"/>
    <col min="7694" max="7694" width="10" style="2585" customWidth="1"/>
    <col min="7695" max="7696" width="10.44140625" style="2585" bestFit="1" customWidth="1"/>
    <col min="7697" max="7697" width="10" style="2585" customWidth="1"/>
    <col min="7698" max="7698" width="10.109375" style="2585" customWidth="1"/>
    <col min="7699" max="7699" width="10" style="2585" customWidth="1"/>
    <col min="7700" max="7700" width="26.109375" style="2585" customWidth="1"/>
    <col min="7701" max="7936" width="8.88671875" style="2585"/>
    <col min="7937" max="7937" width="9.44140625" style="2585" customWidth="1"/>
    <col min="7938" max="7938" width="8.88671875" style="2585"/>
    <col min="7939" max="7941" width="12.88671875" style="2585" customWidth="1"/>
    <col min="7942" max="7942" width="47.44140625" style="2585" customWidth="1"/>
    <col min="7943" max="7943" width="13" style="2585" customWidth="1"/>
    <col min="7944" max="7945" width="8.88671875" style="2585"/>
    <col min="7946" max="7946" width="5.77734375" style="2585" customWidth="1"/>
    <col min="7947" max="7947" width="11.77734375" style="2585" customWidth="1"/>
    <col min="7948" max="7949" width="10.77734375" style="2585" customWidth="1"/>
    <col min="7950" max="7950" width="10" style="2585" customWidth="1"/>
    <col min="7951" max="7952" width="10.44140625" style="2585" bestFit="1" customWidth="1"/>
    <col min="7953" max="7953" width="10" style="2585" customWidth="1"/>
    <col min="7954" max="7954" width="10.109375" style="2585" customWidth="1"/>
    <col min="7955" max="7955" width="10" style="2585" customWidth="1"/>
    <col min="7956" max="7956" width="26.109375" style="2585" customWidth="1"/>
    <col min="7957" max="8192" width="8.88671875" style="2585"/>
    <col min="8193" max="8193" width="9.44140625" style="2585" customWidth="1"/>
    <col min="8194" max="8194" width="8.88671875" style="2585"/>
    <col min="8195" max="8197" width="12.88671875" style="2585" customWidth="1"/>
    <col min="8198" max="8198" width="47.44140625" style="2585" customWidth="1"/>
    <col min="8199" max="8199" width="13" style="2585" customWidth="1"/>
    <col min="8200" max="8201" width="8.88671875" style="2585"/>
    <col min="8202" max="8202" width="5.77734375" style="2585" customWidth="1"/>
    <col min="8203" max="8203" width="11.77734375" style="2585" customWidth="1"/>
    <col min="8204" max="8205" width="10.77734375" style="2585" customWidth="1"/>
    <col min="8206" max="8206" width="10" style="2585" customWidth="1"/>
    <col min="8207" max="8208" width="10.44140625" style="2585" bestFit="1" customWidth="1"/>
    <col min="8209" max="8209" width="10" style="2585" customWidth="1"/>
    <col min="8210" max="8210" width="10.109375" style="2585" customWidth="1"/>
    <col min="8211" max="8211" width="10" style="2585" customWidth="1"/>
    <col min="8212" max="8212" width="26.109375" style="2585" customWidth="1"/>
    <col min="8213" max="8448" width="8.88671875" style="2585"/>
    <col min="8449" max="8449" width="9.44140625" style="2585" customWidth="1"/>
    <col min="8450" max="8450" width="8.88671875" style="2585"/>
    <col min="8451" max="8453" width="12.88671875" style="2585" customWidth="1"/>
    <col min="8454" max="8454" width="47.44140625" style="2585" customWidth="1"/>
    <col min="8455" max="8455" width="13" style="2585" customWidth="1"/>
    <col min="8456" max="8457" width="8.88671875" style="2585"/>
    <col min="8458" max="8458" width="5.77734375" style="2585" customWidth="1"/>
    <col min="8459" max="8459" width="11.77734375" style="2585" customWidth="1"/>
    <col min="8460" max="8461" width="10.77734375" style="2585" customWidth="1"/>
    <col min="8462" max="8462" width="10" style="2585" customWidth="1"/>
    <col min="8463" max="8464" width="10.44140625" style="2585" bestFit="1" customWidth="1"/>
    <col min="8465" max="8465" width="10" style="2585" customWidth="1"/>
    <col min="8466" max="8466" width="10.109375" style="2585" customWidth="1"/>
    <col min="8467" max="8467" width="10" style="2585" customWidth="1"/>
    <col min="8468" max="8468" width="26.109375" style="2585" customWidth="1"/>
    <col min="8469" max="8704" width="8.88671875" style="2585"/>
    <col min="8705" max="8705" width="9.44140625" style="2585" customWidth="1"/>
    <col min="8706" max="8706" width="8.88671875" style="2585"/>
    <col min="8707" max="8709" width="12.88671875" style="2585" customWidth="1"/>
    <col min="8710" max="8710" width="47.44140625" style="2585" customWidth="1"/>
    <col min="8711" max="8711" width="13" style="2585" customWidth="1"/>
    <col min="8712" max="8713" width="8.88671875" style="2585"/>
    <col min="8714" max="8714" width="5.77734375" style="2585" customWidth="1"/>
    <col min="8715" max="8715" width="11.77734375" style="2585" customWidth="1"/>
    <col min="8716" max="8717" width="10.77734375" style="2585" customWidth="1"/>
    <col min="8718" max="8718" width="10" style="2585" customWidth="1"/>
    <col min="8719" max="8720" width="10.44140625" style="2585" bestFit="1" customWidth="1"/>
    <col min="8721" max="8721" width="10" style="2585" customWidth="1"/>
    <col min="8722" max="8722" width="10.109375" style="2585" customWidth="1"/>
    <col min="8723" max="8723" width="10" style="2585" customWidth="1"/>
    <col min="8724" max="8724" width="26.109375" style="2585" customWidth="1"/>
    <col min="8725" max="8960" width="8.88671875" style="2585"/>
    <col min="8961" max="8961" width="9.44140625" style="2585" customWidth="1"/>
    <col min="8962" max="8962" width="8.88671875" style="2585"/>
    <col min="8963" max="8965" width="12.88671875" style="2585" customWidth="1"/>
    <col min="8966" max="8966" width="47.44140625" style="2585" customWidth="1"/>
    <col min="8967" max="8967" width="13" style="2585" customWidth="1"/>
    <col min="8968" max="8969" width="8.88671875" style="2585"/>
    <col min="8970" max="8970" width="5.77734375" style="2585" customWidth="1"/>
    <col min="8971" max="8971" width="11.77734375" style="2585" customWidth="1"/>
    <col min="8972" max="8973" width="10.77734375" style="2585" customWidth="1"/>
    <col min="8974" max="8974" width="10" style="2585" customWidth="1"/>
    <col min="8975" max="8976" width="10.44140625" style="2585" bestFit="1" customWidth="1"/>
    <col min="8977" max="8977" width="10" style="2585" customWidth="1"/>
    <col min="8978" max="8978" width="10.109375" style="2585" customWidth="1"/>
    <col min="8979" max="8979" width="10" style="2585" customWidth="1"/>
    <col min="8980" max="8980" width="26.109375" style="2585" customWidth="1"/>
    <col min="8981" max="9216" width="8.88671875" style="2585"/>
    <col min="9217" max="9217" width="9.44140625" style="2585" customWidth="1"/>
    <col min="9218" max="9218" width="8.88671875" style="2585"/>
    <col min="9219" max="9221" width="12.88671875" style="2585" customWidth="1"/>
    <col min="9222" max="9222" width="47.44140625" style="2585" customWidth="1"/>
    <col min="9223" max="9223" width="13" style="2585" customWidth="1"/>
    <col min="9224" max="9225" width="8.88671875" style="2585"/>
    <col min="9226" max="9226" width="5.77734375" style="2585" customWidth="1"/>
    <col min="9227" max="9227" width="11.77734375" style="2585" customWidth="1"/>
    <col min="9228" max="9229" width="10.77734375" style="2585" customWidth="1"/>
    <col min="9230" max="9230" width="10" style="2585" customWidth="1"/>
    <col min="9231" max="9232" width="10.44140625" style="2585" bestFit="1" customWidth="1"/>
    <col min="9233" max="9233" width="10" style="2585" customWidth="1"/>
    <col min="9234" max="9234" width="10.109375" style="2585" customWidth="1"/>
    <col min="9235" max="9235" width="10" style="2585" customWidth="1"/>
    <col min="9236" max="9236" width="26.109375" style="2585" customWidth="1"/>
    <col min="9237" max="9472" width="8.88671875" style="2585"/>
    <col min="9473" max="9473" width="9.44140625" style="2585" customWidth="1"/>
    <col min="9474" max="9474" width="8.88671875" style="2585"/>
    <col min="9475" max="9477" width="12.88671875" style="2585" customWidth="1"/>
    <col min="9478" max="9478" width="47.44140625" style="2585" customWidth="1"/>
    <col min="9479" max="9479" width="13" style="2585" customWidth="1"/>
    <col min="9480" max="9481" width="8.88671875" style="2585"/>
    <col min="9482" max="9482" width="5.77734375" style="2585" customWidth="1"/>
    <col min="9483" max="9483" width="11.77734375" style="2585" customWidth="1"/>
    <col min="9484" max="9485" width="10.77734375" style="2585" customWidth="1"/>
    <col min="9486" max="9486" width="10" style="2585" customWidth="1"/>
    <col min="9487" max="9488" width="10.44140625" style="2585" bestFit="1" customWidth="1"/>
    <col min="9489" max="9489" width="10" style="2585" customWidth="1"/>
    <col min="9490" max="9490" width="10.109375" style="2585" customWidth="1"/>
    <col min="9491" max="9491" width="10" style="2585" customWidth="1"/>
    <col min="9492" max="9492" width="26.109375" style="2585" customWidth="1"/>
    <col min="9493" max="9728" width="8.88671875" style="2585"/>
    <col min="9729" max="9729" width="9.44140625" style="2585" customWidth="1"/>
    <col min="9730" max="9730" width="8.88671875" style="2585"/>
    <col min="9731" max="9733" width="12.88671875" style="2585" customWidth="1"/>
    <col min="9734" max="9734" width="47.44140625" style="2585" customWidth="1"/>
    <col min="9735" max="9735" width="13" style="2585" customWidth="1"/>
    <col min="9736" max="9737" width="8.88671875" style="2585"/>
    <col min="9738" max="9738" width="5.77734375" style="2585" customWidth="1"/>
    <col min="9739" max="9739" width="11.77734375" style="2585" customWidth="1"/>
    <col min="9740" max="9741" width="10.77734375" style="2585" customWidth="1"/>
    <col min="9742" max="9742" width="10" style="2585" customWidth="1"/>
    <col min="9743" max="9744" width="10.44140625" style="2585" bestFit="1" customWidth="1"/>
    <col min="9745" max="9745" width="10" style="2585" customWidth="1"/>
    <col min="9746" max="9746" width="10.109375" style="2585" customWidth="1"/>
    <col min="9747" max="9747" width="10" style="2585" customWidth="1"/>
    <col min="9748" max="9748" width="26.109375" style="2585" customWidth="1"/>
    <col min="9749" max="9984" width="8.88671875" style="2585"/>
    <col min="9985" max="9985" width="9.44140625" style="2585" customWidth="1"/>
    <col min="9986" max="9986" width="8.88671875" style="2585"/>
    <col min="9987" max="9989" width="12.88671875" style="2585" customWidth="1"/>
    <col min="9990" max="9990" width="47.44140625" style="2585" customWidth="1"/>
    <col min="9991" max="9991" width="13" style="2585" customWidth="1"/>
    <col min="9992" max="9993" width="8.88671875" style="2585"/>
    <col min="9994" max="9994" width="5.77734375" style="2585" customWidth="1"/>
    <col min="9995" max="9995" width="11.77734375" style="2585" customWidth="1"/>
    <col min="9996" max="9997" width="10.77734375" style="2585" customWidth="1"/>
    <col min="9998" max="9998" width="10" style="2585" customWidth="1"/>
    <col min="9999" max="10000" width="10.44140625" style="2585" bestFit="1" customWidth="1"/>
    <col min="10001" max="10001" width="10" style="2585" customWidth="1"/>
    <col min="10002" max="10002" width="10.109375" style="2585" customWidth="1"/>
    <col min="10003" max="10003" width="10" style="2585" customWidth="1"/>
    <col min="10004" max="10004" width="26.109375" style="2585" customWidth="1"/>
    <col min="10005" max="10240" width="8.88671875" style="2585"/>
    <col min="10241" max="10241" width="9.44140625" style="2585" customWidth="1"/>
    <col min="10242" max="10242" width="8.88671875" style="2585"/>
    <col min="10243" max="10245" width="12.88671875" style="2585" customWidth="1"/>
    <col min="10246" max="10246" width="47.44140625" style="2585" customWidth="1"/>
    <col min="10247" max="10247" width="13" style="2585" customWidth="1"/>
    <col min="10248" max="10249" width="8.88671875" style="2585"/>
    <col min="10250" max="10250" width="5.77734375" style="2585" customWidth="1"/>
    <col min="10251" max="10251" width="11.77734375" style="2585" customWidth="1"/>
    <col min="10252" max="10253" width="10.77734375" style="2585" customWidth="1"/>
    <col min="10254" max="10254" width="10" style="2585" customWidth="1"/>
    <col min="10255" max="10256" width="10.44140625" style="2585" bestFit="1" customWidth="1"/>
    <col min="10257" max="10257" width="10" style="2585" customWidth="1"/>
    <col min="10258" max="10258" width="10.109375" style="2585" customWidth="1"/>
    <col min="10259" max="10259" width="10" style="2585" customWidth="1"/>
    <col min="10260" max="10260" width="26.109375" style="2585" customWidth="1"/>
    <col min="10261" max="10496" width="8.88671875" style="2585"/>
    <col min="10497" max="10497" width="9.44140625" style="2585" customWidth="1"/>
    <col min="10498" max="10498" width="8.88671875" style="2585"/>
    <col min="10499" max="10501" width="12.88671875" style="2585" customWidth="1"/>
    <col min="10502" max="10502" width="47.44140625" style="2585" customWidth="1"/>
    <col min="10503" max="10503" width="13" style="2585" customWidth="1"/>
    <col min="10504" max="10505" width="8.88671875" style="2585"/>
    <col min="10506" max="10506" width="5.77734375" style="2585" customWidth="1"/>
    <col min="10507" max="10507" width="11.77734375" style="2585" customWidth="1"/>
    <col min="10508" max="10509" width="10.77734375" style="2585" customWidth="1"/>
    <col min="10510" max="10510" width="10" style="2585" customWidth="1"/>
    <col min="10511" max="10512" width="10.44140625" style="2585" bestFit="1" customWidth="1"/>
    <col min="10513" max="10513" width="10" style="2585" customWidth="1"/>
    <col min="10514" max="10514" width="10.109375" style="2585" customWidth="1"/>
    <col min="10515" max="10515" width="10" style="2585" customWidth="1"/>
    <col min="10516" max="10516" width="26.109375" style="2585" customWidth="1"/>
    <col min="10517" max="10752" width="8.88671875" style="2585"/>
    <col min="10753" max="10753" width="9.44140625" style="2585" customWidth="1"/>
    <col min="10754" max="10754" width="8.88671875" style="2585"/>
    <col min="10755" max="10757" width="12.88671875" style="2585" customWidth="1"/>
    <col min="10758" max="10758" width="47.44140625" style="2585" customWidth="1"/>
    <col min="10759" max="10759" width="13" style="2585" customWidth="1"/>
    <col min="10760" max="10761" width="8.88671875" style="2585"/>
    <col min="10762" max="10762" width="5.77734375" style="2585" customWidth="1"/>
    <col min="10763" max="10763" width="11.77734375" style="2585" customWidth="1"/>
    <col min="10764" max="10765" width="10.77734375" style="2585" customWidth="1"/>
    <col min="10766" max="10766" width="10" style="2585" customWidth="1"/>
    <col min="10767" max="10768" width="10.44140625" style="2585" bestFit="1" customWidth="1"/>
    <col min="10769" max="10769" width="10" style="2585" customWidth="1"/>
    <col min="10770" max="10770" width="10.109375" style="2585" customWidth="1"/>
    <col min="10771" max="10771" width="10" style="2585" customWidth="1"/>
    <col min="10772" max="10772" width="26.109375" style="2585" customWidth="1"/>
    <col min="10773" max="11008" width="8.88671875" style="2585"/>
    <col min="11009" max="11009" width="9.44140625" style="2585" customWidth="1"/>
    <col min="11010" max="11010" width="8.88671875" style="2585"/>
    <col min="11011" max="11013" width="12.88671875" style="2585" customWidth="1"/>
    <col min="11014" max="11014" width="47.44140625" style="2585" customWidth="1"/>
    <col min="11015" max="11015" width="13" style="2585" customWidth="1"/>
    <col min="11016" max="11017" width="8.88671875" style="2585"/>
    <col min="11018" max="11018" width="5.77734375" style="2585" customWidth="1"/>
    <col min="11019" max="11019" width="11.77734375" style="2585" customWidth="1"/>
    <col min="11020" max="11021" width="10.77734375" style="2585" customWidth="1"/>
    <col min="11022" max="11022" width="10" style="2585" customWidth="1"/>
    <col min="11023" max="11024" width="10.44140625" style="2585" bestFit="1" customWidth="1"/>
    <col min="11025" max="11025" width="10" style="2585" customWidth="1"/>
    <col min="11026" max="11026" width="10.109375" style="2585" customWidth="1"/>
    <col min="11027" max="11027" width="10" style="2585" customWidth="1"/>
    <col min="11028" max="11028" width="26.109375" style="2585" customWidth="1"/>
    <col min="11029" max="11264" width="8.88671875" style="2585"/>
    <col min="11265" max="11265" width="9.44140625" style="2585" customWidth="1"/>
    <col min="11266" max="11266" width="8.88671875" style="2585"/>
    <col min="11267" max="11269" width="12.88671875" style="2585" customWidth="1"/>
    <col min="11270" max="11270" width="47.44140625" style="2585" customWidth="1"/>
    <col min="11271" max="11271" width="13" style="2585" customWidth="1"/>
    <col min="11272" max="11273" width="8.88671875" style="2585"/>
    <col min="11274" max="11274" width="5.77734375" style="2585" customWidth="1"/>
    <col min="11275" max="11275" width="11.77734375" style="2585" customWidth="1"/>
    <col min="11276" max="11277" width="10.77734375" style="2585" customWidth="1"/>
    <col min="11278" max="11278" width="10" style="2585" customWidth="1"/>
    <col min="11279" max="11280" width="10.44140625" style="2585" bestFit="1" customWidth="1"/>
    <col min="11281" max="11281" width="10" style="2585" customWidth="1"/>
    <col min="11282" max="11282" width="10.109375" style="2585" customWidth="1"/>
    <col min="11283" max="11283" width="10" style="2585" customWidth="1"/>
    <col min="11284" max="11284" width="26.109375" style="2585" customWidth="1"/>
    <col min="11285" max="11520" width="8.88671875" style="2585"/>
    <col min="11521" max="11521" width="9.44140625" style="2585" customWidth="1"/>
    <col min="11522" max="11522" width="8.88671875" style="2585"/>
    <col min="11523" max="11525" width="12.88671875" style="2585" customWidth="1"/>
    <col min="11526" max="11526" width="47.44140625" style="2585" customWidth="1"/>
    <col min="11527" max="11527" width="13" style="2585" customWidth="1"/>
    <col min="11528" max="11529" width="8.88671875" style="2585"/>
    <col min="11530" max="11530" width="5.77734375" style="2585" customWidth="1"/>
    <col min="11531" max="11531" width="11.77734375" style="2585" customWidth="1"/>
    <col min="11532" max="11533" width="10.77734375" style="2585" customWidth="1"/>
    <col min="11534" max="11534" width="10" style="2585" customWidth="1"/>
    <col min="11535" max="11536" width="10.44140625" style="2585" bestFit="1" customWidth="1"/>
    <col min="11537" max="11537" width="10" style="2585" customWidth="1"/>
    <col min="11538" max="11538" width="10.109375" style="2585" customWidth="1"/>
    <col min="11539" max="11539" width="10" style="2585" customWidth="1"/>
    <col min="11540" max="11540" width="26.109375" style="2585" customWidth="1"/>
    <col min="11541" max="11776" width="8.88671875" style="2585"/>
    <col min="11777" max="11777" width="9.44140625" style="2585" customWidth="1"/>
    <col min="11778" max="11778" width="8.88671875" style="2585"/>
    <col min="11779" max="11781" width="12.88671875" style="2585" customWidth="1"/>
    <col min="11782" max="11782" width="47.44140625" style="2585" customWidth="1"/>
    <col min="11783" max="11783" width="13" style="2585" customWidth="1"/>
    <col min="11784" max="11785" width="8.88671875" style="2585"/>
    <col min="11786" max="11786" width="5.77734375" style="2585" customWidth="1"/>
    <col min="11787" max="11787" width="11.77734375" style="2585" customWidth="1"/>
    <col min="11788" max="11789" width="10.77734375" style="2585" customWidth="1"/>
    <col min="11790" max="11790" width="10" style="2585" customWidth="1"/>
    <col min="11791" max="11792" width="10.44140625" style="2585" bestFit="1" customWidth="1"/>
    <col min="11793" max="11793" width="10" style="2585" customWidth="1"/>
    <col min="11794" max="11794" width="10.109375" style="2585" customWidth="1"/>
    <col min="11795" max="11795" width="10" style="2585" customWidth="1"/>
    <col min="11796" max="11796" width="26.109375" style="2585" customWidth="1"/>
    <col min="11797" max="12032" width="8.88671875" style="2585"/>
    <col min="12033" max="12033" width="9.44140625" style="2585" customWidth="1"/>
    <col min="12034" max="12034" width="8.88671875" style="2585"/>
    <col min="12035" max="12037" width="12.88671875" style="2585" customWidth="1"/>
    <col min="12038" max="12038" width="47.44140625" style="2585" customWidth="1"/>
    <col min="12039" max="12039" width="13" style="2585" customWidth="1"/>
    <col min="12040" max="12041" width="8.88671875" style="2585"/>
    <col min="12042" max="12042" width="5.77734375" style="2585" customWidth="1"/>
    <col min="12043" max="12043" width="11.77734375" style="2585" customWidth="1"/>
    <col min="12044" max="12045" width="10.77734375" style="2585" customWidth="1"/>
    <col min="12046" max="12046" width="10" style="2585" customWidth="1"/>
    <col min="12047" max="12048" width="10.44140625" style="2585" bestFit="1" customWidth="1"/>
    <col min="12049" max="12049" width="10" style="2585" customWidth="1"/>
    <col min="12050" max="12050" width="10.109375" style="2585" customWidth="1"/>
    <col min="12051" max="12051" width="10" style="2585" customWidth="1"/>
    <col min="12052" max="12052" width="26.109375" style="2585" customWidth="1"/>
    <col min="12053" max="12288" width="8.88671875" style="2585"/>
    <col min="12289" max="12289" width="9.44140625" style="2585" customWidth="1"/>
    <col min="12290" max="12290" width="8.88671875" style="2585"/>
    <col min="12291" max="12293" width="12.88671875" style="2585" customWidth="1"/>
    <col min="12294" max="12294" width="47.44140625" style="2585" customWidth="1"/>
    <col min="12295" max="12295" width="13" style="2585" customWidth="1"/>
    <col min="12296" max="12297" width="8.88671875" style="2585"/>
    <col min="12298" max="12298" width="5.77734375" style="2585" customWidth="1"/>
    <col min="12299" max="12299" width="11.77734375" style="2585" customWidth="1"/>
    <col min="12300" max="12301" width="10.77734375" style="2585" customWidth="1"/>
    <col min="12302" max="12302" width="10" style="2585" customWidth="1"/>
    <col min="12303" max="12304" width="10.44140625" style="2585" bestFit="1" customWidth="1"/>
    <col min="12305" max="12305" width="10" style="2585" customWidth="1"/>
    <col min="12306" max="12306" width="10.109375" style="2585" customWidth="1"/>
    <col min="12307" max="12307" width="10" style="2585" customWidth="1"/>
    <col min="12308" max="12308" width="26.109375" style="2585" customWidth="1"/>
    <col min="12309" max="12544" width="8.88671875" style="2585"/>
    <col min="12545" max="12545" width="9.44140625" style="2585" customWidth="1"/>
    <col min="12546" max="12546" width="8.88671875" style="2585"/>
    <col min="12547" max="12549" width="12.88671875" style="2585" customWidth="1"/>
    <col min="12550" max="12550" width="47.44140625" style="2585" customWidth="1"/>
    <col min="12551" max="12551" width="13" style="2585" customWidth="1"/>
    <col min="12552" max="12553" width="8.88671875" style="2585"/>
    <col min="12554" max="12554" width="5.77734375" style="2585" customWidth="1"/>
    <col min="12555" max="12555" width="11.77734375" style="2585" customWidth="1"/>
    <col min="12556" max="12557" width="10.77734375" style="2585" customWidth="1"/>
    <col min="12558" max="12558" width="10" style="2585" customWidth="1"/>
    <col min="12559" max="12560" width="10.44140625" style="2585" bestFit="1" customWidth="1"/>
    <col min="12561" max="12561" width="10" style="2585" customWidth="1"/>
    <col min="12562" max="12562" width="10.109375" style="2585" customWidth="1"/>
    <col min="12563" max="12563" width="10" style="2585" customWidth="1"/>
    <col min="12564" max="12564" width="26.109375" style="2585" customWidth="1"/>
    <col min="12565" max="12800" width="8.88671875" style="2585"/>
    <col min="12801" max="12801" width="9.44140625" style="2585" customWidth="1"/>
    <col min="12802" max="12802" width="8.88671875" style="2585"/>
    <col min="12803" max="12805" width="12.88671875" style="2585" customWidth="1"/>
    <col min="12806" max="12806" width="47.44140625" style="2585" customWidth="1"/>
    <col min="12807" max="12807" width="13" style="2585" customWidth="1"/>
    <col min="12808" max="12809" width="8.88671875" style="2585"/>
    <col min="12810" max="12810" width="5.77734375" style="2585" customWidth="1"/>
    <col min="12811" max="12811" width="11.77734375" style="2585" customWidth="1"/>
    <col min="12812" max="12813" width="10.77734375" style="2585" customWidth="1"/>
    <col min="12814" max="12814" width="10" style="2585" customWidth="1"/>
    <col min="12815" max="12816" width="10.44140625" style="2585" bestFit="1" customWidth="1"/>
    <col min="12817" max="12817" width="10" style="2585" customWidth="1"/>
    <col min="12818" max="12818" width="10.109375" style="2585" customWidth="1"/>
    <col min="12819" max="12819" width="10" style="2585" customWidth="1"/>
    <col min="12820" max="12820" width="26.109375" style="2585" customWidth="1"/>
    <col min="12821" max="13056" width="8.88671875" style="2585"/>
    <col min="13057" max="13057" width="9.44140625" style="2585" customWidth="1"/>
    <col min="13058" max="13058" width="8.88671875" style="2585"/>
    <col min="13059" max="13061" width="12.88671875" style="2585" customWidth="1"/>
    <col min="13062" max="13062" width="47.44140625" style="2585" customWidth="1"/>
    <col min="13063" max="13063" width="13" style="2585" customWidth="1"/>
    <col min="13064" max="13065" width="8.88671875" style="2585"/>
    <col min="13066" max="13066" width="5.77734375" style="2585" customWidth="1"/>
    <col min="13067" max="13067" width="11.77734375" style="2585" customWidth="1"/>
    <col min="13068" max="13069" width="10.77734375" style="2585" customWidth="1"/>
    <col min="13070" max="13070" width="10" style="2585" customWidth="1"/>
    <col min="13071" max="13072" width="10.44140625" style="2585" bestFit="1" customWidth="1"/>
    <col min="13073" max="13073" width="10" style="2585" customWidth="1"/>
    <col min="13074" max="13074" width="10.109375" style="2585" customWidth="1"/>
    <col min="13075" max="13075" width="10" style="2585" customWidth="1"/>
    <col min="13076" max="13076" width="26.109375" style="2585" customWidth="1"/>
    <col min="13077" max="13312" width="8.88671875" style="2585"/>
    <col min="13313" max="13313" width="9.44140625" style="2585" customWidth="1"/>
    <col min="13314" max="13314" width="8.88671875" style="2585"/>
    <col min="13315" max="13317" width="12.88671875" style="2585" customWidth="1"/>
    <col min="13318" max="13318" width="47.44140625" style="2585" customWidth="1"/>
    <col min="13319" max="13319" width="13" style="2585" customWidth="1"/>
    <col min="13320" max="13321" width="8.88671875" style="2585"/>
    <col min="13322" max="13322" width="5.77734375" style="2585" customWidth="1"/>
    <col min="13323" max="13323" width="11.77734375" style="2585" customWidth="1"/>
    <col min="13324" max="13325" width="10.77734375" style="2585" customWidth="1"/>
    <col min="13326" max="13326" width="10" style="2585" customWidth="1"/>
    <col min="13327" max="13328" width="10.44140625" style="2585" bestFit="1" customWidth="1"/>
    <col min="13329" max="13329" width="10" style="2585" customWidth="1"/>
    <col min="13330" max="13330" width="10.109375" style="2585" customWidth="1"/>
    <col min="13331" max="13331" width="10" style="2585" customWidth="1"/>
    <col min="13332" max="13332" width="26.109375" style="2585" customWidth="1"/>
    <col min="13333" max="13568" width="8.88671875" style="2585"/>
    <col min="13569" max="13569" width="9.44140625" style="2585" customWidth="1"/>
    <col min="13570" max="13570" width="8.88671875" style="2585"/>
    <col min="13571" max="13573" width="12.88671875" style="2585" customWidth="1"/>
    <col min="13574" max="13574" width="47.44140625" style="2585" customWidth="1"/>
    <col min="13575" max="13575" width="13" style="2585" customWidth="1"/>
    <col min="13576" max="13577" width="8.88671875" style="2585"/>
    <col min="13578" max="13578" width="5.77734375" style="2585" customWidth="1"/>
    <col min="13579" max="13579" width="11.77734375" style="2585" customWidth="1"/>
    <col min="13580" max="13581" width="10.77734375" style="2585" customWidth="1"/>
    <col min="13582" max="13582" width="10" style="2585" customWidth="1"/>
    <col min="13583" max="13584" width="10.44140625" style="2585" bestFit="1" customWidth="1"/>
    <col min="13585" max="13585" width="10" style="2585" customWidth="1"/>
    <col min="13586" max="13586" width="10.109375" style="2585" customWidth="1"/>
    <col min="13587" max="13587" width="10" style="2585" customWidth="1"/>
    <col min="13588" max="13588" width="26.109375" style="2585" customWidth="1"/>
    <col min="13589" max="13824" width="8.88671875" style="2585"/>
    <col min="13825" max="13825" width="9.44140625" style="2585" customWidth="1"/>
    <col min="13826" max="13826" width="8.88671875" style="2585"/>
    <col min="13827" max="13829" width="12.88671875" style="2585" customWidth="1"/>
    <col min="13830" max="13830" width="47.44140625" style="2585" customWidth="1"/>
    <col min="13831" max="13831" width="13" style="2585" customWidth="1"/>
    <col min="13832" max="13833" width="8.88671875" style="2585"/>
    <col min="13834" max="13834" width="5.77734375" style="2585" customWidth="1"/>
    <col min="13835" max="13835" width="11.77734375" style="2585" customWidth="1"/>
    <col min="13836" max="13837" width="10.77734375" style="2585" customWidth="1"/>
    <col min="13838" max="13838" width="10" style="2585" customWidth="1"/>
    <col min="13839" max="13840" width="10.44140625" style="2585" bestFit="1" customWidth="1"/>
    <col min="13841" max="13841" width="10" style="2585" customWidth="1"/>
    <col min="13842" max="13842" width="10.109375" style="2585" customWidth="1"/>
    <col min="13843" max="13843" width="10" style="2585" customWidth="1"/>
    <col min="13844" max="13844" width="26.109375" style="2585" customWidth="1"/>
    <col min="13845" max="14080" width="8.88671875" style="2585"/>
    <col min="14081" max="14081" width="9.44140625" style="2585" customWidth="1"/>
    <col min="14082" max="14082" width="8.88671875" style="2585"/>
    <col min="14083" max="14085" width="12.88671875" style="2585" customWidth="1"/>
    <col min="14086" max="14086" width="47.44140625" style="2585" customWidth="1"/>
    <col min="14087" max="14087" width="13" style="2585" customWidth="1"/>
    <col min="14088" max="14089" width="8.88671875" style="2585"/>
    <col min="14090" max="14090" width="5.77734375" style="2585" customWidth="1"/>
    <col min="14091" max="14091" width="11.77734375" style="2585" customWidth="1"/>
    <col min="14092" max="14093" width="10.77734375" style="2585" customWidth="1"/>
    <col min="14094" max="14094" width="10" style="2585" customWidth="1"/>
    <col min="14095" max="14096" width="10.44140625" style="2585" bestFit="1" customWidth="1"/>
    <col min="14097" max="14097" width="10" style="2585" customWidth="1"/>
    <col min="14098" max="14098" width="10.109375" style="2585" customWidth="1"/>
    <col min="14099" max="14099" width="10" style="2585" customWidth="1"/>
    <col min="14100" max="14100" width="26.109375" style="2585" customWidth="1"/>
    <col min="14101" max="14336" width="8.88671875" style="2585"/>
    <col min="14337" max="14337" width="9.44140625" style="2585" customWidth="1"/>
    <col min="14338" max="14338" width="8.88671875" style="2585"/>
    <col min="14339" max="14341" width="12.88671875" style="2585" customWidth="1"/>
    <col min="14342" max="14342" width="47.44140625" style="2585" customWidth="1"/>
    <col min="14343" max="14343" width="13" style="2585" customWidth="1"/>
    <col min="14344" max="14345" width="8.88671875" style="2585"/>
    <col min="14346" max="14346" width="5.77734375" style="2585" customWidth="1"/>
    <col min="14347" max="14347" width="11.77734375" style="2585" customWidth="1"/>
    <col min="14348" max="14349" width="10.77734375" style="2585" customWidth="1"/>
    <col min="14350" max="14350" width="10" style="2585" customWidth="1"/>
    <col min="14351" max="14352" width="10.44140625" style="2585" bestFit="1" customWidth="1"/>
    <col min="14353" max="14353" width="10" style="2585" customWidth="1"/>
    <col min="14354" max="14354" width="10.109375" style="2585" customWidth="1"/>
    <col min="14355" max="14355" width="10" style="2585" customWidth="1"/>
    <col min="14356" max="14356" width="26.109375" style="2585" customWidth="1"/>
    <col min="14357" max="14592" width="8.88671875" style="2585"/>
    <col min="14593" max="14593" width="9.44140625" style="2585" customWidth="1"/>
    <col min="14594" max="14594" width="8.88671875" style="2585"/>
    <col min="14595" max="14597" width="12.88671875" style="2585" customWidth="1"/>
    <col min="14598" max="14598" width="47.44140625" style="2585" customWidth="1"/>
    <col min="14599" max="14599" width="13" style="2585" customWidth="1"/>
    <col min="14600" max="14601" width="8.88671875" style="2585"/>
    <col min="14602" max="14602" width="5.77734375" style="2585" customWidth="1"/>
    <col min="14603" max="14603" width="11.77734375" style="2585" customWidth="1"/>
    <col min="14604" max="14605" width="10.77734375" style="2585" customWidth="1"/>
    <col min="14606" max="14606" width="10" style="2585" customWidth="1"/>
    <col min="14607" max="14608" width="10.44140625" style="2585" bestFit="1" customWidth="1"/>
    <col min="14609" max="14609" width="10" style="2585" customWidth="1"/>
    <col min="14610" max="14610" width="10.109375" style="2585" customWidth="1"/>
    <col min="14611" max="14611" width="10" style="2585" customWidth="1"/>
    <col min="14612" max="14612" width="26.109375" style="2585" customWidth="1"/>
    <col min="14613" max="14848" width="8.88671875" style="2585"/>
    <col min="14849" max="14849" width="9.44140625" style="2585" customWidth="1"/>
    <col min="14850" max="14850" width="8.88671875" style="2585"/>
    <col min="14851" max="14853" width="12.88671875" style="2585" customWidth="1"/>
    <col min="14854" max="14854" width="47.44140625" style="2585" customWidth="1"/>
    <col min="14855" max="14855" width="13" style="2585" customWidth="1"/>
    <col min="14856" max="14857" width="8.88671875" style="2585"/>
    <col min="14858" max="14858" width="5.77734375" style="2585" customWidth="1"/>
    <col min="14859" max="14859" width="11.77734375" style="2585" customWidth="1"/>
    <col min="14860" max="14861" width="10.77734375" style="2585" customWidth="1"/>
    <col min="14862" max="14862" width="10" style="2585" customWidth="1"/>
    <col min="14863" max="14864" width="10.44140625" style="2585" bestFit="1" customWidth="1"/>
    <col min="14865" max="14865" width="10" style="2585" customWidth="1"/>
    <col min="14866" max="14866" width="10.109375" style="2585" customWidth="1"/>
    <col min="14867" max="14867" width="10" style="2585" customWidth="1"/>
    <col min="14868" max="14868" width="26.109375" style="2585" customWidth="1"/>
    <col min="14869" max="15104" width="8.88671875" style="2585"/>
    <col min="15105" max="15105" width="9.44140625" style="2585" customWidth="1"/>
    <col min="15106" max="15106" width="8.88671875" style="2585"/>
    <col min="15107" max="15109" width="12.88671875" style="2585" customWidth="1"/>
    <col min="15110" max="15110" width="47.44140625" style="2585" customWidth="1"/>
    <col min="15111" max="15111" width="13" style="2585" customWidth="1"/>
    <col min="15112" max="15113" width="8.88671875" style="2585"/>
    <col min="15114" max="15114" width="5.77734375" style="2585" customWidth="1"/>
    <col min="15115" max="15115" width="11.77734375" style="2585" customWidth="1"/>
    <col min="15116" max="15117" width="10.77734375" style="2585" customWidth="1"/>
    <col min="15118" max="15118" width="10" style="2585" customWidth="1"/>
    <col min="15119" max="15120" width="10.44140625" style="2585" bestFit="1" customWidth="1"/>
    <col min="15121" max="15121" width="10" style="2585" customWidth="1"/>
    <col min="15122" max="15122" width="10.109375" style="2585" customWidth="1"/>
    <col min="15123" max="15123" width="10" style="2585" customWidth="1"/>
    <col min="15124" max="15124" width="26.109375" style="2585" customWidth="1"/>
    <col min="15125" max="15360" width="8.88671875" style="2585"/>
    <col min="15361" max="15361" width="9.44140625" style="2585" customWidth="1"/>
    <col min="15362" max="15362" width="8.88671875" style="2585"/>
    <col min="15363" max="15365" width="12.88671875" style="2585" customWidth="1"/>
    <col min="15366" max="15366" width="47.44140625" style="2585" customWidth="1"/>
    <col min="15367" max="15367" width="13" style="2585" customWidth="1"/>
    <col min="15368" max="15369" width="8.88671875" style="2585"/>
    <col min="15370" max="15370" width="5.77734375" style="2585" customWidth="1"/>
    <col min="15371" max="15371" width="11.77734375" style="2585" customWidth="1"/>
    <col min="15372" max="15373" width="10.77734375" style="2585" customWidth="1"/>
    <col min="15374" max="15374" width="10" style="2585" customWidth="1"/>
    <col min="15375" max="15376" width="10.44140625" style="2585" bestFit="1" customWidth="1"/>
    <col min="15377" max="15377" width="10" style="2585" customWidth="1"/>
    <col min="15378" max="15378" width="10.109375" style="2585" customWidth="1"/>
    <col min="15379" max="15379" width="10" style="2585" customWidth="1"/>
    <col min="15380" max="15380" width="26.109375" style="2585" customWidth="1"/>
    <col min="15381" max="15616" width="8.88671875" style="2585"/>
    <col min="15617" max="15617" width="9.44140625" style="2585" customWidth="1"/>
    <col min="15618" max="15618" width="8.88671875" style="2585"/>
    <col min="15619" max="15621" width="12.88671875" style="2585" customWidth="1"/>
    <col min="15622" max="15622" width="47.44140625" style="2585" customWidth="1"/>
    <col min="15623" max="15623" width="13" style="2585" customWidth="1"/>
    <col min="15624" max="15625" width="8.88671875" style="2585"/>
    <col min="15626" max="15626" width="5.77734375" style="2585" customWidth="1"/>
    <col min="15627" max="15627" width="11.77734375" style="2585" customWidth="1"/>
    <col min="15628" max="15629" width="10.77734375" style="2585" customWidth="1"/>
    <col min="15630" max="15630" width="10" style="2585" customWidth="1"/>
    <col min="15631" max="15632" width="10.44140625" style="2585" bestFit="1" customWidth="1"/>
    <col min="15633" max="15633" width="10" style="2585" customWidth="1"/>
    <col min="15634" max="15634" width="10.109375" style="2585" customWidth="1"/>
    <col min="15635" max="15635" width="10" style="2585" customWidth="1"/>
    <col min="15636" max="15636" width="26.109375" style="2585" customWidth="1"/>
    <col min="15637" max="15872" width="8.88671875" style="2585"/>
    <col min="15873" max="15873" width="9.44140625" style="2585" customWidth="1"/>
    <col min="15874" max="15874" width="8.88671875" style="2585"/>
    <col min="15875" max="15877" width="12.88671875" style="2585" customWidth="1"/>
    <col min="15878" max="15878" width="47.44140625" style="2585" customWidth="1"/>
    <col min="15879" max="15879" width="13" style="2585" customWidth="1"/>
    <col min="15880" max="15881" width="8.88671875" style="2585"/>
    <col min="15882" max="15882" width="5.77734375" style="2585" customWidth="1"/>
    <col min="15883" max="15883" width="11.77734375" style="2585" customWidth="1"/>
    <col min="15884" max="15885" width="10.77734375" style="2585" customWidth="1"/>
    <col min="15886" max="15886" width="10" style="2585" customWidth="1"/>
    <col min="15887" max="15888" width="10.44140625" style="2585" bestFit="1" customWidth="1"/>
    <col min="15889" max="15889" width="10" style="2585" customWidth="1"/>
    <col min="15890" max="15890" width="10.109375" style="2585" customWidth="1"/>
    <col min="15891" max="15891" width="10" style="2585" customWidth="1"/>
    <col min="15892" max="15892" width="26.109375" style="2585" customWidth="1"/>
    <col min="15893" max="16128" width="8.88671875" style="2585"/>
    <col min="16129" max="16129" width="9.44140625" style="2585" customWidth="1"/>
    <col min="16130" max="16130" width="8.88671875" style="2585"/>
    <col min="16131" max="16133" width="12.88671875" style="2585" customWidth="1"/>
    <col min="16134" max="16134" width="47.44140625" style="2585" customWidth="1"/>
    <col min="16135" max="16135" width="13" style="2585" customWidth="1"/>
    <col min="16136" max="16137" width="8.88671875" style="2585"/>
    <col min="16138" max="16138" width="5.77734375" style="2585" customWidth="1"/>
    <col min="16139" max="16139" width="11.77734375" style="2585" customWidth="1"/>
    <col min="16140" max="16141" width="10.77734375" style="2585" customWidth="1"/>
    <col min="16142" max="16142" width="10" style="2585" customWidth="1"/>
    <col min="16143" max="16144" width="10.44140625" style="2585" bestFit="1" customWidth="1"/>
    <col min="16145" max="16145" width="10" style="2585" customWidth="1"/>
    <col min="16146" max="16146" width="10.109375" style="2585" customWidth="1"/>
    <col min="16147" max="16147" width="10" style="2585" customWidth="1"/>
    <col min="16148" max="16148" width="26.109375" style="2585" customWidth="1"/>
    <col min="16149" max="16384" width="8.88671875" style="2585"/>
  </cols>
  <sheetData>
    <row r="1" spans="1:22" ht="21" customHeight="1">
      <c r="A1" s="2574" t="s">
        <v>2433</v>
      </c>
      <c r="B1" s="2575"/>
      <c r="C1" s="2587"/>
      <c r="D1" s="2587"/>
      <c r="E1" s="2576"/>
      <c r="F1" s="2577"/>
      <c r="G1" s="2578"/>
      <c r="J1" s="2581" t="s">
        <v>2312</v>
      </c>
      <c r="K1" s="2582"/>
      <c r="L1" s="2582"/>
      <c r="M1" s="2582"/>
      <c r="N1" s="2582"/>
      <c r="O1" s="2582"/>
      <c r="P1" s="2582"/>
      <c r="Q1" s="2582"/>
      <c r="R1" s="2583"/>
      <c r="S1" s="2584"/>
      <c r="T1" s="2584"/>
      <c r="U1" s="2584"/>
    </row>
    <row r="2" spans="1:22" s="2596" customFormat="1" ht="13.2" customHeight="1">
      <c r="A2" s="1289" t="s">
        <v>2313</v>
      </c>
      <c r="B2" s="2586" t="e">
        <f>IF(D2="——",C40,C40+E2)</f>
        <v>#DIV/0!</v>
      </c>
      <c r="C2" s="2587" t="s">
        <v>2314</v>
      </c>
      <c r="D2" s="3129" t="s">
        <v>3357</v>
      </c>
      <c r="E2" s="3130"/>
      <c r="F2" s="2589"/>
      <c r="G2" s="2590"/>
      <c r="H2" s="2591"/>
      <c r="I2" s="2592"/>
      <c r="J2" s="3554" t="s">
        <v>2315</v>
      </c>
      <c r="K2" s="3555"/>
      <c r="L2" s="2593" t="s">
        <v>2316</v>
      </c>
      <c r="M2" s="2593" t="s">
        <v>2317</v>
      </c>
      <c r="N2" s="2593" t="s">
        <v>2318</v>
      </c>
      <c r="O2" s="2593" t="s">
        <v>2319</v>
      </c>
      <c r="P2" s="2593" t="s">
        <v>2320</v>
      </c>
      <c r="Q2" s="2594" t="s">
        <v>2321</v>
      </c>
      <c r="R2" s="2595" t="s">
        <v>2322</v>
      </c>
      <c r="S2" s="2584"/>
      <c r="T2" s="2584"/>
      <c r="U2" s="2584"/>
      <c r="V2" s="2592"/>
    </row>
    <row r="3" spans="1:22" s="2596" customFormat="1" ht="13.2" customHeight="1">
      <c r="A3" s="2597" t="s">
        <v>2323</v>
      </c>
      <c r="B3" s="2598" t="e">
        <f>ROUND(B2*10000/B4,0)</f>
        <v>#DIV/0!</v>
      </c>
      <c r="C3" s="2587" t="s">
        <v>2324</v>
      </c>
      <c r="D3" s="2587"/>
      <c r="E3" s="2588"/>
      <c r="F3" s="2589"/>
      <c r="G3" s="2590"/>
      <c r="H3" s="2591"/>
      <c r="I3" s="2592"/>
      <c r="J3" s="3556" t="s">
        <v>2325</v>
      </c>
      <c r="K3" s="3557"/>
      <c r="L3" s="2599"/>
      <c r="M3" s="2599"/>
      <c r="N3" s="2599"/>
      <c r="O3" s="2599"/>
      <c r="P3" s="2599"/>
      <c r="Q3" s="2600"/>
      <c r="R3" s="2601">
        <f>SUM(L3:Q3)</f>
        <v>0</v>
      </c>
      <c r="S3" s="2584"/>
      <c r="T3" s="2584"/>
      <c r="U3" s="2584"/>
      <c r="V3" s="2592"/>
    </row>
    <row r="4" spans="1:22" s="2596" customFormat="1" ht="13.2" customHeight="1">
      <c r="A4" s="2602" t="s">
        <v>2326</v>
      </c>
      <c r="B4" s="2603"/>
      <c r="C4" s="2587"/>
      <c r="D4" s="2587"/>
      <c r="E4" s="2588"/>
      <c r="F4" s="2589"/>
      <c r="G4" s="2590"/>
      <c r="H4" s="2591"/>
      <c r="I4" s="2592"/>
      <c r="J4" s="3556" t="s">
        <v>2327</v>
      </c>
      <c r="K4" s="3557"/>
      <c r="L4" s="2604"/>
      <c r="M4" s="2604"/>
      <c r="N4" s="2604"/>
      <c r="O4" s="2604"/>
      <c r="P4" s="2604"/>
      <c r="Q4" s="2605"/>
      <c r="R4" s="2606">
        <f>SUM(L4:Q4)</f>
        <v>0</v>
      </c>
      <c r="S4" s="2584"/>
      <c r="T4" s="2584"/>
      <c r="U4" s="2584"/>
      <c r="V4" s="2592"/>
    </row>
    <row r="5" spans="1:22" s="2596" customFormat="1" ht="13.2" customHeight="1" thickBot="1">
      <c r="A5" s="2607" t="s">
        <v>2328</v>
      </c>
      <c r="B5" s="2608"/>
      <c r="C5" s="2587"/>
      <c r="D5" s="2609"/>
      <c r="E5" s="2589"/>
      <c r="F5" s="2589"/>
      <c r="G5" s="2590"/>
      <c r="H5" s="2591"/>
      <c r="I5" s="2592"/>
      <c r="J5" s="2610" t="s">
        <v>2329</v>
      </c>
      <c r="K5" s="2611"/>
      <c r="L5" s="2611"/>
      <c r="M5" s="2612"/>
      <c r="N5" s="2612"/>
      <c r="O5" s="2612"/>
      <c r="P5" s="2612"/>
      <c r="Q5" s="2612"/>
      <c r="R5" s="2595">
        <f>SUM(R14,R19,R24,R25,R27,R28)</f>
        <v>0</v>
      </c>
      <c r="S5" s="2584"/>
      <c r="T5" s="2584" t="s">
        <v>2330</v>
      </c>
      <c r="U5" s="2584" t="e">
        <f>ROUND(R5*10000/365/R3,1)</f>
        <v>#DIV/0!</v>
      </c>
      <c r="V5" s="2592"/>
    </row>
    <row r="6" spans="1:22" s="2596" customFormat="1" ht="13.2" customHeight="1" thickBot="1">
      <c r="A6" s="3562" t="s">
        <v>2331</v>
      </c>
      <c r="B6" s="3563"/>
      <c r="C6" s="3564"/>
      <c r="D6" s="2613"/>
      <c r="E6" s="2614"/>
      <c r="F6" s="2615"/>
      <c r="G6" s="2616"/>
      <c r="H6" s="2591"/>
      <c r="I6" s="2592"/>
      <c r="J6" s="3548">
        <v>1</v>
      </c>
      <c r="K6" s="3549" t="s">
        <v>2332</v>
      </c>
      <c r="L6" s="2617" t="s">
        <v>2333</v>
      </c>
      <c r="M6" s="2618" t="s">
        <v>2334</v>
      </c>
      <c r="N6" s="2618" t="s">
        <v>2335</v>
      </c>
      <c r="O6" s="2618" t="s">
        <v>2336</v>
      </c>
      <c r="P6" s="2618" t="s">
        <v>2337</v>
      </c>
      <c r="Q6" s="2618" t="s">
        <v>2338</v>
      </c>
      <c r="R6" s="2601" t="s">
        <v>2339</v>
      </c>
      <c r="S6" s="2584"/>
      <c r="T6" s="2584" t="s">
        <v>2340</v>
      </c>
      <c r="U6" s="2584"/>
      <c r="V6" s="2592"/>
    </row>
    <row r="7" spans="1:22" s="2596" customFormat="1" ht="13.2" customHeight="1">
      <c r="A7" s="2619" t="s">
        <v>2341</v>
      </c>
      <c r="B7" s="2620"/>
      <c r="C7" s="2621"/>
      <c r="D7" s="2622">
        <f>SUM(D9,D10,D11,D17,0)</f>
        <v>0</v>
      </c>
      <c r="E7" s="2623" t="e">
        <f>E9+E10+E11+E17</f>
        <v>#DIV/0!</v>
      </c>
      <c r="F7" s="2624"/>
      <c r="G7" s="2625"/>
      <c r="H7" s="2591"/>
      <c r="I7" s="2592"/>
      <c r="J7" s="3548"/>
      <c r="K7" s="3550"/>
      <c r="L7" s="2626" t="s">
        <v>2342</v>
      </c>
      <c r="M7" s="2627"/>
      <c r="N7" s="2603"/>
      <c r="O7" s="2628"/>
      <c r="P7" s="2628"/>
      <c r="Q7" s="2629">
        <v>365</v>
      </c>
      <c r="R7" s="2630">
        <f>ROUND(M7*N7*O7*P7*Q7/10000,0)</f>
        <v>0</v>
      </c>
      <c r="S7" s="2584"/>
      <c r="T7" s="2584" t="s">
        <v>2343</v>
      </c>
      <c r="U7" s="2584"/>
      <c r="V7" s="2592"/>
    </row>
    <row r="8" spans="1:22" s="2596" customFormat="1" ht="13.2" customHeight="1">
      <c r="A8" s="2631" t="s">
        <v>2344</v>
      </c>
      <c r="B8" s="3565" t="s">
        <v>2345</v>
      </c>
      <c r="C8" s="3566"/>
      <c r="D8" s="2632" t="s">
        <v>2346</v>
      </c>
      <c r="E8" s="2633" t="s">
        <v>2347</v>
      </c>
      <c r="F8" s="2634" t="s">
        <v>2348</v>
      </c>
      <c r="G8" s="2635"/>
      <c r="H8" s="2591"/>
      <c r="I8" s="2592"/>
      <c r="J8" s="3548"/>
      <c r="K8" s="3550"/>
      <c r="L8" s="2626" t="s">
        <v>2349</v>
      </c>
      <c r="M8" s="2627"/>
      <c r="N8" s="2603"/>
      <c r="O8" s="2628"/>
      <c r="P8" s="2628"/>
      <c r="Q8" s="2629">
        <v>365</v>
      </c>
      <c r="R8" s="2630">
        <f t="shared" ref="R8:R13" si="0">ROUND(M8*N8*O8*P8*Q8/10000,0)</f>
        <v>0</v>
      </c>
      <c r="S8" s="2584"/>
      <c r="T8" s="2584" t="s">
        <v>2350</v>
      </c>
      <c r="U8" s="2584"/>
      <c r="V8" s="2592"/>
    </row>
    <row r="9" spans="1:22" s="2596" customFormat="1" ht="13.2" customHeight="1">
      <c r="A9" s="2631">
        <v>1</v>
      </c>
      <c r="B9" s="3565" t="s">
        <v>2351</v>
      </c>
      <c r="C9" s="3566"/>
      <c r="D9" s="2632">
        <f>ROUND(D6*E9,0)</f>
        <v>0</v>
      </c>
      <c r="E9" s="2636"/>
      <c r="F9" s="2637" t="s">
        <v>2352</v>
      </c>
      <c r="G9" s="2616"/>
      <c r="H9" s="2591"/>
      <c r="I9" s="2592"/>
      <c r="J9" s="3548"/>
      <c r="K9" s="3550"/>
      <c r="L9" s="2626" t="s">
        <v>2353</v>
      </c>
      <c r="M9" s="2627"/>
      <c r="N9" s="2603"/>
      <c r="O9" s="2628"/>
      <c r="P9" s="2628"/>
      <c r="Q9" s="2629">
        <v>365</v>
      </c>
      <c r="R9" s="2630">
        <f t="shared" si="0"/>
        <v>0</v>
      </c>
      <c r="S9" s="2584"/>
      <c r="T9" s="2584"/>
      <c r="U9" s="2584"/>
      <c r="V9" s="2592"/>
    </row>
    <row r="10" spans="1:22" s="2596" customFormat="1" ht="13.2" customHeight="1">
      <c r="A10" s="2631">
        <v>2</v>
      </c>
      <c r="B10" s="3565" t="s">
        <v>2354</v>
      </c>
      <c r="C10" s="3566"/>
      <c r="D10" s="2632">
        <f>ROUND(D6*E10,0)</f>
        <v>0</v>
      </c>
      <c r="E10" s="2636"/>
      <c r="F10" s="2637" t="s">
        <v>2355</v>
      </c>
      <c r="G10" s="2616"/>
      <c r="H10" s="2591"/>
      <c r="I10" s="2592"/>
      <c r="J10" s="3548"/>
      <c r="K10" s="3550"/>
      <c r="L10" s="2626" t="s">
        <v>2356</v>
      </c>
      <c r="M10" s="2627"/>
      <c r="N10" s="2603"/>
      <c r="O10" s="2628"/>
      <c r="P10" s="2628"/>
      <c r="Q10" s="2629">
        <v>365</v>
      </c>
      <c r="R10" s="2630">
        <f t="shared" si="0"/>
        <v>0</v>
      </c>
      <c r="S10" s="2584"/>
      <c r="T10" s="2584"/>
      <c r="U10" s="2584"/>
      <c r="V10" s="2592"/>
    </row>
    <row r="11" spans="1:22" s="2596" customFormat="1" ht="13.2" customHeight="1">
      <c r="A11" s="2631">
        <v>3</v>
      </c>
      <c r="B11" s="3565" t="s">
        <v>2357</v>
      </c>
      <c r="C11" s="3566"/>
      <c r="D11" s="2632">
        <f>D12+D14+D15+D16</f>
        <v>0</v>
      </c>
      <c r="E11" s="2638" t="e">
        <f>D11/D6</f>
        <v>#DIV/0!</v>
      </c>
      <c r="F11" s="2634"/>
      <c r="G11" s="2635"/>
      <c r="H11" s="2591"/>
      <c r="I11" s="2592"/>
      <c r="J11" s="3548"/>
      <c r="K11" s="3550"/>
      <c r="L11" s="2626" t="s">
        <v>2358</v>
      </c>
      <c r="M11" s="2627"/>
      <c r="N11" s="2603"/>
      <c r="O11" s="2628"/>
      <c r="P11" s="2628"/>
      <c r="Q11" s="2629">
        <v>365</v>
      </c>
      <c r="R11" s="2630">
        <f t="shared" si="0"/>
        <v>0</v>
      </c>
      <c r="S11" s="2584"/>
      <c r="T11" s="2584"/>
      <c r="U11" s="2584"/>
      <c r="V11" s="2592"/>
    </row>
    <row r="12" spans="1:22" s="2596" customFormat="1" ht="13.2" customHeight="1">
      <c r="A12" s="2639" t="s">
        <v>2359</v>
      </c>
      <c r="B12" s="3558" t="s">
        <v>2360</v>
      </c>
      <c r="C12" s="3559"/>
      <c r="D12" s="2640">
        <f>ROUND(D13*1.2%*(1-30%),0)</f>
        <v>0</v>
      </c>
      <c r="E12" s="2641">
        <v>1.2E-2</v>
      </c>
      <c r="F12" s="2634" t="s">
        <v>2361</v>
      </c>
      <c r="G12" s="2635"/>
      <c r="H12" s="2591"/>
      <c r="I12" s="2592"/>
      <c r="J12" s="3548"/>
      <c r="K12" s="3550"/>
      <c r="L12" s="2626" t="s">
        <v>2362</v>
      </c>
      <c r="M12" s="2627"/>
      <c r="N12" s="2603"/>
      <c r="O12" s="2628"/>
      <c r="P12" s="2628"/>
      <c r="Q12" s="2629">
        <v>365</v>
      </c>
      <c r="R12" s="2630">
        <f t="shared" si="0"/>
        <v>0</v>
      </c>
      <c r="S12" s="2584"/>
      <c r="T12" s="2584"/>
      <c r="U12" s="2584"/>
      <c r="V12" s="2592"/>
    </row>
    <row r="13" spans="1:22" s="2596" customFormat="1" ht="13.2" customHeight="1">
      <c r="A13" s="2639"/>
      <c r="B13" s="2642"/>
      <c r="C13" s="2643" t="s">
        <v>2363</v>
      </c>
      <c r="D13" s="2644"/>
      <c r="E13" s="2645"/>
      <c r="F13" s="2634"/>
      <c r="G13" s="2635"/>
      <c r="H13" s="2591"/>
      <c r="I13" s="2592"/>
      <c r="J13" s="3548"/>
      <c r="K13" s="3550"/>
      <c r="L13" s="2626" t="s">
        <v>2364</v>
      </c>
      <c r="M13" s="2627"/>
      <c r="N13" s="2603"/>
      <c r="O13" s="2628"/>
      <c r="P13" s="2628"/>
      <c r="Q13" s="2629">
        <v>365</v>
      </c>
      <c r="R13" s="2630">
        <f t="shared" si="0"/>
        <v>0</v>
      </c>
      <c r="S13" s="2584"/>
      <c r="T13" s="2584"/>
      <c r="U13" s="2584"/>
      <c r="V13" s="2592"/>
    </row>
    <row r="14" spans="1:22" s="2596" customFormat="1" ht="13.2" customHeight="1">
      <c r="A14" s="2639" t="s">
        <v>2365</v>
      </c>
      <c r="B14" s="3558" t="s">
        <v>2366</v>
      </c>
      <c r="C14" s="3559"/>
      <c r="D14" s="2640">
        <f>ROUND(E14*B5/10000,0)</f>
        <v>0</v>
      </c>
      <c r="E14" s="2629"/>
      <c r="F14" s="2634" t="s">
        <v>2367</v>
      </c>
      <c r="G14" s="2635"/>
      <c r="H14" s="2591"/>
      <c r="I14" s="2592"/>
      <c r="J14" s="3548"/>
      <c r="K14" s="3551"/>
      <c r="L14" s="2646" t="s">
        <v>2368</v>
      </c>
      <c r="M14" s="2647">
        <f>SUM(M7:M13)</f>
        <v>0</v>
      </c>
      <c r="N14" s="2647" t="e">
        <f>ROUND((N7*M7+N8*M8+N9*M9+N10*M10+N11*M11+N12*M12+N13*M13)/M14,0)</f>
        <v>#DIV/0!</v>
      </c>
      <c r="O14" s="2648"/>
      <c r="P14" s="2648"/>
      <c r="Q14" s="2649"/>
      <c r="R14" s="2595">
        <f>SUM(R7:R13)</f>
        <v>0</v>
      </c>
      <c r="S14" s="2584"/>
      <c r="T14" s="2584"/>
      <c r="U14" s="2584"/>
      <c r="V14" s="2592"/>
    </row>
    <row r="15" spans="1:22" s="2596" customFormat="1" ht="13.2" customHeight="1">
      <c r="A15" s="2639" t="s">
        <v>2369</v>
      </c>
      <c r="B15" s="3558" t="s">
        <v>2370</v>
      </c>
      <c r="C15" s="3559"/>
      <c r="D15" s="2640">
        <f>ROUND(D6*E15,0)</f>
        <v>0</v>
      </c>
      <c r="E15" s="2641">
        <v>5.5E-2</v>
      </c>
      <c r="F15" s="2634" t="s">
        <v>2371</v>
      </c>
      <c r="G15" s="2616"/>
      <c r="H15" s="2591"/>
      <c r="I15" s="2592"/>
      <c r="J15" s="3548">
        <v>2</v>
      </c>
      <c r="K15" s="3549" t="s">
        <v>2372</v>
      </c>
      <c r="L15" s="2626" t="s">
        <v>2373</v>
      </c>
      <c r="M15" s="2627" t="s">
        <v>2374</v>
      </c>
      <c r="N15" s="2627" t="s">
        <v>2375</v>
      </c>
      <c r="O15" s="2628" t="s">
        <v>2376</v>
      </c>
      <c r="P15" s="2628" t="s">
        <v>2338</v>
      </c>
      <c r="Q15" s="2603" t="s">
        <v>2377</v>
      </c>
      <c r="R15" s="2650" t="s">
        <v>2339</v>
      </c>
      <c r="S15" s="2584"/>
      <c r="T15" s="2584"/>
      <c r="U15" s="2584"/>
      <c r="V15" s="2592"/>
    </row>
    <row r="16" spans="1:22" s="2596" customFormat="1" ht="13.2" customHeight="1">
      <c r="A16" s="2639" t="s">
        <v>2378</v>
      </c>
      <c r="B16" s="3558" t="s">
        <v>2379</v>
      </c>
      <c r="C16" s="3559"/>
      <c r="D16" s="2651">
        <f>D6*E16</f>
        <v>0</v>
      </c>
      <c r="E16" s="2652"/>
      <c r="F16" s="2637" t="s">
        <v>2380</v>
      </c>
      <c r="G16" s="2616"/>
      <c r="H16" s="2591"/>
      <c r="I16" s="2592"/>
      <c r="J16" s="3548"/>
      <c r="K16" s="3550"/>
      <c r="L16" s="2626" t="s">
        <v>2381</v>
      </c>
      <c r="M16" s="2627"/>
      <c r="N16" s="2627"/>
      <c r="O16" s="2628"/>
      <c r="P16" s="2629">
        <v>365</v>
      </c>
      <c r="Q16" s="2603"/>
      <c r="R16" s="2650">
        <f>ROUND(M16*N16*O16*P16/10000,0)</f>
        <v>0</v>
      </c>
      <c r="S16" s="2584"/>
      <c r="T16" s="2584"/>
      <c r="U16" s="2584"/>
      <c r="V16" s="2592"/>
    </row>
    <row r="17" spans="1:22" s="2596" customFormat="1" ht="13.2" customHeight="1" thickBot="1">
      <c r="A17" s="2653">
        <v>4</v>
      </c>
      <c r="B17" s="3560" t="s">
        <v>2382</v>
      </c>
      <c r="C17" s="3561"/>
      <c r="D17" s="2654">
        <f>ROUND(D6*E17,0)</f>
        <v>0</v>
      </c>
      <c r="E17" s="2655"/>
      <c r="F17" s="2656" t="s">
        <v>2383</v>
      </c>
      <c r="G17" s="2616"/>
      <c r="H17" s="2591"/>
      <c r="I17" s="2592"/>
      <c r="J17" s="3548"/>
      <c r="K17" s="3550"/>
      <c r="L17" s="2626" t="s">
        <v>2384</v>
      </c>
      <c r="M17" s="2627"/>
      <c r="N17" s="2627"/>
      <c r="O17" s="2628"/>
      <c r="P17" s="2629">
        <v>365</v>
      </c>
      <c r="Q17" s="2603"/>
      <c r="R17" s="2650">
        <f>ROUND(M17*N17*O17*P17/10000,0)</f>
        <v>0</v>
      </c>
      <c r="S17" s="2584"/>
      <c r="T17" s="2584"/>
      <c r="U17" s="2584"/>
      <c r="V17" s="2592"/>
    </row>
    <row r="18" spans="1:22" s="2596" customFormat="1" ht="13.2" customHeight="1" thickBot="1">
      <c r="A18" s="2619" t="s">
        <v>2385</v>
      </c>
      <c r="B18" s="2620"/>
      <c r="C18" s="2620"/>
      <c r="D18" s="2657">
        <f>ROUND(D6*E18,0)</f>
        <v>0</v>
      </c>
      <c r="E18" s="2658"/>
      <c r="F18" s="2659" t="s">
        <v>2386</v>
      </c>
      <c r="G18" s="2616"/>
      <c r="H18" s="2591"/>
      <c r="I18" s="2592"/>
      <c r="J18" s="3548"/>
      <c r="K18" s="3550"/>
      <c r="L18" s="2626" t="s">
        <v>2387</v>
      </c>
      <c r="M18" s="2627"/>
      <c r="N18" s="2627"/>
      <c r="O18" s="2628"/>
      <c r="P18" s="2629">
        <v>365</v>
      </c>
      <c r="Q18" s="2603"/>
      <c r="R18" s="2650">
        <f>ROUND(M18*N18*O18*P18/10000,0)</f>
        <v>0</v>
      </c>
      <c r="S18" s="2584"/>
      <c r="T18" s="2584"/>
      <c r="U18" s="2584"/>
      <c r="V18" s="2592"/>
    </row>
    <row r="19" spans="1:22" s="2596" customFormat="1" ht="13.2" customHeight="1" thickBot="1">
      <c r="A19" s="2660" t="s">
        <v>2388</v>
      </c>
      <c r="B19" s="2614"/>
      <c r="C19" s="2614"/>
      <c r="D19" s="2614"/>
      <c r="E19" s="2614"/>
      <c r="F19" s="2615"/>
      <c r="G19" s="2635"/>
      <c r="H19" s="2591"/>
      <c r="I19" s="2592"/>
      <c r="J19" s="3548"/>
      <c r="K19" s="3551"/>
      <c r="L19" s="2646" t="s">
        <v>2368</v>
      </c>
      <c r="M19" s="2647"/>
      <c r="N19" s="2647">
        <f>SUM(N16:N18)</f>
        <v>0</v>
      </c>
      <c r="O19" s="2648"/>
      <c r="P19" s="2661" t="s">
        <v>2432</v>
      </c>
      <c r="Q19" s="2628">
        <v>0</v>
      </c>
      <c r="R19" s="2662">
        <f>ROUND(IF(P19="按比例",R14*Q19,SUM(R16:R18)),0)</f>
        <v>0</v>
      </c>
      <c r="S19" s="2584"/>
      <c r="T19" s="2584"/>
      <c r="U19" s="2584"/>
      <c r="V19" s="2592"/>
    </row>
    <row r="20" spans="1:22" s="2596" customFormat="1" ht="13.2" customHeight="1">
      <c r="A20" s="2619"/>
      <c r="B20" s="2620"/>
      <c r="C20" s="2620"/>
      <c r="D20" s="2620"/>
      <c r="E20" s="2620"/>
      <c r="F20" s="2663"/>
      <c r="G20" s="2635"/>
      <c r="H20" s="2591"/>
      <c r="I20" s="2592"/>
      <c r="J20" s="3548">
        <v>3</v>
      </c>
      <c r="K20" s="3549" t="s">
        <v>2389</v>
      </c>
      <c r="L20" s="2626" t="s">
        <v>2390</v>
      </c>
      <c r="M20" s="2627" t="s">
        <v>2391</v>
      </c>
      <c r="N20" s="2664" t="s">
        <v>2392</v>
      </c>
      <c r="O20" s="2628" t="s">
        <v>2393</v>
      </c>
      <c r="P20" s="2629" t="s">
        <v>2394</v>
      </c>
      <c r="Q20" s="2603" t="s">
        <v>2395</v>
      </c>
      <c r="R20" s="2650" t="s">
        <v>2396</v>
      </c>
      <c r="S20" s="2584"/>
      <c r="T20" s="2584"/>
      <c r="U20" s="2584"/>
      <c r="V20" s="2592"/>
    </row>
    <row r="21" spans="1:22" s="2596" customFormat="1" ht="13.2" customHeight="1">
      <c r="A21" s="2619"/>
      <c r="B21" s="2620"/>
      <c r="C21" s="2665" t="s">
        <v>2397</v>
      </c>
      <c r="D21" s="2666" t="s">
        <v>2398</v>
      </c>
      <c r="E21" s="2667" t="s">
        <v>2399</v>
      </c>
      <c r="F21" s="2663"/>
      <c r="G21" s="2635"/>
      <c r="H21" s="2591"/>
      <c r="I21" s="2592"/>
      <c r="J21" s="3548"/>
      <c r="K21" s="3550"/>
      <c r="L21" s="2626" t="s">
        <v>2400</v>
      </c>
      <c r="M21" s="2627"/>
      <c r="N21" s="2627"/>
      <c r="O21" s="2628"/>
      <c r="P21" s="2629">
        <v>365</v>
      </c>
      <c r="Q21" s="2603"/>
      <c r="R21" s="2668">
        <f>ROUND(M21*N21*O21*P21/10000,0)</f>
        <v>0</v>
      </c>
      <c r="S21" s="2584"/>
      <c r="T21" s="2584"/>
      <c r="U21" s="2584"/>
      <c r="V21" s="2592"/>
    </row>
    <row r="22" spans="1:22" s="2596" customFormat="1" ht="13.2" customHeight="1">
      <c r="A22" s="2619"/>
      <c r="B22" s="2620"/>
      <c r="C22" s="2669" t="s">
        <v>2401</v>
      </c>
      <c r="D22" s="2670" t="s">
        <v>2402</v>
      </c>
      <c r="E22" s="2671" t="s">
        <v>2403</v>
      </c>
      <c r="F22" s="2663"/>
      <c r="G22" s="2584"/>
      <c r="H22" s="2591"/>
      <c r="I22" s="2592"/>
      <c r="J22" s="3548"/>
      <c r="K22" s="3550"/>
      <c r="L22" s="2626" t="s">
        <v>2404</v>
      </c>
      <c r="M22" s="2627"/>
      <c r="N22" s="2627"/>
      <c r="O22" s="2628"/>
      <c r="P22" s="2629">
        <v>365</v>
      </c>
      <c r="Q22" s="2603"/>
      <c r="R22" s="2668">
        <f>ROUND(M22*N22*O22*P22/10000,0)</f>
        <v>0</v>
      </c>
      <c r="S22" s="2584"/>
      <c r="T22" s="2584"/>
      <c r="U22" s="2584"/>
      <c r="V22" s="2592"/>
    </row>
    <row r="23" spans="1:22" s="2596" customFormat="1" ht="13.2" customHeight="1">
      <c r="A23" s="2672">
        <v>1</v>
      </c>
      <c r="B23" s="2673" t="s">
        <v>2405</v>
      </c>
      <c r="C23" s="2674">
        <f>D6</f>
        <v>0</v>
      </c>
      <c r="D23" s="2675">
        <f>C23*(1+D24)</f>
        <v>0</v>
      </c>
      <c r="E23" s="2676">
        <f>D23*(1+E24)</f>
        <v>0</v>
      </c>
      <c r="F23" s="2677"/>
      <c r="G23" s="2678"/>
      <c r="H23" s="2591"/>
      <c r="I23" s="2592"/>
      <c r="J23" s="3548"/>
      <c r="K23" s="3550"/>
      <c r="L23" s="2626" t="s">
        <v>2406</v>
      </c>
      <c r="M23" s="2627"/>
      <c r="N23" s="2627"/>
      <c r="O23" s="2628"/>
      <c r="P23" s="2629">
        <v>365</v>
      </c>
      <c r="Q23" s="2603"/>
      <c r="R23" s="2668">
        <f>ROUND(M23*N23*O23*P23/10000,0)</f>
        <v>0</v>
      </c>
      <c r="S23" s="2584"/>
      <c r="T23" s="2584"/>
      <c r="U23" s="2584"/>
      <c r="V23" s="2592"/>
    </row>
    <row r="24" spans="1:22" s="2596" customFormat="1" ht="13.2" customHeight="1">
      <c r="A24" s="2679"/>
      <c r="B24" s="2680" t="s">
        <v>2407</v>
      </c>
      <c r="C24" s="2681"/>
      <c r="D24" s="2682"/>
      <c r="E24" s="2683"/>
      <c r="F24" s="2684"/>
      <c r="G24" s="2678"/>
      <c r="H24" s="2591"/>
      <c r="I24" s="2592"/>
      <c r="J24" s="3548"/>
      <c r="K24" s="3551"/>
      <c r="L24" s="2646" t="s">
        <v>2368</v>
      </c>
      <c r="M24" s="2647">
        <f>SUM(M21:M23)</f>
        <v>0</v>
      </c>
      <c r="N24" s="2647"/>
      <c r="O24" s="2648"/>
      <c r="P24" s="2661" t="s">
        <v>2432</v>
      </c>
      <c r="Q24" s="2628">
        <v>0</v>
      </c>
      <c r="R24" s="2662">
        <f>ROUND(IF(P24="按比例",R14*Q24,SUM(R21:R23)),0)</f>
        <v>0</v>
      </c>
      <c r="S24" s="2584"/>
      <c r="T24" s="2584"/>
      <c r="U24" s="2584"/>
      <c r="V24" s="2592"/>
    </row>
    <row r="25" spans="1:22" s="2691" customFormat="1" ht="13.2" customHeight="1">
      <c r="A25" s="2679"/>
      <c r="B25" s="2680"/>
      <c r="C25" s="2681"/>
      <c r="D25" s="2682"/>
      <c r="E25" s="2683"/>
      <c r="F25" s="2684"/>
      <c r="G25" s="2584"/>
      <c r="H25" s="2591"/>
      <c r="I25" s="2592"/>
      <c r="J25" s="2685">
        <v>4</v>
      </c>
      <c r="K25" s="2686" t="s">
        <v>2408</v>
      </c>
      <c r="L25" s="2687"/>
      <c r="M25" s="2687"/>
      <c r="N25" s="2687"/>
      <c r="O25" s="2687"/>
      <c r="P25" s="2688"/>
      <c r="Q25" s="2689">
        <v>0</v>
      </c>
      <c r="R25" s="2662">
        <f>ROUND(R14*Q25,0)</f>
        <v>0</v>
      </c>
      <c r="S25" s="2584"/>
      <c r="T25" s="2584"/>
      <c r="U25" s="2584"/>
      <c r="V25" s="2690"/>
    </row>
    <row r="26" spans="1:22" s="2691" customFormat="1" ht="13.2" customHeight="1">
      <c r="A26" s="2672">
        <v>2</v>
      </c>
      <c r="B26" s="2673" t="s">
        <v>2409</v>
      </c>
      <c r="C26" s="2674">
        <f>D7</f>
        <v>0</v>
      </c>
      <c r="D26" s="2675">
        <f>D23*D27</f>
        <v>0</v>
      </c>
      <c r="E26" s="2676">
        <f>E23*E27</f>
        <v>0</v>
      </c>
      <c r="F26" s="2677"/>
      <c r="G26" s="2678"/>
      <c r="H26" s="2591"/>
      <c r="I26" s="2592"/>
      <c r="J26" s="3552">
        <v>5</v>
      </c>
      <c r="K26" s="2692" t="s">
        <v>2410</v>
      </c>
      <c r="L26" s="2693"/>
      <c r="M26" s="2694"/>
      <c r="N26" s="2695" t="s">
        <v>2411</v>
      </c>
      <c r="O26" s="2695" t="s">
        <v>2412</v>
      </c>
      <c r="P26" s="2696" t="s">
        <v>2413</v>
      </c>
      <c r="Q26" s="2696" t="s">
        <v>2414</v>
      </c>
      <c r="R26" s="2601" t="s">
        <v>2339</v>
      </c>
      <c r="S26" s="2635"/>
      <c r="T26" s="2635"/>
      <c r="U26" s="2635"/>
      <c r="V26" s="2690"/>
    </row>
    <row r="27" spans="1:22" s="2596" customFormat="1" ht="13.2" customHeight="1">
      <c r="A27" s="2679"/>
      <c r="B27" s="2680" t="s">
        <v>2415</v>
      </c>
      <c r="C27" s="2697" t="e">
        <f>E7</f>
        <v>#DIV/0!</v>
      </c>
      <c r="D27" s="2682"/>
      <c r="E27" s="2683"/>
      <c r="F27" s="2684"/>
      <c r="G27" s="2678"/>
      <c r="H27" s="2698"/>
      <c r="I27" s="2690"/>
      <c r="J27" s="3553"/>
      <c r="K27" s="2699"/>
      <c r="L27" s="2700"/>
      <c r="M27" s="2701"/>
      <c r="N27" s="2702"/>
      <c r="O27" s="2702"/>
      <c r="P27" s="2702"/>
      <c r="Q27" s="2703"/>
      <c r="R27" s="2662">
        <f>ROUND(O27*N27*P27*(1-Q27)/10000,0)</f>
        <v>0</v>
      </c>
      <c r="S27" s="2584"/>
      <c r="T27" s="2584"/>
      <c r="U27" s="2584"/>
      <c r="V27" s="2592"/>
    </row>
    <row r="28" spans="1:22" s="2691" customFormat="1" ht="13.2" customHeight="1" thickBot="1">
      <c r="A28" s="2679"/>
      <c r="B28" s="2680"/>
      <c r="C28" s="2697"/>
      <c r="D28" s="2682"/>
      <c r="E28" s="2683" t="s">
        <v>2416</v>
      </c>
      <c r="F28" s="2684"/>
      <c r="G28" s="2584"/>
      <c r="H28" s="2698"/>
      <c r="I28" s="2690"/>
      <c r="J28" s="2704">
        <v>6</v>
      </c>
      <c r="K28" s="2705" t="s">
        <v>2417</v>
      </c>
      <c r="L28" s="2706" t="s">
        <v>2418</v>
      </c>
      <c r="M28" s="2707"/>
      <c r="N28" s="2706" t="s">
        <v>2419</v>
      </c>
      <c r="O28" s="2708"/>
      <c r="P28" s="2706" t="s">
        <v>2420</v>
      </c>
      <c r="Q28" s="2709">
        <v>1.4999999999999999E-2</v>
      </c>
      <c r="R28" s="2710"/>
      <c r="S28" s="2584"/>
      <c r="T28" s="2584"/>
      <c r="U28" s="2584"/>
      <c r="V28" s="2690"/>
    </row>
    <row r="29" spans="1:22" s="2691" customFormat="1" ht="13.2" customHeight="1">
      <c r="A29" s="2672">
        <v>3</v>
      </c>
      <c r="B29" s="2673" t="s">
        <v>2421</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2" customHeight="1" thickBot="1">
      <c r="A30" s="2679"/>
      <c r="B30" s="2680" t="s">
        <v>2415</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2" customHeight="1">
      <c r="A31" s="2679"/>
      <c r="B31" s="2680"/>
      <c r="C31" s="2712"/>
      <c r="D31" s="2711"/>
      <c r="E31" s="2645"/>
      <c r="F31" s="2684"/>
      <c r="G31" s="2584"/>
      <c r="H31" s="2698"/>
      <c r="I31" s="2690"/>
      <c r="J31" s="2581" t="s">
        <v>2422</v>
      </c>
      <c r="K31" s="2582"/>
      <c r="L31" s="2582"/>
      <c r="M31" s="2582"/>
      <c r="N31" s="2582"/>
      <c r="O31" s="2582"/>
      <c r="P31" s="2582"/>
      <c r="Q31" s="2582"/>
      <c r="R31" s="2583"/>
      <c r="S31" s="2584"/>
      <c r="T31" s="2584"/>
      <c r="U31" s="2584"/>
      <c r="V31" s="2690"/>
    </row>
    <row r="32" spans="1:22" s="2691" customFormat="1" ht="13.2" customHeight="1">
      <c r="A32" s="2672">
        <v>4</v>
      </c>
      <c r="B32" s="2673" t="s">
        <v>2423</v>
      </c>
      <c r="C32" s="2674">
        <f>C23-C26-C29</f>
        <v>0</v>
      </c>
      <c r="D32" s="2675">
        <f>D23-D26-D29</f>
        <v>0</v>
      </c>
      <c r="E32" s="2676">
        <f>E23-E26-E29</f>
        <v>0</v>
      </c>
      <c r="F32" s="2677"/>
      <c r="G32" s="2584"/>
      <c r="H32" s="2591"/>
      <c r="I32" s="2592"/>
      <c r="J32" s="3554" t="s">
        <v>2315</v>
      </c>
      <c r="K32" s="3555"/>
      <c r="L32" s="2593" t="s">
        <v>2316</v>
      </c>
      <c r="M32" s="2593" t="s">
        <v>2317</v>
      </c>
      <c r="N32" s="2593" t="s">
        <v>2318</v>
      </c>
      <c r="O32" s="2593" t="s">
        <v>2319</v>
      </c>
      <c r="P32" s="2593" t="s">
        <v>2320</v>
      </c>
      <c r="Q32" s="2594" t="s">
        <v>2321</v>
      </c>
      <c r="R32" s="2713" t="s">
        <v>2322</v>
      </c>
      <c r="S32" s="2584"/>
      <c r="T32" s="2584"/>
      <c r="U32" s="2584"/>
      <c r="V32" s="2690"/>
    </row>
    <row r="33" spans="1:23" s="2596" customFormat="1" ht="13.2" customHeight="1">
      <c r="A33" s="2672"/>
      <c r="B33" s="2673"/>
      <c r="C33" s="2674"/>
      <c r="D33" s="2714"/>
      <c r="E33" s="2715"/>
      <c r="F33" s="2677"/>
      <c r="G33" s="2584"/>
      <c r="H33" s="2698"/>
      <c r="I33" s="2690"/>
      <c r="J33" s="3556" t="s">
        <v>2325</v>
      </c>
      <c r="K33" s="3557"/>
      <c r="L33" s="2599"/>
      <c r="M33" s="2599"/>
      <c r="N33" s="2599"/>
      <c r="O33" s="2599"/>
      <c r="P33" s="2599"/>
      <c r="Q33" s="2600"/>
      <c r="R33" s="2716">
        <f>SUM(L33:Q33)</f>
        <v>0</v>
      </c>
      <c r="S33" s="2584"/>
      <c r="T33" s="2584"/>
      <c r="U33" s="2584"/>
      <c r="V33" s="2592"/>
    </row>
    <row r="34" spans="1:23" s="2596" customFormat="1" ht="13.2" customHeight="1">
      <c r="A34" s="2672">
        <v>5</v>
      </c>
      <c r="B34" s="2673" t="s">
        <v>2424</v>
      </c>
      <c r="C34" s="2717"/>
      <c r="D34" s="2718"/>
      <c r="E34" s="2719"/>
      <c r="F34" s="2677"/>
      <c r="G34" s="2584"/>
      <c r="H34" s="2698"/>
      <c r="I34" s="2690"/>
      <c r="J34" s="3556" t="s">
        <v>2327</v>
      </c>
      <c r="K34" s="3557"/>
      <c r="L34" s="2604"/>
      <c r="M34" s="2604"/>
      <c r="N34" s="2604"/>
      <c r="O34" s="2604"/>
      <c r="P34" s="2604"/>
      <c r="Q34" s="2605"/>
      <c r="R34" s="2720">
        <f>SUM(L34:Q34)</f>
        <v>0</v>
      </c>
      <c r="S34" s="2584"/>
      <c r="T34" s="2584"/>
      <c r="U34" s="2584" t="e">
        <f>ROUND(R35*10000/365/R33,1)</f>
        <v>#DIV/0!</v>
      </c>
      <c r="V34" s="2592"/>
    </row>
    <row r="35" spans="1:23" s="2596" customFormat="1" ht="13.2" customHeight="1">
      <c r="A35" s="2672">
        <v>6</v>
      </c>
      <c r="B35" s="2673" t="s">
        <v>2425</v>
      </c>
      <c r="C35" s="2721"/>
      <c r="D35" s="2722"/>
      <c r="E35" s="2723"/>
      <c r="F35" s="2677"/>
      <c r="G35" s="2724"/>
      <c r="H35" s="2591"/>
      <c r="I35" s="2690"/>
      <c r="J35" s="2610" t="s">
        <v>2329</v>
      </c>
      <c r="K35" s="2611"/>
      <c r="L35" s="2611"/>
      <c r="M35" s="2612"/>
      <c r="N35" s="2612"/>
      <c r="O35" s="2612"/>
      <c r="P35" s="2612"/>
      <c r="Q35" s="2612"/>
      <c r="R35" s="2725">
        <f>R40+R41+R43</f>
        <v>0</v>
      </c>
      <c r="S35" s="2584"/>
      <c r="T35" s="2584" t="s">
        <v>2330</v>
      </c>
      <c r="U35" s="2584"/>
      <c r="V35" s="2592"/>
    </row>
    <row r="36" spans="1:23" s="2596" customFormat="1" ht="13.2" customHeight="1" thickBot="1">
      <c r="A36" s="2672">
        <v>7</v>
      </c>
      <c r="B36" s="2726" t="s">
        <v>2426</v>
      </c>
      <c r="C36" s="2727"/>
      <c r="D36" s="2728"/>
      <c r="E36" s="2729"/>
      <c r="F36" s="2730">
        <f>C36+D36+E36</f>
        <v>0</v>
      </c>
      <c r="G36" s="2584"/>
      <c r="H36" s="2591"/>
      <c r="I36" s="2592"/>
      <c r="J36" s="3548">
        <v>1</v>
      </c>
      <c r="K36" s="3549" t="s">
        <v>2427</v>
      </c>
      <c r="L36" s="2617"/>
      <c r="M36" s="2618"/>
      <c r="N36" s="2618"/>
      <c r="O36" s="2618"/>
      <c r="P36" s="2618"/>
      <c r="Q36" s="2618"/>
      <c r="R36" s="2601" t="s">
        <v>2339</v>
      </c>
      <c r="S36" s="2584"/>
      <c r="T36" s="2584" t="s">
        <v>2340</v>
      </c>
      <c r="U36" s="2584"/>
      <c r="V36" s="2592"/>
    </row>
    <row r="37" spans="1:23" s="2596" customFormat="1" ht="13.2" customHeight="1">
      <c r="A37" s="2672"/>
      <c r="B37" s="2673"/>
      <c r="C37" s="2673"/>
      <c r="D37" s="2673"/>
      <c r="E37" s="2673"/>
      <c r="F37" s="2677"/>
      <c r="G37" s="2584"/>
      <c r="H37" s="2591"/>
      <c r="I37" s="2592"/>
      <c r="J37" s="3548"/>
      <c r="K37" s="3550"/>
      <c r="L37" s="2626"/>
      <c r="M37" s="2627"/>
      <c r="N37" s="2603"/>
      <c r="O37" s="2628"/>
      <c r="P37" s="2628"/>
      <c r="Q37" s="2629"/>
      <c r="R37" s="2630"/>
      <c r="S37" s="2584"/>
      <c r="T37" s="2584" t="s">
        <v>2343</v>
      </c>
      <c r="U37" s="2584"/>
      <c r="V37" s="2592"/>
    </row>
    <row r="38" spans="1:23" s="2596" customFormat="1" ht="13.2" customHeight="1">
      <c r="A38" s="2672">
        <v>8</v>
      </c>
      <c r="B38" s="2673"/>
      <c r="C38" s="2632" t="e">
        <f>ROUND(C32*(1-((1+C35)/(1+C34))^C36)/(C34-C35),0)</f>
        <v>#DIV/0!</v>
      </c>
      <c r="D38" s="2632">
        <f>IF(D23=0,0,ROUND(D32*(1-((1+D35)/(1+D34))^D36)/(D34-D35),0))</f>
        <v>0</v>
      </c>
      <c r="E38" s="2632">
        <f>IF(E23=0,0,ROUND(E32*(1-((1+E35)/(1+E34))^E36)/(E34-E35),0))</f>
        <v>0</v>
      </c>
      <c r="F38" s="2677"/>
      <c r="G38" s="2584"/>
      <c r="H38" s="2591"/>
      <c r="I38" s="2592"/>
      <c r="J38" s="3548"/>
      <c r="K38" s="3550"/>
      <c r="L38" s="2626"/>
      <c r="M38" s="2627"/>
      <c r="N38" s="2603"/>
      <c r="O38" s="2628"/>
      <c r="P38" s="2628"/>
      <c r="Q38" s="2629"/>
      <c r="R38" s="2630"/>
      <c r="S38" s="2584"/>
      <c r="T38" s="2584" t="s">
        <v>2350</v>
      </c>
      <c r="U38" s="2584"/>
      <c r="V38" s="2592"/>
    </row>
    <row r="39" spans="1:23" s="2596" customFormat="1" ht="13.2" customHeight="1">
      <c r="A39" s="2672">
        <v>9</v>
      </c>
      <c r="B39" s="2673" t="s">
        <v>2428</v>
      </c>
      <c r="C39" s="2640" t="e">
        <f>C38</f>
        <v>#DIV/0!</v>
      </c>
      <c r="D39" s="2673">
        <f>D38/(1+D34)^C36</f>
        <v>0</v>
      </c>
      <c r="E39" s="2673">
        <f>E38/(1+E34)^(C36+D36)</f>
        <v>0</v>
      </c>
      <c r="F39" s="2677"/>
      <c r="G39" s="2592"/>
      <c r="H39" s="2591"/>
      <c r="I39" s="2592"/>
      <c r="J39" s="3548"/>
      <c r="K39" s="3550"/>
      <c r="L39" s="2626"/>
      <c r="M39" s="2627"/>
      <c r="N39" s="2603"/>
      <c r="O39" s="2628"/>
      <c r="P39" s="2628"/>
      <c r="Q39" s="2629"/>
      <c r="R39" s="2630"/>
      <c r="S39" s="2584"/>
      <c r="T39" s="2584"/>
      <c r="U39" s="2584"/>
      <c r="V39" s="2592"/>
    </row>
    <row r="40" spans="1:23" s="2596" customFormat="1" ht="13.2" customHeight="1">
      <c r="A40" s="2731">
        <v>10</v>
      </c>
      <c r="B40" s="2673" t="s">
        <v>2429</v>
      </c>
      <c r="C40" s="2732" t="e">
        <f>C39+D39+E39</f>
        <v>#DIV/0!</v>
      </c>
      <c r="D40" s="2733"/>
      <c r="E40" s="2733"/>
      <c r="F40" s="2734"/>
      <c r="G40" s="2584"/>
      <c r="H40" s="2591"/>
      <c r="I40" s="2592"/>
      <c r="J40" s="3548"/>
      <c r="K40" s="3551"/>
      <c r="L40" s="2646" t="s">
        <v>2368</v>
      </c>
      <c r="M40" s="2647"/>
      <c r="N40" s="2647"/>
      <c r="O40" s="2648"/>
      <c r="P40" s="2648"/>
      <c r="Q40" s="2649"/>
      <c r="R40" s="2595">
        <f>SUM(R37:R39)</f>
        <v>0</v>
      </c>
      <c r="S40" s="2584"/>
      <c r="T40" s="2584"/>
      <c r="U40" s="2584"/>
      <c r="V40" s="2592"/>
    </row>
    <row r="41" spans="1:23" s="2596" customFormat="1" ht="13.2" customHeight="1" thickBot="1">
      <c r="A41" s="2735">
        <v>11</v>
      </c>
      <c r="B41" s="2736" t="s">
        <v>2430</v>
      </c>
      <c r="C41" s="2736" t="e">
        <f>ROUND(C40*10000/B4,0)</f>
        <v>#DIV/0!</v>
      </c>
      <c r="D41" s="2737"/>
      <c r="E41" s="2737"/>
      <c r="F41" s="2738"/>
      <c r="G41" s="2591"/>
      <c r="H41" s="2591"/>
      <c r="I41" s="2592"/>
      <c r="J41" s="2685">
        <v>2</v>
      </c>
      <c r="K41" s="2686" t="s">
        <v>2408</v>
      </c>
      <c r="L41" s="2687"/>
      <c r="M41" s="2687"/>
      <c r="N41" s="2687"/>
      <c r="O41" s="2687"/>
      <c r="P41" s="2688"/>
      <c r="Q41" s="2689"/>
      <c r="R41" s="2662">
        <f>ROUND(R40*Q41,0)</f>
        <v>0</v>
      </c>
      <c r="S41" s="2584"/>
      <c r="T41" s="2584"/>
      <c r="U41" s="2635"/>
      <c r="V41" s="2592"/>
    </row>
    <row r="42" spans="1:23" s="2596" customFormat="1" ht="13.2" customHeight="1">
      <c r="G42" s="2591"/>
      <c r="H42" s="2591"/>
      <c r="I42" s="2592"/>
      <c r="J42" s="3552">
        <v>3</v>
      </c>
      <c r="K42" s="2692" t="s">
        <v>2410</v>
      </c>
      <c r="L42" s="2693"/>
      <c r="M42" s="2694"/>
      <c r="N42" s="2695" t="s">
        <v>2411</v>
      </c>
      <c r="O42" s="2695" t="s">
        <v>2412</v>
      </c>
      <c r="P42" s="2696" t="s">
        <v>2413</v>
      </c>
      <c r="Q42" s="2696" t="s">
        <v>2414</v>
      </c>
      <c r="R42" s="2601" t="s">
        <v>2339</v>
      </c>
      <c r="S42" s="2635"/>
      <c r="T42" s="2635"/>
      <c r="U42" s="2584"/>
      <c r="V42" s="2592"/>
    </row>
    <row r="43" spans="1:23" ht="13.2" customHeight="1">
      <c r="A43" s="2596"/>
      <c r="B43" s="2596"/>
      <c r="C43" s="2596"/>
      <c r="D43" s="2596"/>
      <c r="E43" s="2596"/>
      <c r="F43" s="2596"/>
      <c r="I43" s="2579"/>
      <c r="J43" s="3553"/>
      <c r="K43" s="2699"/>
      <c r="L43" s="2700"/>
      <c r="M43" s="2701"/>
      <c r="N43" s="2627"/>
      <c r="O43" s="2627"/>
      <c r="P43" s="2627"/>
      <c r="Q43" s="2689"/>
      <c r="R43" s="2662">
        <f>ROUND(O43*N43*P43*(1-Q43)/10000,0)</f>
        <v>0</v>
      </c>
      <c r="S43" s="2584"/>
      <c r="T43" s="2584"/>
      <c r="V43" s="2739"/>
      <c r="W43" s="2740"/>
    </row>
    <row r="44" spans="1:23" ht="13.2" customHeight="1" thickBot="1">
      <c r="J44" s="2704">
        <v>6</v>
      </c>
      <c r="K44" s="2705" t="s">
        <v>2417</v>
      </c>
      <c r="L44" s="2741" t="s">
        <v>2418</v>
      </c>
      <c r="M44" s="2707"/>
      <c r="N44" s="2741" t="s">
        <v>2419</v>
      </c>
      <c r="O44" s="2707"/>
      <c r="P44" s="2741" t="s">
        <v>2420</v>
      </c>
      <c r="Q44" s="2709">
        <v>1.4999999999999999E-2</v>
      </c>
      <c r="R44" s="271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6" t="s">
        <v>898</v>
      </c>
    </row>
    <row r="3" spans="1:1" ht="17.399999999999999">
      <c r="A3" s="1377" t="str">
        <f>项目基本情况!B5&amp;"："</f>
        <v>：</v>
      </c>
    </row>
    <row r="4" spans="1:1" ht="34.799999999999997">
      <c r="A4" s="1378" t="str">
        <f>"受贵公司委托，我公司对"&amp;项目基本情况!S1&amp;"进行了预评估。"</f>
        <v>受贵公司委托，我公司对北京市西城区平安里西大街28号楼1层101等[34]套房地产抵押价值进行了预评估。</v>
      </c>
    </row>
    <row r="5" spans="1:1" ht="17.399999999999999">
      <c r="A5" s="1379" t="s">
        <v>899</v>
      </c>
    </row>
    <row r="6" spans="1:1" ht="17.399999999999999">
      <c r="A6" s="1380" t="s">
        <v>900</v>
      </c>
    </row>
    <row r="7" spans="1:1" ht="69.59999999999999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4.6">
      <c r="A8" s="1381" t="s">
        <v>901</v>
      </c>
    </row>
    <row r="9" spans="1:1" ht="17.399999999999999">
      <c r="A9" s="1380" t="s">
        <v>902</v>
      </c>
    </row>
    <row r="10" spans="1:1" ht="69.59999999999999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2">
      <c r="A11" s="1381" t="s">
        <v>903</v>
      </c>
    </row>
    <row r="12" spans="1:1" ht="17.399999999999999">
      <c r="A12" s="1379" t="s">
        <v>904</v>
      </c>
    </row>
    <row r="13" spans="1:1" ht="38.25" customHeight="1">
      <c r="A13" s="1378"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7" t="s">
        <v>905</v>
      </c>
    </row>
    <row r="15" spans="1:1" ht="17.399999999999999">
      <c r="A15" s="1382" t="str">
        <f>TEXT(项目基本情况!D3,"yyyy年m月d日;;")&amp;IF(项目基本情况!D3=项目基本情况!B3,"（评估专业人员实地查勘之日）","")</f>
        <v>2025年3月18日（评估专业人员实地查勘之日）</v>
      </c>
    </row>
    <row r="16" spans="1:1" ht="17.399999999999999">
      <c r="A16" s="1377" t="s">
        <v>906</v>
      </c>
    </row>
    <row r="17" spans="1:1" ht="69.599999999999994">
      <c r="A17" s="1378" t="s">
        <v>907</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7" t="s">
        <v>896</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1661</v>
      </c>
      <c r="C1" s="1151" t="s">
        <v>1662</v>
      </c>
      <c r="D1" s="1138"/>
      <c r="E1" s="3116"/>
      <c r="F1" s="1731"/>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1665</v>
      </c>
      <c r="D3" s="343">
        <f>IF(D1="",'数据-汇总表'!E3,SUMIF('数据-汇总表'!$C19:$C33,D1,'数据-汇总表'!$E19:$E33))</f>
        <v>51206.530000000006</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4.4">
      <c r="A4" s="345" t="s">
        <v>1666</v>
      </c>
      <c r="B4" s="346"/>
      <c r="C4" s="3509" t="s">
        <v>1667</v>
      </c>
      <c r="D4" s="3510"/>
      <c r="E4" s="3511" t="s">
        <v>1668</v>
      </c>
      <c r="F4" s="3512"/>
      <c r="G4" s="3509" t="s">
        <v>1669</v>
      </c>
      <c r="H4" s="3510"/>
      <c r="I4" s="3509" t="s">
        <v>1670</v>
      </c>
      <c r="J4" s="3510"/>
      <c r="K4" s="1740" t="s">
        <v>1671</v>
      </c>
      <c r="L4" s="2478"/>
      <c r="M4" s="2479"/>
      <c r="N4" s="2479"/>
      <c r="O4" s="2479"/>
      <c r="P4" s="3571" t="s">
        <v>1672</v>
      </c>
      <c r="Q4" s="3572"/>
      <c r="R4" s="3575" t="s">
        <v>1668</v>
      </c>
      <c r="S4" s="3576"/>
      <c r="T4" s="3575" t="s">
        <v>1669</v>
      </c>
      <c r="U4" s="3576"/>
      <c r="V4" s="3493" t="s">
        <v>1670</v>
      </c>
      <c r="W4" s="3493"/>
      <c r="X4" s="1261"/>
      <c r="Y4" s="3575" t="s">
        <v>1672</v>
      </c>
      <c r="Z4" s="3576"/>
      <c r="AA4" s="3570" t="s">
        <v>1668</v>
      </c>
      <c r="AB4" s="3570" t="s">
        <v>1669</v>
      </c>
      <c r="AC4" s="3570" t="s">
        <v>1670</v>
      </c>
    </row>
    <row r="5" spans="1:29">
      <c r="A5" s="348"/>
      <c r="B5" s="349"/>
      <c r="C5" s="3578" t="s">
        <v>1673</v>
      </c>
      <c r="D5" s="3529"/>
      <c r="E5" s="3580" t="s">
        <v>1674</v>
      </c>
      <c r="F5" s="3540"/>
      <c r="G5" s="3578" t="s">
        <v>1675</v>
      </c>
      <c r="H5" s="3529"/>
      <c r="I5" s="3578" t="s">
        <v>1676</v>
      </c>
      <c r="J5" s="3529"/>
      <c r="K5" s="1741"/>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1741"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2"/>
      <c r="L7" s="2480"/>
      <c r="M7" s="2433"/>
      <c r="N7" s="2433"/>
      <c r="O7" s="2433"/>
      <c r="P7" s="3532" t="s">
        <v>1680</v>
      </c>
      <c r="Q7" s="3533"/>
      <c r="R7" s="664" t="s">
        <v>20</v>
      </c>
      <c r="S7" s="665">
        <f t="shared" ref="S7:S15" si="0">F7</f>
        <v>0</v>
      </c>
      <c r="T7" s="664" t="s">
        <v>20</v>
      </c>
      <c r="U7" s="665">
        <f t="shared" ref="U7:U15" si="1">H7</f>
        <v>0</v>
      </c>
      <c r="V7" s="664" t="s">
        <v>20</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c r="D8" s="355">
        <v>100</v>
      </c>
      <c r="E8" s="1743"/>
      <c r="F8" s="357">
        <f>SUMIF(61:61,E8,62:62)-SUMIF(61:61,C8,62:62)+100</f>
        <v>100</v>
      </c>
      <c r="G8" s="358"/>
      <c r="H8" s="355">
        <f>SUMIF(61:61,G8,62:62)-SUMIF(61:61,C8,62:62)+100</f>
        <v>100</v>
      </c>
      <c r="I8" s="1743"/>
      <c r="J8" s="355">
        <f>SUMIF(61:61,I8,62:62)-SUMIF(61:61,C8,62:62)+100</f>
        <v>100</v>
      </c>
      <c r="K8" s="1742"/>
      <c r="L8" s="2480"/>
      <c r="M8" s="2433"/>
      <c r="N8" s="2433"/>
      <c r="O8" s="2433"/>
      <c r="P8" s="3532" t="s">
        <v>1683</v>
      </c>
      <c r="Q8" s="3531"/>
      <c r="R8" s="664" t="s">
        <v>20</v>
      </c>
      <c r="S8" s="665">
        <f t="shared" si="0"/>
        <v>100</v>
      </c>
      <c r="T8" s="664" t="s">
        <v>20</v>
      </c>
      <c r="U8" s="665">
        <f t="shared" si="1"/>
        <v>100</v>
      </c>
      <c r="V8" s="664" t="s">
        <v>20</v>
      </c>
      <c r="W8" s="665">
        <f t="shared" si="2"/>
        <v>100</v>
      </c>
      <c r="X8" s="666"/>
      <c r="Y8" s="3532" t="s">
        <v>1683</v>
      </c>
      <c r="Z8" s="353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2"/>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491"/>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3"/>
      <c r="N12" s="2433"/>
      <c r="O12" s="2433"/>
      <c r="P12" s="3491"/>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491"/>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491"/>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96.6">
      <c r="A15" s="379" t="s">
        <v>1690</v>
      </c>
      <c r="B15" s="58" t="s">
        <v>1257</v>
      </c>
      <c r="C15" s="1746"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497" t="s">
        <v>1691</v>
      </c>
      <c r="Q15" s="1259" t="str">
        <f t="shared" si="6"/>
        <v>居住社区成熟度</v>
      </c>
      <c r="R15" s="667" t="s">
        <v>18</v>
      </c>
      <c r="S15" s="668">
        <f t="shared" si="0"/>
        <v>100</v>
      </c>
      <c r="T15" s="667" t="s">
        <v>18</v>
      </c>
      <c r="U15" s="668">
        <f t="shared" si="1"/>
        <v>100</v>
      </c>
      <c r="V15" s="667" t="s">
        <v>18</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498"/>
      <c r="Q16" s="1259"/>
      <c r="R16" s="667"/>
      <c r="S16" s="668"/>
      <c r="T16" s="667"/>
      <c r="U16" s="668"/>
      <c r="V16" s="667"/>
      <c r="W16" s="668"/>
      <c r="X16" s="1261"/>
      <c r="Y16" s="3500"/>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498"/>
      <c r="Q17" s="1259" t="str">
        <f>B17</f>
        <v>交通便捷度</v>
      </c>
      <c r="R17" s="667" t="s">
        <v>18</v>
      </c>
      <c r="S17" s="668">
        <f>F17</f>
        <v>100</v>
      </c>
      <c r="T17" s="667" t="s">
        <v>18</v>
      </c>
      <c r="U17" s="668">
        <f>H17</f>
        <v>100</v>
      </c>
      <c r="V17" s="667" t="s">
        <v>18</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498"/>
      <c r="Q18" s="1259"/>
      <c r="R18" s="667"/>
      <c r="S18" s="668"/>
      <c r="T18" s="667"/>
      <c r="U18" s="668"/>
      <c r="V18" s="667"/>
      <c r="W18" s="668"/>
      <c r="X18" s="1261"/>
      <c r="Y18" s="3500"/>
      <c r="Z18" s="1260"/>
      <c r="AA18" s="1260">
        <v>1</v>
      </c>
      <c r="AB18" s="1260">
        <v>1</v>
      </c>
      <c r="AC18" s="1260">
        <v>1</v>
      </c>
    </row>
    <row r="19" spans="1:29" ht="248.4">
      <c r="A19" s="367"/>
      <c r="B19" s="390" t="s">
        <v>1258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498"/>
      <c r="Q19" s="1259" t="str">
        <f>B19</f>
        <v>公共配套设施</v>
      </c>
      <c r="R19" s="667" t="s">
        <v>18</v>
      </c>
      <c r="S19" s="668">
        <f>F19</f>
        <v>100</v>
      </c>
      <c r="T19" s="667" t="s">
        <v>18</v>
      </c>
      <c r="U19" s="668">
        <f>H19</f>
        <v>100</v>
      </c>
      <c r="V19" s="667" t="s">
        <v>18</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498"/>
      <c r="Q20" s="1259"/>
      <c r="R20" s="667"/>
      <c r="S20" s="668"/>
      <c r="T20" s="667"/>
      <c r="U20" s="668"/>
      <c r="V20" s="667"/>
      <c r="W20" s="668"/>
      <c r="X20" s="1261"/>
      <c r="Y20" s="3500"/>
      <c r="Z20" s="1260"/>
      <c r="AA20" s="1260">
        <v>1</v>
      </c>
      <c r="AB20" s="1260">
        <v>1</v>
      </c>
      <c r="AC20" s="1260">
        <v>1</v>
      </c>
    </row>
    <row r="21" spans="1:29" ht="41.4">
      <c r="A21" s="367"/>
      <c r="B21" s="586" t="s">
        <v>1260</v>
      </c>
      <c r="C21" s="1750"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4"/>
      <c r="M22" s="2479"/>
      <c r="N22" s="2479"/>
      <c r="O22" s="2479"/>
      <c r="P22" s="3498"/>
      <c r="Q22" s="1259"/>
      <c r="R22" s="667"/>
      <c r="S22" s="668"/>
      <c r="T22" s="667"/>
      <c r="U22" s="668"/>
      <c r="V22" s="667"/>
      <c r="W22" s="668"/>
      <c r="X22" s="1261"/>
      <c r="Y22" s="3500"/>
      <c r="Z22" s="1260"/>
      <c r="AA22" s="1260">
        <v>1</v>
      </c>
      <c r="AB22" s="1260">
        <v>1</v>
      </c>
      <c r="AC22" s="1260">
        <v>1</v>
      </c>
    </row>
    <row r="23" spans="1:29" ht="193.2">
      <c r="A23" s="367"/>
      <c r="B23" s="390" t="s">
        <v>1261</v>
      </c>
      <c r="C23" s="17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498"/>
      <c r="Q23" s="1259" t="str">
        <f>B23</f>
        <v>自然及人文环境</v>
      </c>
      <c r="R23" s="667" t="s">
        <v>18</v>
      </c>
      <c r="S23" s="668">
        <f>F23</f>
        <v>100</v>
      </c>
      <c r="T23" s="667" t="s">
        <v>18</v>
      </c>
      <c r="U23" s="668">
        <f>H23</f>
        <v>100</v>
      </c>
      <c r="V23" s="667" t="s">
        <v>18</v>
      </c>
      <c r="W23" s="668">
        <f>J23</f>
        <v>100</v>
      </c>
      <c r="X23" s="1261"/>
      <c r="Y23" s="3500"/>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1692</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498"/>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500"/>
      <c r="Z25" s="1260" t="str">
        <f>Q25</f>
        <v>楼层-1</v>
      </c>
      <c r="AA25" s="1260">
        <f t="shared" ref="AA25:AA46" si="15">D25/F25</f>
        <v>1</v>
      </c>
      <c r="AB25" s="1260">
        <f t="shared" ref="AB25:AB46" si="16">D25/H25</f>
        <v>1</v>
      </c>
      <c r="AC25" s="1260">
        <f t="shared" ref="AC25:AC46" si="17">D25/J25</f>
        <v>1</v>
      </c>
    </row>
    <row r="26" spans="1:29" ht="15">
      <c r="A26" s="367"/>
      <c r="B26" s="364" t="s">
        <v>1693</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498"/>
      <c r="Q26" s="1259" t="str">
        <f t="shared" si="11"/>
        <v>朝向</v>
      </c>
      <c r="R26" s="667" t="s">
        <v>18</v>
      </c>
      <c r="S26" s="668">
        <f t="shared" si="12"/>
        <v>100</v>
      </c>
      <c r="T26" s="667" t="s">
        <v>18</v>
      </c>
      <c r="U26" s="668">
        <f t="shared" si="13"/>
        <v>100</v>
      </c>
      <c r="V26" s="667" t="s">
        <v>18</v>
      </c>
      <c r="W26" s="668">
        <f t="shared" si="14"/>
        <v>100</v>
      </c>
      <c r="X26" s="1261"/>
      <c r="Y26" s="3500"/>
      <c r="Z26" s="1260" t="str">
        <f>Q26</f>
        <v>朝向</v>
      </c>
      <c r="AA26" s="1260">
        <f t="shared" si="15"/>
        <v>1</v>
      </c>
      <c r="AB26" s="1260">
        <f t="shared" si="16"/>
        <v>1</v>
      </c>
      <c r="AC26" s="1260">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3"/>
      <c r="N27" s="2433"/>
      <c r="O27" s="2433"/>
      <c r="P27" s="3498"/>
      <c r="Q27" s="530">
        <f t="shared" si="11"/>
        <v>111</v>
      </c>
      <c r="R27" s="664" t="s">
        <v>18</v>
      </c>
      <c r="S27" s="665">
        <f t="shared" si="12"/>
        <v>100</v>
      </c>
      <c r="T27" s="664" t="s">
        <v>18</v>
      </c>
      <c r="U27" s="665">
        <f t="shared" si="13"/>
        <v>100</v>
      </c>
      <c r="V27" s="664" t="s">
        <v>18</v>
      </c>
      <c r="W27" s="665">
        <f t="shared" si="14"/>
        <v>100</v>
      </c>
      <c r="X27" s="666"/>
      <c r="Y27" s="3500"/>
      <c r="Z27" s="50">
        <f>Q27</f>
        <v>111</v>
      </c>
      <c r="AA27" s="1260">
        <f t="shared" si="15"/>
        <v>1</v>
      </c>
      <c r="AB27" s="1260">
        <f t="shared" si="16"/>
        <v>1</v>
      </c>
      <c r="AC27" s="1260">
        <f t="shared" si="17"/>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498"/>
      <c r="Q28" s="1259">
        <f t="shared" si="11"/>
        <v>111</v>
      </c>
      <c r="R28" s="667" t="s">
        <v>18</v>
      </c>
      <c r="S28" s="668">
        <f t="shared" si="12"/>
        <v>100</v>
      </c>
      <c r="T28" s="667" t="s">
        <v>18</v>
      </c>
      <c r="U28" s="668">
        <f t="shared" si="13"/>
        <v>100</v>
      </c>
      <c r="V28" s="667" t="s">
        <v>18</v>
      </c>
      <c r="W28" s="668">
        <f t="shared" si="14"/>
        <v>100</v>
      </c>
      <c r="X28" s="1261"/>
      <c r="Y28" s="3500"/>
      <c r="Z28" s="1260">
        <f t="shared" ref="Z28:Z46" si="18">Q28</f>
        <v>111</v>
      </c>
      <c r="AA28" s="1260">
        <f t="shared" si="15"/>
        <v>1</v>
      </c>
      <c r="AB28" s="1260">
        <f t="shared" si="16"/>
        <v>1</v>
      </c>
      <c r="AC28" s="1260">
        <f t="shared" si="17"/>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498"/>
      <c r="Q29" s="1259">
        <f t="shared" si="11"/>
        <v>111</v>
      </c>
      <c r="R29" s="667" t="s">
        <v>18</v>
      </c>
      <c r="S29" s="668">
        <f t="shared" si="12"/>
        <v>100</v>
      </c>
      <c r="T29" s="667" t="s">
        <v>18</v>
      </c>
      <c r="U29" s="668">
        <f t="shared" si="13"/>
        <v>100</v>
      </c>
      <c r="V29" s="667" t="s">
        <v>18</v>
      </c>
      <c r="W29" s="668">
        <f t="shared" si="14"/>
        <v>100</v>
      </c>
      <c r="X29" s="1261"/>
      <c r="Y29" s="3500"/>
      <c r="Z29" s="1260">
        <f t="shared" si="18"/>
        <v>111</v>
      </c>
      <c r="AA29" s="1260">
        <f t="shared" si="15"/>
        <v>1</v>
      </c>
      <c r="AB29" s="1260">
        <f t="shared" si="16"/>
        <v>1</v>
      </c>
      <c r="AC29" s="1260">
        <f t="shared" si="17"/>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498"/>
      <c r="Q30" s="1259">
        <f t="shared" si="11"/>
        <v>111</v>
      </c>
      <c r="R30" s="667" t="s">
        <v>18</v>
      </c>
      <c r="S30" s="668">
        <f t="shared" si="12"/>
        <v>100</v>
      </c>
      <c r="T30" s="667" t="s">
        <v>18</v>
      </c>
      <c r="U30" s="668">
        <f t="shared" si="13"/>
        <v>100</v>
      </c>
      <c r="V30" s="667" t="s">
        <v>18</v>
      </c>
      <c r="W30" s="668">
        <f t="shared" si="14"/>
        <v>100</v>
      </c>
      <c r="X30" s="1261"/>
      <c r="Y30" s="3500"/>
      <c r="Z30" s="1260">
        <f t="shared" si="18"/>
        <v>111</v>
      </c>
      <c r="AA30" s="1260">
        <f t="shared" si="15"/>
        <v>1</v>
      </c>
      <c r="AB30" s="1260">
        <f t="shared" si="16"/>
        <v>1</v>
      </c>
      <c r="AC30" s="1260">
        <f t="shared" si="17"/>
        <v>1</v>
      </c>
    </row>
    <row r="31" spans="1:29" ht="15.6"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498"/>
      <c r="Q31" s="1259">
        <f t="shared" si="11"/>
        <v>111</v>
      </c>
      <c r="R31" s="667" t="s">
        <v>18</v>
      </c>
      <c r="S31" s="668">
        <f t="shared" si="12"/>
        <v>100</v>
      </c>
      <c r="T31" s="667" t="s">
        <v>18</v>
      </c>
      <c r="U31" s="668">
        <f t="shared" si="13"/>
        <v>100</v>
      </c>
      <c r="V31" s="667" t="s">
        <v>18</v>
      </c>
      <c r="W31" s="668">
        <f t="shared" si="14"/>
        <v>100</v>
      </c>
      <c r="X31" s="1261"/>
      <c r="Y31" s="3500"/>
      <c r="Z31" s="1260">
        <f t="shared" si="18"/>
        <v>111</v>
      </c>
      <c r="AA31" s="1260">
        <f t="shared" si="15"/>
        <v>1</v>
      </c>
      <c r="AB31" s="1260">
        <f t="shared" si="16"/>
        <v>1</v>
      </c>
      <c r="AC31" s="1260">
        <f t="shared" si="17"/>
        <v>1</v>
      </c>
    </row>
    <row r="32" spans="1:29" ht="15">
      <c r="A32" s="379" t="s">
        <v>1694</v>
      </c>
      <c r="B32" s="60" t="s">
        <v>1695</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501" t="s">
        <v>1696</v>
      </c>
      <c r="Q32" s="1259" t="str">
        <f t="shared" si="11"/>
        <v>建筑类型</v>
      </c>
      <c r="R32" s="667" t="s">
        <v>18</v>
      </c>
      <c r="S32" s="668">
        <f t="shared" si="12"/>
        <v>100</v>
      </c>
      <c r="T32" s="667" t="s">
        <v>18</v>
      </c>
      <c r="U32" s="668">
        <f t="shared" si="13"/>
        <v>100</v>
      </c>
      <c r="V32" s="667" t="s">
        <v>18</v>
      </c>
      <c r="W32" s="668">
        <f t="shared" si="14"/>
        <v>100</v>
      </c>
      <c r="X32" s="1261"/>
      <c r="Y32" s="3504" t="s">
        <v>1696</v>
      </c>
      <c r="Z32" s="1260" t="str">
        <f t="shared" si="18"/>
        <v>建筑类型</v>
      </c>
      <c r="AA32" s="1260">
        <f t="shared" si="15"/>
        <v>1</v>
      </c>
      <c r="AB32" s="1260">
        <f t="shared" si="16"/>
        <v>1</v>
      </c>
      <c r="AC32" s="1260">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502"/>
      <c r="Q33" s="531" t="str">
        <f t="shared" si="11"/>
        <v>项目建筑规模</v>
      </c>
      <c r="R33" s="669" t="s">
        <v>18</v>
      </c>
      <c r="S33" s="670" t="e">
        <f t="shared" si="12"/>
        <v>#N/A</v>
      </c>
      <c r="T33" s="669" t="s">
        <v>18</v>
      </c>
      <c r="U33" s="670" t="e">
        <f t="shared" si="13"/>
        <v>#N/A</v>
      </c>
      <c r="V33" s="669" t="s">
        <v>18</v>
      </c>
      <c r="W33" s="670" t="e">
        <f t="shared" si="14"/>
        <v>#N/A</v>
      </c>
      <c r="X33" s="671"/>
      <c r="Y33" s="3504"/>
      <c r="Z33" s="672" t="str">
        <f t="shared" si="18"/>
        <v>项目建筑规模</v>
      </c>
      <c r="AA33" s="1260" t="e">
        <f t="shared" si="15"/>
        <v>#N/A</v>
      </c>
      <c r="AB33" s="1260" t="e">
        <f t="shared" si="16"/>
        <v>#N/A</v>
      </c>
      <c r="AC33" s="1260" t="e">
        <f t="shared" si="17"/>
        <v>#N/A</v>
      </c>
    </row>
    <row r="34" spans="1:29" ht="15">
      <c r="A34" s="409"/>
      <c r="B34" s="364" t="s">
        <v>1698</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502"/>
      <c r="Q34" s="1259" t="str">
        <f t="shared" si="11"/>
        <v>建筑结构</v>
      </c>
      <c r="R34" s="667" t="s">
        <v>18</v>
      </c>
      <c r="S34" s="668">
        <f t="shared" si="12"/>
        <v>100</v>
      </c>
      <c r="T34" s="667" t="s">
        <v>18</v>
      </c>
      <c r="U34" s="668">
        <f t="shared" si="13"/>
        <v>100</v>
      </c>
      <c r="V34" s="667" t="s">
        <v>18</v>
      </c>
      <c r="W34" s="668">
        <f t="shared" si="14"/>
        <v>100</v>
      </c>
      <c r="X34" s="1261"/>
      <c r="Y34" s="3504"/>
      <c r="Z34" s="1260" t="str">
        <f t="shared" si="18"/>
        <v>建筑结构</v>
      </c>
      <c r="AA34" s="1260">
        <f t="shared" si="15"/>
        <v>1</v>
      </c>
      <c r="AB34" s="1260">
        <f t="shared" si="16"/>
        <v>1</v>
      </c>
      <c r="AC34" s="1260">
        <f t="shared" si="17"/>
        <v>1</v>
      </c>
    </row>
    <row r="35" spans="1:29" ht="15">
      <c r="A35" s="409"/>
      <c r="B35" s="364" t="s">
        <v>1699</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502"/>
      <c r="Q35" s="1259" t="str">
        <f t="shared" si="11"/>
        <v>建筑品质</v>
      </c>
      <c r="R35" s="667" t="s">
        <v>18</v>
      </c>
      <c r="S35" s="668">
        <f t="shared" si="12"/>
        <v>100</v>
      </c>
      <c r="T35" s="667" t="s">
        <v>18</v>
      </c>
      <c r="U35" s="668">
        <f t="shared" si="13"/>
        <v>100</v>
      </c>
      <c r="V35" s="667" t="s">
        <v>18</v>
      </c>
      <c r="W35" s="668">
        <f t="shared" si="14"/>
        <v>100</v>
      </c>
      <c r="X35" s="1261"/>
      <c r="Y35" s="3504"/>
      <c r="Z35" s="1260" t="str">
        <f t="shared" si="18"/>
        <v>建筑品质</v>
      </c>
      <c r="AA35" s="1260">
        <f t="shared" si="15"/>
        <v>1</v>
      </c>
      <c r="AB35" s="1260">
        <f t="shared" si="16"/>
        <v>1</v>
      </c>
      <c r="AC35" s="1260">
        <f t="shared" si="17"/>
        <v>1</v>
      </c>
    </row>
    <row r="36" spans="1:29" ht="15">
      <c r="A36" s="409"/>
      <c r="B36" s="364" t="s">
        <v>1700</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502"/>
      <c r="Q36" s="1259" t="str">
        <f t="shared" si="11"/>
        <v>公共部分装修</v>
      </c>
      <c r="R36" s="667" t="s">
        <v>18</v>
      </c>
      <c r="S36" s="668">
        <f t="shared" si="12"/>
        <v>100</v>
      </c>
      <c r="T36" s="667" t="s">
        <v>18</v>
      </c>
      <c r="U36" s="668">
        <f t="shared" si="13"/>
        <v>100</v>
      </c>
      <c r="V36" s="667" t="s">
        <v>18</v>
      </c>
      <c r="W36" s="668">
        <f t="shared" si="14"/>
        <v>100</v>
      </c>
      <c r="X36" s="1261"/>
      <c r="Y36" s="3504"/>
      <c r="Z36" s="1260" t="str">
        <f t="shared" si="18"/>
        <v>公共部分装修</v>
      </c>
      <c r="AA36" s="1260">
        <f t="shared" si="15"/>
        <v>1</v>
      </c>
      <c r="AB36" s="1260">
        <f t="shared" si="16"/>
        <v>1</v>
      </c>
      <c r="AC36" s="1260">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3"/>
      <c r="N37" s="2433"/>
      <c r="O37" s="2433"/>
      <c r="P37" s="3502"/>
      <c r="Q37" s="530" t="str">
        <f t="shared" si="11"/>
        <v>成新度</v>
      </c>
      <c r="R37" s="664" t="s">
        <v>18</v>
      </c>
      <c r="S37" s="665" t="e">
        <f t="shared" si="12"/>
        <v>#N/A</v>
      </c>
      <c r="T37" s="664" t="s">
        <v>18</v>
      </c>
      <c r="U37" s="665" t="e">
        <f t="shared" si="13"/>
        <v>#N/A</v>
      </c>
      <c r="V37" s="664" t="s">
        <v>18</v>
      </c>
      <c r="W37" s="665" t="e">
        <f t="shared" si="14"/>
        <v>#N/A</v>
      </c>
      <c r="X37" s="666"/>
      <c r="Y37" s="3504"/>
      <c r="Z37" s="50" t="str">
        <f t="shared" si="18"/>
        <v>成新度</v>
      </c>
      <c r="AA37" s="50" t="e">
        <f t="shared" si="15"/>
        <v>#N/A</v>
      </c>
      <c r="AB37" s="50" t="e">
        <f t="shared" si="16"/>
        <v>#N/A</v>
      </c>
      <c r="AC37" s="50" t="e">
        <f t="shared" si="17"/>
        <v>#N/A</v>
      </c>
    </row>
    <row r="38" spans="1:29" ht="15">
      <c r="A38" s="409"/>
      <c r="B38" s="364" t="s">
        <v>1702</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502" t="s">
        <v>1696</v>
      </c>
      <c r="Q38" s="1259" t="str">
        <f t="shared" si="11"/>
        <v>物业管理</v>
      </c>
      <c r="R38" s="667" t="s">
        <v>18</v>
      </c>
      <c r="S38" s="668">
        <f t="shared" si="12"/>
        <v>100</v>
      </c>
      <c r="T38" s="667" t="s">
        <v>18</v>
      </c>
      <c r="U38" s="668">
        <f t="shared" si="13"/>
        <v>100</v>
      </c>
      <c r="V38" s="667" t="s">
        <v>18</v>
      </c>
      <c r="W38" s="668">
        <f t="shared" si="14"/>
        <v>100</v>
      </c>
      <c r="X38" s="1261"/>
      <c r="Y38" s="3504" t="s">
        <v>1696</v>
      </c>
      <c r="Z38" s="1260" t="str">
        <f t="shared" si="18"/>
        <v>物业管理</v>
      </c>
      <c r="AA38" s="1260">
        <f t="shared" si="15"/>
        <v>1</v>
      </c>
      <c r="AB38" s="1260">
        <f t="shared" si="16"/>
        <v>1</v>
      </c>
      <c r="AC38" s="1260">
        <f t="shared" si="17"/>
        <v>1</v>
      </c>
    </row>
    <row r="39" spans="1:29" ht="15">
      <c r="A39" s="409"/>
      <c r="B39" s="364" t="s">
        <v>1703</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502"/>
      <c r="Q39" s="1259" t="str">
        <f t="shared" si="11"/>
        <v>市政基础设施</v>
      </c>
      <c r="R39" s="667" t="s">
        <v>18</v>
      </c>
      <c r="S39" s="668">
        <f t="shared" si="12"/>
        <v>100</v>
      </c>
      <c r="T39" s="667" t="s">
        <v>18</v>
      </c>
      <c r="U39" s="668">
        <f t="shared" si="13"/>
        <v>100</v>
      </c>
      <c r="V39" s="667" t="s">
        <v>18</v>
      </c>
      <c r="W39" s="668">
        <f t="shared" si="14"/>
        <v>100</v>
      </c>
      <c r="X39" s="1261"/>
      <c r="Y39" s="3504"/>
      <c r="Z39" s="1260" t="str">
        <f t="shared" si="18"/>
        <v>市政基础设施</v>
      </c>
      <c r="AA39" s="1260">
        <f t="shared" si="15"/>
        <v>1</v>
      </c>
      <c r="AB39" s="1260">
        <f t="shared" si="16"/>
        <v>1</v>
      </c>
      <c r="AC39" s="1260">
        <f t="shared" si="17"/>
        <v>1</v>
      </c>
    </row>
    <row r="40" spans="1:29" ht="15">
      <c r="A40" s="409"/>
      <c r="B40" s="364" t="s">
        <v>1704</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502"/>
      <c r="Q40" s="1259" t="str">
        <f t="shared" si="11"/>
        <v>房型</v>
      </c>
      <c r="R40" s="667" t="s">
        <v>18</v>
      </c>
      <c r="S40" s="668">
        <f t="shared" si="12"/>
        <v>100</v>
      </c>
      <c r="T40" s="667" t="s">
        <v>18</v>
      </c>
      <c r="U40" s="668">
        <f t="shared" si="13"/>
        <v>100</v>
      </c>
      <c r="V40" s="667" t="s">
        <v>18</v>
      </c>
      <c r="W40" s="668">
        <f t="shared" si="14"/>
        <v>100</v>
      </c>
      <c r="X40" s="1261"/>
      <c r="Y40" s="3504"/>
      <c r="Z40" s="1260" t="str">
        <f t="shared" si="18"/>
        <v>房型</v>
      </c>
      <c r="AA40" s="1260">
        <f t="shared" si="15"/>
        <v>1</v>
      </c>
      <c r="AB40" s="1260">
        <f t="shared" si="16"/>
        <v>1</v>
      </c>
      <c r="AC40" s="1260">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502"/>
      <c r="Q41" s="531" t="str">
        <f t="shared" si="11"/>
        <v>单套/主力户型建筑面积</v>
      </c>
      <c r="R41" s="669" t="s">
        <v>18</v>
      </c>
      <c r="S41" s="670">
        <f t="shared" si="12"/>
        <v>100</v>
      </c>
      <c r="T41" s="669" t="s">
        <v>18</v>
      </c>
      <c r="U41" s="670">
        <f t="shared" si="13"/>
        <v>100</v>
      </c>
      <c r="V41" s="669" t="s">
        <v>18</v>
      </c>
      <c r="W41" s="670">
        <f t="shared" si="14"/>
        <v>100</v>
      </c>
      <c r="X41" s="671"/>
      <c r="Y41" s="3504"/>
      <c r="Z41" s="672" t="str">
        <f t="shared" si="18"/>
        <v>单套/主力户型建筑面积</v>
      </c>
      <c r="AA41" s="1260">
        <f t="shared" si="15"/>
        <v>1</v>
      </c>
      <c r="AB41" s="1260">
        <f t="shared" si="16"/>
        <v>1</v>
      </c>
      <c r="AC41" s="1260">
        <f t="shared" si="17"/>
        <v>1</v>
      </c>
    </row>
    <row r="42" spans="1:29" ht="15">
      <c r="A42" s="409"/>
      <c r="B42" s="364" t="s">
        <v>1706</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502"/>
      <c r="Q42" s="1259" t="str">
        <f t="shared" si="11"/>
        <v>内部装修</v>
      </c>
      <c r="R42" s="667" t="s">
        <v>18</v>
      </c>
      <c r="S42" s="668">
        <f t="shared" si="12"/>
        <v>100</v>
      </c>
      <c r="T42" s="667" t="s">
        <v>18</v>
      </c>
      <c r="U42" s="668">
        <f t="shared" si="13"/>
        <v>100</v>
      </c>
      <c r="V42" s="667" t="s">
        <v>18</v>
      </c>
      <c r="W42" s="668">
        <f t="shared" si="14"/>
        <v>100</v>
      </c>
      <c r="X42" s="1261"/>
      <c r="Y42" s="3504"/>
      <c r="Z42" s="1260" t="str">
        <f t="shared" si="18"/>
        <v>内部装修</v>
      </c>
      <c r="AA42" s="1260">
        <f t="shared" si="15"/>
        <v>1</v>
      </c>
      <c r="AB42" s="1260">
        <f t="shared" si="16"/>
        <v>1</v>
      </c>
      <c r="AC42" s="1260">
        <f t="shared" si="17"/>
        <v>1</v>
      </c>
    </row>
    <row r="43" spans="1:29" ht="28.8">
      <c r="A43" s="409"/>
      <c r="B43" s="364" t="s">
        <v>1707</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502"/>
      <c r="Q43" s="1259" t="str">
        <f t="shared" si="11"/>
        <v>内部装修维护情况</v>
      </c>
      <c r="R43" s="667" t="s">
        <v>18</v>
      </c>
      <c r="S43" s="668">
        <f t="shared" si="12"/>
        <v>100</v>
      </c>
      <c r="T43" s="667" t="s">
        <v>18</v>
      </c>
      <c r="U43" s="668">
        <f t="shared" si="13"/>
        <v>100</v>
      </c>
      <c r="V43" s="667" t="s">
        <v>18</v>
      </c>
      <c r="W43" s="668">
        <f t="shared" si="14"/>
        <v>100</v>
      </c>
      <c r="X43" s="1261"/>
      <c r="Y43" s="3504"/>
      <c r="Z43" s="1260" t="str">
        <f t="shared" si="18"/>
        <v>内部装修维护情况</v>
      </c>
      <c r="AA43" s="1260">
        <f t="shared" si="15"/>
        <v>1</v>
      </c>
      <c r="AB43" s="1260">
        <f t="shared" si="16"/>
        <v>1</v>
      </c>
      <c r="AC43" s="1260">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3"/>
      <c r="N44" s="2433"/>
      <c r="O44" s="2433"/>
      <c r="P44" s="3502"/>
      <c r="Q44" s="530">
        <f t="shared" si="11"/>
        <v>111</v>
      </c>
      <c r="R44" s="664" t="s">
        <v>18</v>
      </c>
      <c r="S44" s="665">
        <f t="shared" si="12"/>
        <v>100</v>
      </c>
      <c r="T44" s="664" t="s">
        <v>18</v>
      </c>
      <c r="U44" s="665">
        <f t="shared" si="13"/>
        <v>100</v>
      </c>
      <c r="V44" s="664" t="s">
        <v>18</v>
      </c>
      <c r="W44" s="665">
        <f t="shared" si="14"/>
        <v>100</v>
      </c>
      <c r="X44" s="666"/>
      <c r="Y44" s="3504"/>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502"/>
      <c r="Q45" s="1259">
        <f t="shared" si="11"/>
        <v>111</v>
      </c>
      <c r="R45" s="667" t="s">
        <v>18</v>
      </c>
      <c r="S45" s="668">
        <f t="shared" si="12"/>
        <v>100</v>
      </c>
      <c r="T45" s="667" t="s">
        <v>18</v>
      </c>
      <c r="U45" s="668">
        <f t="shared" si="13"/>
        <v>100</v>
      </c>
      <c r="V45" s="667" t="s">
        <v>18</v>
      </c>
      <c r="W45" s="668">
        <f t="shared" si="14"/>
        <v>100</v>
      </c>
      <c r="X45" s="1261"/>
      <c r="Y45" s="3504"/>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503"/>
      <c r="Q46" s="1259">
        <f t="shared" si="11"/>
        <v>111</v>
      </c>
      <c r="R46" s="667" t="s">
        <v>17</v>
      </c>
      <c r="S46" s="668">
        <f t="shared" si="12"/>
        <v>100</v>
      </c>
      <c r="T46" s="667" t="s">
        <v>17</v>
      </c>
      <c r="U46" s="668">
        <f t="shared" si="13"/>
        <v>100</v>
      </c>
      <c r="V46" s="667" t="s">
        <v>17</v>
      </c>
      <c r="W46" s="668">
        <f t="shared" si="14"/>
        <v>100</v>
      </c>
      <c r="X46" s="1261"/>
      <c r="Y46" s="3505"/>
      <c r="Z46" s="1260">
        <f t="shared" si="18"/>
        <v>111</v>
      </c>
      <c r="AA46" s="1260">
        <f t="shared" si="15"/>
        <v>1</v>
      </c>
      <c r="AB46" s="1260">
        <f t="shared" si="16"/>
        <v>1</v>
      </c>
      <c r="AC46" s="1260">
        <f t="shared" si="17"/>
        <v>1</v>
      </c>
    </row>
    <row r="47" spans="1:29" ht="14.4">
      <c r="A47" s="416" t="s">
        <v>1708</v>
      </c>
      <c r="B47" s="417"/>
      <c r="C47" s="1077" t="s">
        <v>16</v>
      </c>
      <c r="D47" s="418"/>
      <c r="E47" s="419"/>
      <c r="F47" s="420"/>
      <c r="G47" s="421"/>
      <c r="H47" s="422"/>
      <c r="I47" s="419"/>
      <c r="J47" s="422"/>
      <c r="K47" s="1763"/>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 thickBot="1">
      <c r="A48" s="423" t="s">
        <v>1709</v>
      </c>
      <c r="B48" s="424"/>
      <c r="C48" s="1078" t="e">
        <f>R49</f>
        <v>#DIV/0!</v>
      </c>
      <c r="D48" s="2137" t="s">
        <v>2138</v>
      </c>
      <c r="E48" s="1079" t="e">
        <f>R48</f>
        <v>#DIV/0!</v>
      </c>
      <c r="F48" s="2138"/>
      <c r="G48" s="1078" t="e">
        <f>T48</f>
        <v>#DIV/0!</v>
      </c>
      <c r="H48" s="2138"/>
      <c r="I48" s="1079" t="e">
        <f>V48</f>
        <v>#DIV/0!</v>
      </c>
      <c r="J48" s="2138"/>
      <c r="K48" s="2139">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 thickBot="1">
      <c r="A49" s="427" t="s">
        <v>1710</v>
      </c>
      <c r="B49" s="428"/>
      <c r="C49" s="1080" t="e">
        <f>R49</f>
        <v>#DIV/0!</v>
      </c>
      <c r="D49" s="351"/>
      <c r="E49" s="351"/>
      <c r="F49" s="351"/>
      <c r="G49" s="351"/>
      <c r="H49" s="351"/>
      <c r="I49" s="351"/>
      <c r="J49" s="351"/>
      <c r="K49" s="1764"/>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2.2" thickBot="1">
      <c r="A57" s="658" t="s">
        <v>1714</v>
      </c>
      <c r="B57" s="385"/>
      <c r="C57" s="659"/>
      <c r="D57" s="659"/>
      <c r="E57" s="659"/>
      <c r="F57" s="660"/>
      <c r="G57" s="660"/>
      <c r="H57" s="659"/>
      <c r="I57" s="659"/>
      <c r="J57" s="659"/>
      <c r="K57" s="884"/>
      <c r="L57" s="885"/>
      <c r="M57" s="883"/>
      <c r="N57" s="883"/>
      <c r="O57" s="883"/>
      <c r="P57" s="1767"/>
      <c r="Q57" s="439"/>
    </row>
    <row r="58" spans="1:29" s="442" customFormat="1" ht="14.4">
      <c r="A58" s="440" t="s">
        <v>1715</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1716</v>
      </c>
      <c r="B60" s="450"/>
      <c r="C60" s="451"/>
      <c r="D60" s="452"/>
      <c r="E60" s="452"/>
      <c r="F60" s="452"/>
      <c r="G60" s="452"/>
      <c r="H60" s="452"/>
      <c r="I60" s="452"/>
      <c r="J60" s="452"/>
      <c r="K60" s="452"/>
      <c r="L60" s="452"/>
      <c r="M60" s="453"/>
      <c r="N60" s="452"/>
      <c r="O60" s="453"/>
      <c r="P60" s="1769"/>
      <c r="Q60" s="439"/>
    </row>
    <row r="61" spans="1:29" s="102" customFormat="1" ht="14.4">
      <c r="A61" s="455" t="s">
        <v>1717</v>
      </c>
      <c r="B61" s="444"/>
      <c r="C61" s="456" t="s">
        <v>1718</v>
      </c>
      <c r="D61" s="31"/>
      <c r="E61" s="31"/>
      <c r="F61" s="31"/>
      <c r="G61" s="31"/>
      <c r="H61" s="31"/>
      <c r="I61" s="31"/>
      <c r="J61" s="31"/>
      <c r="K61" s="31"/>
      <c r="L61" s="457"/>
      <c r="M61" s="458"/>
      <c r="N61" s="875"/>
      <c r="O61" s="875"/>
      <c r="P61" s="1770"/>
      <c r="Q61" s="439"/>
    </row>
    <row r="62" spans="1:29" s="102" customFormat="1" ht="14.4" thickBot="1">
      <c r="A62" s="455"/>
      <c r="B62" s="444"/>
      <c r="C62" s="445">
        <v>100</v>
      </c>
      <c r="D62" s="446"/>
      <c r="E62" s="446"/>
      <c r="F62" s="446"/>
      <c r="G62" s="446"/>
      <c r="H62" s="446"/>
      <c r="I62" s="446"/>
      <c r="J62" s="446"/>
      <c r="K62" s="446"/>
      <c r="L62" s="446"/>
      <c r="M62" s="448"/>
      <c r="N62" s="875"/>
      <c r="O62" s="875"/>
      <c r="P62" s="1769"/>
      <c r="Q62" s="439"/>
    </row>
    <row r="63" spans="1:29" ht="14.4">
      <c r="A63" s="379" t="s">
        <v>1719</v>
      </c>
      <c r="B63" s="460" t="s">
        <v>1685</v>
      </c>
      <c r="C63" s="461">
        <f>C9</f>
        <v>0</v>
      </c>
      <c r="D63" s="462"/>
      <c r="E63" s="462"/>
      <c r="F63" s="462"/>
      <c r="G63" s="462"/>
      <c r="H63" s="462"/>
      <c r="I63" s="462"/>
      <c r="J63" s="462"/>
      <c r="K63" s="463"/>
      <c r="L63" s="464"/>
      <c r="M63" s="465"/>
      <c r="N63" s="876"/>
      <c r="O63" s="876"/>
      <c r="P63" s="1771"/>
      <c r="Q63" s="439"/>
    </row>
    <row r="64" spans="1:29" ht="14.4" thickBot="1">
      <c r="A64" s="367"/>
      <c r="B64" s="466"/>
      <c r="C64" s="467">
        <v>100</v>
      </c>
      <c r="D64" s="467"/>
      <c r="E64" s="467"/>
      <c r="F64" s="467"/>
      <c r="G64" s="467"/>
      <c r="H64" s="467"/>
      <c r="I64" s="467"/>
      <c r="J64" s="467"/>
      <c r="K64" s="467"/>
      <c r="L64" s="467"/>
      <c r="M64" s="468"/>
      <c r="N64" s="877"/>
      <c r="O64" s="877"/>
      <c r="P64" s="1771"/>
      <c r="Q64" s="439"/>
    </row>
    <row r="65" spans="1:17" ht="29.4" thickTop="1">
      <c r="A65" s="367"/>
      <c r="B65" s="469" t="s">
        <v>1688</v>
      </c>
      <c r="C65" s="513"/>
      <c r="D65" s="513"/>
      <c r="E65" s="513"/>
      <c r="F65" s="513"/>
      <c r="G65" s="513"/>
      <c r="H65" s="513"/>
      <c r="I65" s="513"/>
      <c r="J65" s="513"/>
      <c r="K65" s="513"/>
      <c r="L65" s="513"/>
      <c r="M65" s="513"/>
      <c r="N65" s="877"/>
      <c r="O65" s="877"/>
      <c r="P65" s="1771"/>
      <c r="Q65" s="439"/>
    </row>
    <row r="66" spans="1:17" ht="14.4" thickBot="1">
      <c r="A66" s="367"/>
      <c r="B66" s="474"/>
      <c r="C66" s="467"/>
      <c r="D66" s="467"/>
      <c r="E66" s="467"/>
      <c r="F66" s="467"/>
      <c r="G66" s="467"/>
      <c r="H66" s="467"/>
      <c r="I66" s="467"/>
      <c r="J66" s="467"/>
      <c r="K66" s="467"/>
      <c r="L66" s="467"/>
      <c r="M66" s="468"/>
      <c r="N66" s="877"/>
      <c r="O66" s="877"/>
      <c r="P66" s="1771"/>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1"/>
      <c r="Q67" s="439"/>
    </row>
    <row r="68" spans="1:17">
      <c r="A68" s="367"/>
      <c r="B68" s="479"/>
      <c r="C68" s="480"/>
      <c r="D68" s="480"/>
      <c r="E68" s="480"/>
      <c r="F68" s="480"/>
      <c r="G68" s="480"/>
      <c r="H68" s="480"/>
      <c r="I68" s="480"/>
      <c r="J68" s="480"/>
      <c r="K68" s="481"/>
      <c r="L68" s="482"/>
      <c r="M68" s="483"/>
      <c r="N68" s="876"/>
      <c r="O68" s="876"/>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1"/>
      <c r="Q69" s="439"/>
    </row>
    <row r="70" spans="1:17" s="408" customFormat="1" ht="14.4" thickTop="1">
      <c r="A70" s="484"/>
      <c r="B70" s="469">
        <f>B12</f>
        <v>111</v>
      </c>
      <c r="C70" s="485"/>
      <c r="D70" s="485"/>
      <c r="E70" s="485"/>
      <c r="F70" s="485"/>
      <c r="G70" s="485"/>
      <c r="H70" s="486"/>
      <c r="I70" s="486"/>
      <c r="J70" s="486"/>
      <c r="K70" s="486"/>
      <c r="L70" s="487"/>
      <c r="M70" s="488"/>
      <c r="N70" s="878"/>
      <c r="O70" s="878"/>
      <c r="P70" s="1772"/>
      <c r="Q70" s="490"/>
    </row>
    <row r="71" spans="1:17" s="408" customFormat="1" ht="14.4" thickBot="1">
      <c r="A71" s="484"/>
      <c r="B71" s="474"/>
      <c r="C71" s="491"/>
      <c r="D71" s="467"/>
      <c r="E71" s="467"/>
      <c r="F71" s="467"/>
      <c r="G71" s="467"/>
      <c r="H71" s="467"/>
      <c r="I71" s="467"/>
      <c r="J71" s="467"/>
      <c r="K71" s="467"/>
      <c r="L71" s="467"/>
      <c r="M71" s="468"/>
      <c r="N71" s="877"/>
      <c r="O71" s="877"/>
      <c r="P71" s="1772"/>
      <c r="Q71" s="490"/>
    </row>
    <row r="72" spans="1:17" s="408" customFormat="1" ht="14.4" thickTop="1">
      <c r="A72" s="484"/>
      <c r="B72" s="469">
        <f>B13</f>
        <v>111</v>
      </c>
      <c r="C72" s="485"/>
      <c r="D72" s="485"/>
      <c r="E72" s="485"/>
      <c r="F72" s="485"/>
      <c r="G72" s="485"/>
      <c r="H72" s="486"/>
      <c r="I72" s="486"/>
      <c r="J72" s="486"/>
      <c r="K72" s="486"/>
      <c r="L72" s="487"/>
      <c r="M72" s="488"/>
      <c r="N72" s="878"/>
      <c r="O72" s="878"/>
      <c r="P72" s="1773"/>
      <c r="Q72" s="492"/>
    </row>
    <row r="73" spans="1:17" s="408" customFormat="1" ht="14.4" thickBot="1">
      <c r="A73" s="484"/>
      <c r="B73" s="474"/>
      <c r="C73" s="491"/>
      <c r="D73" s="491"/>
      <c r="E73" s="491"/>
      <c r="F73" s="491"/>
      <c r="G73" s="491"/>
      <c r="H73" s="493"/>
      <c r="I73" s="493"/>
      <c r="J73" s="493"/>
      <c r="K73" s="493"/>
      <c r="L73" s="493"/>
      <c r="M73" s="494"/>
      <c r="N73" s="878"/>
      <c r="O73" s="878"/>
      <c r="P73" s="1772"/>
      <c r="Q73" s="490"/>
    </row>
    <row r="74" spans="1:17" s="408" customFormat="1" ht="14.4" thickTop="1">
      <c r="A74" s="484"/>
      <c r="B74" s="477">
        <f>B14</f>
        <v>111</v>
      </c>
      <c r="C74" s="485"/>
      <c r="D74" s="485"/>
      <c r="E74" s="485"/>
      <c r="F74" s="485"/>
      <c r="G74" s="31"/>
      <c r="H74" s="495"/>
      <c r="I74" s="495"/>
      <c r="J74" s="495"/>
      <c r="K74" s="495"/>
      <c r="L74" s="496"/>
      <c r="M74" s="497"/>
      <c r="N74" s="878"/>
      <c r="O74" s="878"/>
      <c r="P74" s="1774"/>
      <c r="Q74" s="490"/>
    </row>
    <row r="75" spans="1:17" s="408" customFormat="1" ht="14.4" thickBot="1">
      <c r="A75" s="499"/>
      <c r="B75" s="500"/>
      <c r="C75" s="501"/>
      <c r="D75" s="501"/>
      <c r="E75" s="501"/>
      <c r="F75" s="501"/>
      <c r="G75" s="501"/>
      <c r="H75" s="502"/>
      <c r="I75" s="502"/>
      <c r="J75" s="502"/>
      <c r="K75" s="502"/>
      <c r="L75" s="502"/>
      <c r="M75" s="503"/>
      <c r="N75" s="878"/>
      <c r="O75" s="878"/>
      <c r="P75" s="1772"/>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1"/>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 thickTop="1">
      <c r="A86" s="370"/>
      <c r="B86" s="469" t="s">
        <v>1734</v>
      </c>
      <c r="C86" s="485"/>
      <c r="D86" s="485"/>
      <c r="E86" s="485"/>
      <c r="F86" s="485"/>
      <c r="G86" s="485"/>
      <c r="H86" s="485"/>
      <c r="I86" s="485"/>
      <c r="J86" s="485"/>
      <c r="K86" s="485"/>
      <c r="L86" s="510"/>
      <c r="M86" s="511"/>
      <c r="N86" s="875"/>
      <c r="O86" s="875"/>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1"/>
      <c r="Q87" s="439"/>
    </row>
    <row r="88" spans="1:17" s="102" customFormat="1" ht="15" thickTop="1">
      <c r="A88" s="370"/>
      <c r="B88" s="469" t="s">
        <v>1735</v>
      </c>
      <c r="C88" s="485"/>
      <c r="D88" s="485"/>
      <c r="E88" s="485"/>
      <c r="F88" s="1776"/>
      <c r="G88" s="485"/>
      <c r="H88" s="485"/>
      <c r="I88" s="485"/>
      <c r="J88" s="485"/>
      <c r="K88" s="485"/>
      <c r="L88" s="485"/>
      <c r="M88" s="511"/>
      <c r="N88" s="875"/>
      <c r="O88" s="875"/>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1"/>
      <c r="Q89" s="439"/>
    </row>
    <row r="90" spans="1:17" s="408" customFormat="1" ht="14.4" thickTop="1">
      <c r="A90" s="484"/>
      <c r="B90" s="469">
        <f>B27</f>
        <v>111</v>
      </c>
      <c r="C90" s="485"/>
      <c r="D90" s="485"/>
      <c r="E90" s="485"/>
      <c r="F90" s="485"/>
      <c r="G90" s="485"/>
      <c r="H90" s="486"/>
      <c r="I90" s="486"/>
      <c r="J90" s="486"/>
      <c r="K90" s="486"/>
      <c r="L90" s="487"/>
      <c r="M90" s="488"/>
      <c r="N90" s="878"/>
      <c r="O90" s="878"/>
      <c r="P90" s="1772"/>
      <c r="Q90" s="490"/>
    </row>
    <row r="91" spans="1:17" s="408" customFormat="1" ht="14.4" thickBot="1">
      <c r="A91" s="484"/>
      <c r="B91" s="474"/>
      <c r="C91" s="491"/>
      <c r="D91" s="491"/>
      <c r="E91" s="491"/>
      <c r="F91" s="491"/>
      <c r="G91" s="491"/>
      <c r="H91" s="493"/>
      <c r="I91" s="493"/>
      <c r="J91" s="493"/>
      <c r="K91" s="493"/>
      <c r="L91" s="493"/>
      <c r="M91" s="494"/>
      <c r="N91" s="878"/>
      <c r="O91" s="878"/>
      <c r="P91" s="1772"/>
      <c r="Q91" s="490"/>
    </row>
    <row r="92" spans="1:17" ht="14.4" thickTop="1">
      <c r="A92" s="367"/>
      <c r="B92" s="469">
        <f>B28</f>
        <v>111</v>
      </c>
      <c r="C92" s="485"/>
      <c r="D92" s="485"/>
      <c r="E92" s="485"/>
      <c r="F92" s="485"/>
      <c r="G92" s="513"/>
      <c r="H92" s="513"/>
      <c r="I92" s="513"/>
      <c r="J92" s="513"/>
      <c r="K92" s="514"/>
      <c r="L92" s="515"/>
      <c r="M92" s="516"/>
      <c r="N92" s="876"/>
      <c r="O92" s="876"/>
      <c r="P92" s="1771"/>
      <c r="Q92" s="439"/>
    </row>
    <row r="93" spans="1:17" ht="14.4" thickBot="1">
      <c r="A93" s="367"/>
      <c r="B93" s="474"/>
      <c r="C93" s="491"/>
      <c r="D93" s="467"/>
      <c r="E93" s="467"/>
      <c r="F93" s="467"/>
      <c r="G93" s="467"/>
      <c r="H93" s="467"/>
      <c r="I93" s="467"/>
      <c r="J93" s="467"/>
      <c r="K93" s="467"/>
      <c r="L93" s="467"/>
      <c r="M93" s="468"/>
      <c r="N93" s="877"/>
      <c r="O93" s="877"/>
      <c r="P93" s="1771"/>
      <c r="Q93" s="439"/>
    </row>
    <row r="94" spans="1:17" ht="14.4" thickTop="1">
      <c r="A94" s="367"/>
      <c r="B94" s="469">
        <f>B29</f>
        <v>111</v>
      </c>
      <c r="C94" s="485"/>
      <c r="D94" s="485"/>
      <c r="E94" s="485"/>
      <c r="F94" s="485"/>
      <c r="G94" s="513"/>
      <c r="H94" s="513"/>
      <c r="I94" s="513"/>
      <c r="J94" s="513"/>
      <c r="K94" s="514"/>
      <c r="L94" s="515"/>
      <c r="M94" s="516"/>
      <c r="N94" s="876"/>
      <c r="O94" s="876"/>
      <c r="P94" s="1771"/>
      <c r="Q94" s="439"/>
    </row>
    <row r="95" spans="1:17" ht="14.4" thickBot="1">
      <c r="A95" s="367"/>
      <c r="B95" s="474"/>
      <c r="C95" s="491"/>
      <c r="D95" s="491"/>
      <c r="E95" s="491"/>
      <c r="F95" s="491"/>
      <c r="G95" s="467"/>
      <c r="H95" s="467"/>
      <c r="I95" s="467"/>
      <c r="J95" s="467"/>
      <c r="K95" s="467"/>
      <c r="L95" s="467"/>
      <c r="M95" s="468"/>
      <c r="N95" s="877"/>
      <c r="O95" s="877"/>
      <c r="P95" s="1771"/>
      <c r="Q95" s="439"/>
    </row>
    <row r="96" spans="1:17" ht="14.4" thickTop="1">
      <c r="A96" s="367"/>
      <c r="B96" s="469">
        <f>B30</f>
        <v>111</v>
      </c>
      <c r="C96" s="485"/>
      <c r="D96" s="485"/>
      <c r="E96" s="485"/>
      <c r="F96" s="485"/>
      <c r="G96" s="513"/>
      <c r="H96" s="513"/>
      <c r="I96" s="513"/>
      <c r="J96" s="513"/>
      <c r="K96" s="514"/>
      <c r="L96" s="515"/>
      <c r="M96" s="516"/>
      <c r="N96" s="876"/>
      <c r="O96" s="876"/>
      <c r="P96" s="1771"/>
      <c r="Q96" s="439"/>
    </row>
    <row r="97" spans="1:17" ht="14.4" thickBot="1">
      <c r="A97" s="367"/>
      <c r="B97" s="474"/>
      <c r="C97" s="501"/>
      <c r="D97" s="501"/>
      <c r="E97" s="501"/>
      <c r="F97" s="501"/>
      <c r="G97" s="467"/>
      <c r="H97" s="467"/>
      <c r="I97" s="467"/>
      <c r="J97" s="467"/>
      <c r="K97" s="467"/>
      <c r="L97" s="467"/>
      <c r="M97" s="468"/>
      <c r="N97" s="877"/>
      <c r="O97" s="877"/>
      <c r="P97" s="1771"/>
      <c r="Q97" s="439"/>
    </row>
    <row r="98" spans="1:17" ht="14.4" thickTop="1">
      <c r="A98" s="367"/>
      <c r="B98" s="477">
        <f>B31</f>
        <v>111</v>
      </c>
      <c r="C98" s="517"/>
      <c r="D98" s="517"/>
      <c r="E98" s="517"/>
      <c r="F98" s="517"/>
      <c r="G98" s="517"/>
      <c r="H98" s="517"/>
      <c r="I98" s="517"/>
      <c r="J98" s="517"/>
      <c r="K98" s="518"/>
      <c r="L98" s="519"/>
      <c r="M98" s="520"/>
      <c r="N98" s="876"/>
      <c r="O98" s="876"/>
      <c r="P98" s="1771"/>
      <c r="Q98" s="439"/>
    </row>
    <row r="99" spans="1:17" ht="14.4" thickBot="1">
      <c r="A99" s="375"/>
      <c r="B99" s="500"/>
      <c r="C99" s="521"/>
      <c r="D99" s="521"/>
      <c r="E99" s="521"/>
      <c r="F99" s="521"/>
      <c r="G99" s="521"/>
      <c r="H99" s="521"/>
      <c r="I99" s="521"/>
      <c r="J99" s="521"/>
      <c r="K99" s="521"/>
      <c r="L99" s="521"/>
      <c r="M99" s="522"/>
      <c r="N99" s="877"/>
      <c r="O99" s="877"/>
      <c r="P99" s="1771"/>
      <c r="Q99" s="439"/>
    </row>
    <row r="100" spans="1:17" ht="14.4">
      <c r="A100" s="379" t="s">
        <v>1694</v>
      </c>
      <c r="B100" s="460" t="s">
        <v>1736</v>
      </c>
      <c r="C100" s="462"/>
      <c r="D100" s="462"/>
      <c r="E100" s="462"/>
      <c r="F100" s="462"/>
      <c r="G100" s="462"/>
      <c r="H100" s="462"/>
      <c r="I100" s="462"/>
      <c r="J100" s="462"/>
      <c r="K100" s="463"/>
      <c r="L100" s="464"/>
      <c r="M100" s="465"/>
      <c r="N100" s="876"/>
      <c r="O100" s="876"/>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1"/>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4.4"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1738</v>
      </c>
      <c r="C105" s="485"/>
      <c r="D105" s="485"/>
      <c r="E105" s="513"/>
      <c r="F105" s="513"/>
      <c r="G105" s="513"/>
      <c r="H105" s="513"/>
      <c r="I105" s="513"/>
      <c r="J105" s="513"/>
      <c r="K105" s="514"/>
      <c r="L105" s="515"/>
      <c r="M105" s="516"/>
      <c r="N105" s="876"/>
      <c r="O105" s="876"/>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1"/>
      <c r="Q106" s="439"/>
    </row>
    <row r="107" spans="1:17" ht="15" thickTop="1">
      <c r="A107" s="409"/>
      <c r="B107" s="469" t="s">
        <v>1739</v>
      </c>
      <c r="C107" s="513"/>
      <c r="D107" s="513"/>
      <c r="E107" s="513"/>
      <c r="F107" s="513"/>
      <c r="G107" s="513"/>
      <c r="H107" s="513"/>
      <c r="I107" s="513"/>
      <c r="J107" s="513"/>
      <c r="K107" s="514"/>
      <c r="L107" s="515"/>
      <c r="M107" s="516"/>
      <c r="N107" s="876"/>
      <c r="O107" s="876"/>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1"/>
      <c r="Q108" s="439"/>
    </row>
    <row r="109" spans="1:17" ht="15" thickTop="1">
      <c r="A109" s="409"/>
      <c r="B109" s="469" t="s">
        <v>1740</v>
      </c>
      <c r="C109" s="485"/>
      <c r="D109" s="485"/>
      <c r="E109" s="485"/>
      <c r="F109" s="513"/>
      <c r="G109" s="513"/>
      <c r="H109" s="513"/>
      <c r="I109" s="513"/>
      <c r="J109" s="513"/>
      <c r="K109" s="514"/>
      <c r="L109" s="515"/>
      <c r="M109" s="516"/>
      <c r="N109" s="876"/>
      <c r="O109" s="876"/>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1741</v>
      </c>
      <c r="C114" s="485"/>
      <c r="D114" s="485"/>
      <c r="E114" s="513"/>
      <c r="F114" s="513"/>
      <c r="G114" s="513"/>
      <c r="H114" s="513"/>
      <c r="I114" s="513"/>
      <c r="J114" s="513"/>
      <c r="K114" s="514"/>
      <c r="L114" s="515"/>
      <c r="M114" s="516"/>
      <c r="N114" s="876"/>
      <c r="O114" s="876"/>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1"/>
      <c r="Q115" s="439"/>
    </row>
    <row r="116" spans="1:17" ht="15" thickTop="1">
      <c r="A116" s="409"/>
      <c r="B116" s="469" t="s">
        <v>1742</v>
      </c>
      <c r="C116" s="485"/>
      <c r="D116" s="485"/>
      <c r="E116" s="485"/>
      <c r="F116" s="485"/>
      <c r="G116" s="485"/>
      <c r="H116" s="513"/>
      <c r="I116" s="513"/>
      <c r="J116" s="513"/>
      <c r="K116" s="514"/>
      <c r="L116" s="515"/>
      <c r="M116" s="516"/>
      <c r="N116" s="876"/>
      <c r="O116" s="876"/>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1743</v>
      </c>
      <c r="C118" s="513"/>
      <c r="D118" s="513"/>
      <c r="E118" s="513"/>
      <c r="F118" s="513"/>
      <c r="G118" s="513"/>
      <c r="H118" s="513"/>
      <c r="I118" s="513"/>
      <c r="J118" s="513"/>
      <c r="K118" s="514"/>
      <c r="L118" s="515"/>
      <c r="M118" s="516"/>
      <c r="N118" s="876"/>
      <c r="O118" s="876"/>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1"/>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2"/>
      <c r="Q120" s="490"/>
    </row>
    <row r="121" spans="1:17" s="408" customFormat="1" ht="14.4"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1744</v>
      </c>
      <c r="C122" s="485"/>
      <c r="D122" s="485"/>
      <c r="E122" s="485"/>
      <c r="F122" s="513"/>
      <c r="G122" s="513"/>
      <c r="H122" s="513"/>
      <c r="I122" s="513"/>
      <c r="J122" s="513"/>
      <c r="K122" s="514"/>
      <c r="L122" s="515"/>
      <c r="M122" s="516"/>
      <c r="N122" s="876"/>
      <c r="O122" s="876"/>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1"/>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4.4" thickBot="1">
      <c r="A127" s="484"/>
      <c r="B127" s="474"/>
      <c r="C127" s="491"/>
      <c r="D127" s="467"/>
      <c r="E127" s="467"/>
      <c r="F127" s="467"/>
      <c r="G127" s="491"/>
      <c r="H127" s="493"/>
      <c r="I127" s="493"/>
      <c r="J127" s="493"/>
      <c r="K127" s="493"/>
      <c r="L127" s="493"/>
      <c r="M127" s="494"/>
      <c r="N127" s="878"/>
      <c r="O127" s="878"/>
      <c r="P127" s="1772"/>
      <c r="Q127" s="490"/>
    </row>
    <row r="128" spans="1:17" ht="14.4" thickTop="1">
      <c r="A128" s="409"/>
      <c r="B128" s="469">
        <f>B45</f>
        <v>111</v>
      </c>
      <c r="C128" s="485"/>
      <c r="D128" s="485"/>
      <c r="E128" s="485"/>
      <c r="F128" s="485"/>
      <c r="G128" s="513"/>
      <c r="H128" s="513"/>
      <c r="I128" s="513"/>
      <c r="J128" s="513"/>
      <c r="K128" s="514"/>
      <c r="L128" s="515"/>
      <c r="M128" s="516"/>
      <c r="N128" s="876"/>
      <c r="O128" s="876"/>
      <c r="P128" s="1771"/>
      <c r="Q128" s="439"/>
    </row>
    <row r="129" spans="1:17" ht="14.4" thickBot="1">
      <c r="A129" s="367"/>
      <c r="B129" s="474"/>
      <c r="C129" s="491"/>
      <c r="D129" s="491"/>
      <c r="E129" s="491"/>
      <c r="F129" s="491"/>
      <c r="G129" s="467"/>
      <c r="H129" s="467"/>
      <c r="I129" s="467"/>
      <c r="J129" s="467"/>
      <c r="K129" s="467"/>
      <c r="L129" s="467"/>
      <c r="M129" s="468"/>
      <c r="N129" s="877"/>
      <c r="O129" s="877"/>
      <c r="P129" s="1771"/>
      <c r="Q129" s="439"/>
    </row>
    <row r="130" spans="1:17" ht="14.4" thickTop="1">
      <c r="A130" s="409"/>
      <c r="B130" s="477">
        <f>B46</f>
        <v>111</v>
      </c>
      <c r="C130" s="485"/>
      <c r="D130" s="485"/>
      <c r="E130" s="485"/>
      <c r="F130" s="485"/>
      <c r="G130" s="517"/>
      <c r="H130" s="517"/>
      <c r="I130" s="517"/>
      <c r="J130" s="517"/>
      <c r="K130" s="31"/>
      <c r="L130" s="457"/>
      <c r="M130" s="520"/>
      <c r="N130" s="876"/>
      <c r="O130" s="876"/>
      <c r="P130" s="1771"/>
      <c r="Q130" s="439"/>
    </row>
    <row r="131" spans="1:17" ht="14.4"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3">
        <f>ROUNDUP((J139-1)/2,0)</f>
        <v>10</v>
      </c>
      <c r="K140" s="822">
        <v>100</v>
      </c>
    </row>
    <row r="141" spans="1:17" ht="15">
      <c r="B141" s="817">
        <v>4</v>
      </c>
      <c r="C141" s="818">
        <v>102</v>
      </c>
      <c r="D141" s="818"/>
      <c r="E141" s="819"/>
      <c r="F141" s="820">
        <v>101.5</v>
      </c>
      <c r="G141" s="818"/>
      <c r="H141" s="821"/>
      <c r="I141" s="1790" t="s">
        <v>1758</v>
      </c>
      <c r="J141" s="263">
        <v>1</v>
      </c>
      <c r="K141" s="823">
        <f>ROUND(100+(J141-J140)*K139*100,1)</f>
        <v>96.4</v>
      </c>
    </row>
    <row r="142" spans="1:17" ht="15">
      <c r="B142" s="817">
        <v>3</v>
      </c>
      <c r="C142" s="818">
        <v>103</v>
      </c>
      <c r="D142" s="818"/>
      <c r="E142" s="819"/>
      <c r="F142" s="820">
        <v>101</v>
      </c>
      <c r="G142" s="818"/>
      <c r="H142" s="821"/>
      <c r="I142" s="1790" t="s">
        <v>1759</v>
      </c>
      <c r="J142" s="263">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6.2"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1766</v>
      </c>
      <c r="C1" s="1151" t="s">
        <v>1662</v>
      </c>
      <c r="D1" s="1138"/>
      <c r="E1" s="3116" t="s">
        <v>3558</v>
      </c>
      <c r="F1" s="1731" t="s">
        <v>3559</v>
      </c>
      <c r="G1" s="1148" t="s">
        <v>1767</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1462</v>
      </c>
      <c r="B2" s="1081" t="e">
        <f>IF(E1="项目模式",IF(C2="——",ROUND(C49*D3/10000,0),ROUND(C49*D3/10000,0)-D2),IF(E1="单套模式",IF(C2="——",ROUND(C49*D3/10000,4),ROUND(C49*D3/10000,4)-D2)))</f>
        <v>#DIV/0!</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1464</v>
      </c>
      <c r="B3" s="536" t="e">
        <f>IF(C2="——",C49,ROUND(B2*10000/D3,0))</f>
        <v>#DIV/0!</v>
      </c>
      <c r="C3" s="344" t="s">
        <v>1768</v>
      </c>
      <c r="D3" s="343">
        <f>IF(D1="",'数据-汇总表'!E3,SUMIF('数据-汇总表'!$C19:$C33,D1,'数据-汇总表'!$E19:$E33))</f>
        <v>51206.530000000006</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493"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493"/>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493"/>
      <c r="AC6" s="3538"/>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3556</v>
      </c>
      <c r="D8" s="355">
        <v>100</v>
      </c>
      <c r="E8" s="358"/>
      <c r="F8" s="357">
        <f>SUMIF(61:61,E8,62:62)-SUMIF(61:61,C8,62:62)+100</f>
        <v>0</v>
      </c>
      <c r="G8" s="358"/>
      <c r="H8" s="355">
        <f>SUMIF(61:61,G8,62:62)-SUMIF(61:61,C8,62:62)+100</f>
        <v>0</v>
      </c>
      <c r="I8" s="358"/>
      <c r="J8" s="355">
        <f>SUMIF(61:61,I8,62:62)-SUMIF(61:61,C8,62:62)+100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6" si="3">D8/F8</f>
        <v>#DIV/0!</v>
      </c>
      <c r="AB8" s="50" t="e">
        <f t="shared" ref="AB8:AB46" si="4">D8/H8</f>
        <v>#DIV/0!</v>
      </c>
      <c r="AC8" s="50" t="e">
        <f t="shared" ref="AC8:AC46" si="5">D8/J8</f>
        <v>#DIV/0!</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491"/>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8" t="s">
        <v>1777</v>
      </c>
      <c r="C15" s="1746" t="str">
        <f>估价对象房地状况!C4</f>
        <v>估价对象位于XX商圈，周边商业氛围成熟，人流量大，商业繁华度好</v>
      </c>
      <c r="D15" s="380">
        <v>100</v>
      </c>
      <c r="E15" s="381"/>
      <c r="F15" s="382">
        <f>SUMIF(76:76,E16,77:77)-SUMIF(76:76,C16,77:77)+100</f>
        <v>0</v>
      </c>
      <c r="G15" s="383"/>
      <c r="H15" s="380">
        <f>SUMIF(76:76,G16,77:77)-SUMIF(76:76,C16,77:77)+100</f>
        <v>0</v>
      </c>
      <c r="I15" s="381"/>
      <c r="J15" s="380">
        <f>SUMIF(76:76,I16,77:77)-SUMIF(76:76,C16,77:77)+100</f>
        <v>0</v>
      </c>
      <c r="K15" s="540"/>
      <c r="L15" s="2484"/>
      <c r="M15" s="2479"/>
      <c r="N15" s="2479"/>
      <c r="O15" s="2479"/>
      <c r="P15" s="3497" t="s">
        <v>1691</v>
      </c>
      <c r="Q15" s="1259" t="str">
        <f t="shared" si="6"/>
        <v>商业繁华度</v>
      </c>
      <c r="R15" s="667" t="s">
        <v>14</v>
      </c>
      <c r="S15" s="668">
        <f t="shared" si="0"/>
        <v>0</v>
      </c>
      <c r="T15" s="667" t="s">
        <v>14</v>
      </c>
      <c r="U15" s="668">
        <f t="shared" si="1"/>
        <v>0</v>
      </c>
      <c r="V15" s="667" t="s">
        <v>14</v>
      </c>
      <c r="W15" s="668">
        <f t="shared" si="2"/>
        <v>0</v>
      </c>
      <c r="X15" s="1261"/>
      <c r="Y15" s="3499" t="s">
        <v>1691</v>
      </c>
      <c r="Z15" s="1260" t="str">
        <f t="shared" si="7"/>
        <v>商业繁华度</v>
      </c>
      <c r="AA15" s="1260" t="e">
        <f t="shared" si="3"/>
        <v>#DIV/0!</v>
      </c>
      <c r="AB15" s="1260" t="e">
        <f t="shared" si="4"/>
        <v>#DIV/0!</v>
      </c>
      <c r="AC15" s="1260" t="e">
        <f t="shared" si="5"/>
        <v>#DIV/0!</v>
      </c>
    </row>
    <row r="16" spans="1:29" ht="15">
      <c r="A16" s="367"/>
      <c r="B16" s="385"/>
      <c r="C16" s="386" t="s">
        <v>3548</v>
      </c>
      <c r="D16" s="387"/>
      <c r="E16" s="386"/>
      <c r="F16" s="388"/>
      <c r="G16" s="386"/>
      <c r="H16" s="389"/>
      <c r="I16" s="386"/>
      <c r="J16" s="387"/>
      <c r="K16" s="541"/>
      <c r="L16" s="2484"/>
      <c r="M16" s="2479"/>
      <c r="N16" s="2479"/>
      <c r="O16" s="2479"/>
      <c r="P16" s="3498"/>
      <c r="Q16" s="1259"/>
      <c r="R16" s="667"/>
      <c r="S16" s="668"/>
      <c r="T16" s="667"/>
      <c r="U16" s="668"/>
      <c r="V16" s="667"/>
      <c r="W16" s="668"/>
      <c r="X16" s="1261"/>
      <c r="Y16" s="3500"/>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1"/>
      <c r="F17" s="392">
        <f>SUMIF(78:78,E18,79:79)-SUMIF(78:78,C18,79:79)+100</f>
        <v>0</v>
      </c>
      <c r="G17" s="393"/>
      <c r="H17" s="394">
        <f>SUMIF(78:78,G18,79:79)-SUMIF(78:78,C18,79:79)+100</f>
        <v>0</v>
      </c>
      <c r="I17" s="391"/>
      <c r="J17" s="394">
        <f>SUMIF(78:78,I18,79:79)-SUMIF(78:78,C18,79:79)+100</f>
        <v>0</v>
      </c>
      <c r="K17" s="540"/>
      <c r="L17" s="2484"/>
      <c r="M17" s="2479"/>
      <c r="N17" s="2479"/>
      <c r="O17" s="2479"/>
      <c r="P17" s="3498"/>
      <c r="Q17" s="1259" t="str">
        <f>B17</f>
        <v>交通便捷度</v>
      </c>
      <c r="R17" s="667" t="s">
        <v>14</v>
      </c>
      <c r="S17" s="668">
        <f>F17</f>
        <v>0</v>
      </c>
      <c r="T17" s="667" t="s">
        <v>14</v>
      </c>
      <c r="U17" s="668">
        <f>H17</f>
        <v>0</v>
      </c>
      <c r="V17" s="667" t="s">
        <v>14</v>
      </c>
      <c r="W17" s="668">
        <f>J17</f>
        <v>0</v>
      </c>
      <c r="X17" s="1261"/>
      <c r="Y17" s="3500"/>
      <c r="Z17" s="1260" t="str">
        <f>Q17</f>
        <v>交通便捷度</v>
      </c>
      <c r="AA17" s="1260" t="e">
        <f t="shared" si="3"/>
        <v>#DIV/0!</v>
      </c>
      <c r="AB17" s="1260" t="e">
        <f t="shared" si="4"/>
        <v>#DIV/0!</v>
      </c>
      <c r="AC17" s="1260" t="e">
        <f t="shared" si="5"/>
        <v>#DIV/0!</v>
      </c>
    </row>
    <row r="18" spans="1:29" ht="15">
      <c r="A18" s="367"/>
      <c r="B18" s="395"/>
      <c r="C18" s="1751" t="s">
        <v>3548</v>
      </c>
      <c r="D18" s="389"/>
      <c r="E18" s="1753"/>
      <c r="F18" s="392"/>
      <c r="G18" s="1752"/>
      <c r="H18" s="387"/>
      <c r="I18" s="1753"/>
      <c r="J18" s="387"/>
      <c r="K18" s="541"/>
      <c r="L18" s="2484"/>
      <c r="M18" s="2479"/>
      <c r="N18" s="2479"/>
      <c r="O18" s="2479"/>
      <c r="P18" s="3498"/>
      <c r="Q18" s="1259"/>
      <c r="R18" s="667"/>
      <c r="S18" s="668"/>
      <c r="T18" s="667"/>
      <c r="U18" s="668"/>
      <c r="V18" s="667"/>
      <c r="W18" s="668"/>
      <c r="X18" s="1261"/>
      <c r="Y18" s="3500"/>
      <c r="Z18" s="1260"/>
      <c r="AA18" s="1260">
        <v>1</v>
      </c>
      <c r="AB18" s="1260">
        <v>1</v>
      </c>
      <c r="AC18" s="1260">
        <v>1</v>
      </c>
    </row>
    <row r="19" spans="1:29" ht="248.4">
      <c r="A19" s="367"/>
      <c r="B19" s="390" t="s">
        <v>1778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6"/>
      <c r="F19" s="397">
        <f>SUMIF(80:80,E20,81:81)-SUMIF(80:80,C20,81:81)+100</f>
        <v>0</v>
      </c>
      <c r="G19" s="398"/>
      <c r="H19" s="389">
        <f>SUMIF(80:80,G20,81:81)-SUMIF(80:80,C20,81:81)+100</f>
        <v>0</v>
      </c>
      <c r="I19" s="396"/>
      <c r="J19" s="389">
        <f>SUMIF(80:80,I20,81:81)-SUMIF(80:80,C20,81:81)+100</f>
        <v>0</v>
      </c>
      <c r="K19" s="540"/>
      <c r="L19" s="2484"/>
      <c r="M19" s="2479"/>
      <c r="N19" s="2479"/>
      <c r="O19" s="2479"/>
      <c r="P19" s="3498"/>
      <c r="Q19" s="1259" t="str">
        <f>B19</f>
        <v>公共配套设施</v>
      </c>
      <c r="R19" s="667" t="s">
        <v>14</v>
      </c>
      <c r="S19" s="668">
        <f>F19</f>
        <v>0</v>
      </c>
      <c r="T19" s="667" t="s">
        <v>14</v>
      </c>
      <c r="U19" s="668">
        <f>H19</f>
        <v>0</v>
      </c>
      <c r="V19" s="667" t="s">
        <v>14</v>
      </c>
      <c r="W19" s="668">
        <f>J19</f>
        <v>0</v>
      </c>
      <c r="X19" s="1261"/>
      <c r="Y19" s="3500"/>
      <c r="Z19" s="1260" t="str">
        <f>Q19</f>
        <v>公共配套设施</v>
      </c>
      <c r="AA19" s="1260" t="e">
        <f t="shared" si="3"/>
        <v>#DIV/0!</v>
      </c>
      <c r="AB19" s="1260" t="e">
        <f t="shared" si="4"/>
        <v>#DIV/0!</v>
      </c>
      <c r="AC19" s="1260" t="e">
        <f t="shared" si="5"/>
        <v>#DIV/0!</v>
      </c>
    </row>
    <row r="20" spans="1:29" ht="15">
      <c r="A20" s="367"/>
      <c r="B20" s="395"/>
      <c r="C20" s="386" t="s">
        <v>3548</v>
      </c>
      <c r="D20" s="387"/>
      <c r="E20" s="1748"/>
      <c r="F20" s="388"/>
      <c r="G20" s="1747"/>
      <c r="H20" s="387"/>
      <c r="I20" s="1748"/>
      <c r="J20" s="387"/>
      <c r="K20" s="541"/>
      <c r="L20" s="2484"/>
      <c r="M20" s="2479"/>
      <c r="N20" s="2479"/>
      <c r="O20" s="2479"/>
      <c r="P20" s="3498"/>
      <c r="Q20" s="1259"/>
      <c r="R20" s="667"/>
      <c r="S20" s="668"/>
      <c r="T20" s="667"/>
      <c r="U20" s="668"/>
      <c r="V20" s="667"/>
      <c r="W20" s="668"/>
      <c r="X20" s="1261"/>
      <c r="Y20" s="3500"/>
      <c r="Z20" s="1260"/>
      <c r="AA20" s="1260">
        <v>1</v>
      </c>
      <c r="AB20" s="1260">
        <v>1</v>
      </c>
      <c r="AC20" s="1260">
        <v>1</v>
      </c>
    </row>
    <row r="21" spans="1:29" ht="41.4">
      <c r="A21" s="367"/>
      <c r="B21" s="586" t="s">
        <v>1779</v>
      </c>
      <c r="C21" s="1750" t="str">
        <f>估价对象房地状况!C8</f>
        <v>估价对象所在区域基础设施水平：七通</v>
      </c>
      <c r="D21" s="394">
        <v>100</v>
      </c>
      <c r="E21" s="396"/>
      <c r="F21" s="397">
        <f>SUMIF(82:82,E22,83:83)-SUMIF(82:82,C22,83:83)+100</f>
        <v>0</v>
      </c>
      <c r="G21" s="398"/>
      <c r="H21" s="389">
        <f>SUMIF(82:82,G22,83:83)-SUMIF(82:82,C22,83:83)+100</f>
        <v>0</v>
      </c>
      <c r="I21" s="396"/>
      <c r="J21" s="389">
        <f>SUMIF(82:82,I22,83:83)-SUMIF(82:82,C22,83:83)+100</f>
        <v>0</v>
      </c>
      <c r="K21" s="540"/>
      <c r="L21" s="2484"/>
      <c r="M21" s="2479"/>
      <c r="N21" s="2479"/>
      <c r="O21" s="2479"/>
      <c r="P21" s="3498"/>
      <c r="Q21" s="1259" t="str">
        <f>B21</f>
        <v>基础设施水平</v>
      </c>
      <c r="R21" s="667" t="s">
        <v>14</v>
      </c>
      <c r="S21" s="668">
        <f>F21</f>
        <v>0</v>
      </c>
      <c r="T21" s="667" t="s">
        <v>14</v>
      </c>
      <c r="U21" s="668">
        <f>H21</f>
        <v>0</v>
      </c>
      <c r="V21" s="667" t="s">
        <v>14</v>
      </c>
      <c r="W21" s="668">
        <f>J21</f>
        <v>0</v>
      </c>
      <c r="X21" s="1261"/>
      <c r="Y21" s="3500"/>
      <c r="Z21" s="1260" t="str">
        <f>Q21</f>
        <v>基础设施水平</v>
      </c>
      <c r="AA21" s="1260" t="e">
        <f t="shared" ref="AA21" si="8">D21/F21</f>
        <v>#DIV/0!</v>
      </c>
      <c r="AB21" s="1260" t="e">
        <f t="shared" ref="AB21" si="9">D21/H21</f>
        <v>#DIV/0!</v>
      </c>
      <c r="AC21" s="1260" t="e">
        <f t="shared" ref="AC21" si="10">D21/J21</f>
        <v>#DIV/0!</v>
      </c>
    </row>
    <row r="22" spans="1:29" ht="15">
      <c r="A22" s="367"/>
      <c r="B22" s="586"/>
      <c r="C22" s="1751" t="s">
        <v>3560</v>
      </c>
      <c r="D22" s="387"/>
      <c r="E22" s="386"/>
      <c r="F22" s="388"/>
      <c r="G22" s="386"/>
      <c r="H22" s="387"/>
      <c r="I22" s="386"/>
      <c r="J22" s="387"/>
      <c r="K22" s="1061"/>
      <c r="L22" s="2484"/>
      <c r="M22" s="2479"/>
      <c r="N22" s="2479"/>
      <c r="O22" s="2479"/>
      <c r="P22" s="3498"/>
      <c r="Q22" s="1259"/>
      <c r="R22" s="667"/>
      <c r="S22" s="668"/>
      <c r="T22" s="667"/>
      <c r="U22" s="668"/>
      <c r="V22" s="667"/>
      <c r="W22" s="668"/>
      <c r="X22" s="1261"/>
      <c r="Y22" s="3500"/>
      <c r="Z22" s="1260"/>
      <c r="AA22" s="1260">
        <v>1</v>
      </c>
      <c r="AB22" s="1260">
        <v>1</v>
      </c>
      <c r="AC22" s="1260">
        <v>1</v>
      </c>
    </row>
    <row r="23" spans="1:29" ht="193.2">
      <c r="A23" s="367"/>
      <c r="B23" s="390" t="s">
        <v>1261</v>
      </c>
      <c r="C23" s="180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1"/>
      <c r="F23" s="392">
        <f>SUMIF(84:84,E24,85:85)-SUMIF(84:84,C24,85:85)+100</f>
        <v>0</v>
      </c>
      <c r="G23" s="393"/>
      <c r="H23" s="389">
        <f>SUMIF(84:84,G24,85:85)-SUMIF(84:84,C24,85:85)+100</f>
        <v>0</v>
      </c>
      <c r="I23" s="391"/>
      <c r="J23" s="389">
        <f>SUMIF(84:84,I24,85:85)-SUMIF(84:84,C24,85:85)+100</f>
        <v>0</v>
      </c>
      <c r="K23" s="540"/>
      <c r="L23" s="2484"/>
      <c r="M23" s="2479"/>
      <c r="N23" s="2479"/>
      <c r="O23" s="2479"/>
      <c r="P23" s="3498"/>
      <c r="Q23" s="1259" t="str">
        <f>B23</f>
        <v>自然及人文环境</v>
      </c>
      <c r="R23" s="667" t="s">
        <v>14</v>
      </c>
      <c r="S23" s="668">
        <f>F23</f>
        <v>0</v>
      </c>
      <c r="T23" s="667" t="s">
        <v>14</v>
      </c>
      <c r="U23" s="668">
        <f>H23</f>
        <v>0</v>
      </c>
      <c r="V23" s="667" t="s">
        <v>14</v>
      </c>
      <c r="W23" s="668">
        <f>J23</f>
        <v>0</v>
      </c>
      <c r="X23" s="1261"/>
      <c r="Y23" s="3500"/>
      <c r="Z23" s="1260" t="str">
        <f>Q23</f>
        <v>自然及人文环境</v>
      </c>
      <c r="AA23" s="1260" t="e">
        <f t="shared" si="3"/>
        <v>#DIV/0!</v>
      </c>
      <c r="AB23" s="1260" t="e">
        <f t="shared" si="4"/>
        <v>#DIV/0!</v>
      </c>
      <c r="AC23" s="1260" t="e">
        <f t="shared" si="5"/>
        <v>#DIV/0!</v>
      </c>
    </row>
    <row r="24" spans="1:29" ht="15">
      <c r="A24" s="367"/>
      <c r="B24" s="395"/>
      <c r="C24" s="386" t="s">
        <v>3548</v>
      </c>
      <c r="D24" s="387"/>
      <c r="E24" s="1748"/>
      <c r="F24" s="388"/>
      <c r="G24" s="1747"/>
      <c r="H24" s="387"/>
      <c r="I24" s="1748"/>
      <c r="J24" s="387"/>
      <c r="K24" s="541"/>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498"/>
      <c r="Q25" s="1259" t="str">
        <f t="shared" ref="Q25:Q46" si="11">B25</f>
        <v>临街状况</v>
      </c>
      <c r="R25" s="667" t="s">
        <v>14</v>
      </c>
      <c r="S25" s="668">
        <f>F25</f>
        <v>100</v>
      </c>
      <c r="T25" s="667" t="s">
        <v>14</v>
      </c>
      <c r="U25" s="668">
        <f>H25</f>
        <v>100</v>
      </c>
      <c r="V25" s="667" t="s">
        <v>14</v>
      </c>
      <c r="W25" s="668">
        <f>J25</f>
        <v>100</v>
      </c>
      <c r="X25" s="1261"/>
      <c r="Y25" s="3500"/>
      <c r="Z25" s="1260" t="str">
        <f>Q25</f>
        <v>临街状况</v>
      </c>
      <c r="AA25" s="1260">
        <f t="shared" si="3"/>
        <v>1</v>
      </c>
      <c r="AB25" s="1260">
        <f t="shared" si="4"/>
        <v>1</v>
      </c>
      <c r="AC25" s="1260">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498"/>
      <c r="Q26" s="1259" t="str">
        <f t="shared" si="11"/>
        <v>平面位置/可视性</v>
      </c>
      <c r="R26" s="667" t="s">
        <v>14</v>
      </c>
      <c r="S26" s="668">
        <f>F26</f>
        <v>100</v>
      </c>
      <c r="T26" s="667" t="s">
        <v>14</v>
      </c>
      <c r="U26" s="668">
        <f>H26</f>
        <v>100</v>
      </c>
      <c r="V26" s="667" t="s">
        <v>14</v>
      </c>
      <c r="W26" s="668">
        <f>J26</f>
        <v>100</v>
      </c>
      <c r="X26" s="1261"/>
      <c r="Y26" s="3500"/>
      <c r="Z26" s="1260" t="str">
        <f>Q26</f>
        <v>平面位置/可视性</v>
      </c>
      <c r="AA26" s="1260">
        <f t="shared" si="3"/>
        <v>1</v>
      </c>
      <c r="AB26" s="1260">
        <f t="shared" si="4"/>
        <v>1</v>
      </c>
      <c r="AC26" s="1260">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3"/>
      <c r="N27" s="2433"/>
      <c r="O27" s="2433"/>
      <c r="P27" s="3498"/>
      <c r="Q27" s="530" t="str">
        <f t="shared" si="11"/>
        <v>人流量</v>
      </c>
      <c r="R27" s="664" t="s">
        <v>14</v>
      </c>
      <c r="S27" s="665">
        <f>F27</f>
        <v>100</v>
      </c>
      <c r="T27" s="664" t="s">
        <v>14</v>
      </c>
      <c r="U27" s="665">
        <f>H27</f>
        <v>100</v>
      </c>
      <c r="V27" s="664" t="s">
        <v>14</v>
      </c>
      <c r="W27" s="665">
        <f>J27</f>
        <v>100</v>
      </c>
      <c r="X27" s="666"/>
      <c r="Y27" s="3500"/>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498"/>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500"/>
      <c r="Z28" s="1260" t="str">
        <f t="shared" ref="Z28:Z46" si="15">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498"/>
      <c r="Q29" s="1259">
        <f t="shared" si="11"/>
        <v>111</v>
      </c>
      <c r="R29" s="667" t="s">
        <v>14</v>
      </c>
      <c r="S29" s="668">
        <f t="shared" si="12"/>
        <v>100</v>
      </c>
      <c r="T29" s="667" t="s">
        <v>14</v>
      </c>
      <c r="U29" s="668">
        <f t="shared" si="13"/>
        <v>100</v>
      </c>
      <c r="V29" s="667" t="s">
        <v>14</v>
      </c>
      <c r="W29" s="668">
        <f t="shared" si="14"/>
        <v>100</v>
      </c>
      <c r="X29" s="1261"/>
      <c r="Y29" s="3500"/>
      <c r="Z29" s="1260">
        <f t="shared" si="15"/>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260">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501" t="s">
        <v>1696</v>
      </c>
      <c r="Q32" s="1259" t="str">
        <f t="shared" si="11"/>
        <v>商业类型</v>
      </c>
      <c r="R32" s="667" t="s">
        <v>14</v>
      </c>
      <c r="S32" s="668">
        <f t="shared" si="12"/>
        <v>100</v>
      </c>
      <c r="T32" s="667" t="s">
        <v>14</v>
      </c>
      <c r="U32" s="668">
        <f t="shared" si="13"/>
        <v>100</v>
      </c>
      <c r="V32" s="667" t="s">
        <v>14</v>
      </c>
      <c r="W32" s="668">
        <f t="shared" si="14"/>
        <v>100</v>
      </c>
      <c r="X32" s="1261"/>
      <c r="Y32" s="3504"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502"/>
      <c r="Q33" s="531" t="str">
        <f t="shared" si="11"/>
        <v>项目建筑规模</v>
      </c>
      <c r="R33" s="669" t="s">
        <v>14</v>
      </c>
      <c r="S33" s="670" t="e">
        <f t="shared" si="12"/>
        <v>#N/A</v>
      </c>
      <c r="T33" s="669" t="s">
        <v>14</v>
      </c>
      <c r="U33" s="670" t="e">
        <f t="shared" si="13"/>
        <v>#N/A</v>
      </c>
      <c r="V33" s="669" t="s">
        <v>14</v>
      </c>
      <c r="W33" s="670" t="e">
        <f t="shared" si="14"/>
        <v>#N/A</v>
      </c>
      <c r="X33" s="671"/>
      <c r="Y33" s="3504"/>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502"/>
      <c r="Q34" s="1259" t="str">
        <f t="shared" si="11"/>
        <v>建筑结构</v>
      </c>
      <c r="R34" s="667" t="s">
        <v>14</v>
      </c>
      <c r="S34" s="668">
        <f t="shared" si="12"/>
        <v>100</v>
      </c>
      <c r="T34" s="667" t="s">
        <v>14</v>
      </c>
      <c r="U34" s="668">
        <f t="shared" si="13"/>
        <v>100</v>
      </c>
      <c r="V34" s="667" t="s">
        <v>14</v>
      </c>
      <c r="W34" s="668">
        <f t="shared" si="14"/>
        <v>100</v>
      </c>
      <c r="X34" s="1261"/>
      <c r="Y34" s="3504"/>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502"/>
      <c r="Q35" s="1259" t="str">
        <f t="shared" si="11"/>
        <v>公共部分装修</v>
      </c>
      <c r="R35" s="667" t="s">
        <v>14</v>
      </c>
      <c r="S35" s="668">
        <f t="shared" si="12"/>
        <v>100</v>
      </c>
      <c r="T35" s="667" t="s">
        <v>14</v>
      </c>
      <c r="U35" s="668">
        <f t="shared" si="13"/>
        <v>100</v>
      </c>
      <c r="V35" s="667" t="s">
        <v>14</v>
      </c>
      <c r="W35" s="668">
        <f t="shared" si="14"/>
        <v>100</v>
      </c>
      <c r="X35" s="1261"/>
      <c r="Y35" s="3504"/>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502"/>
      <c r="Q36" s="1259" t="str">
        <f t="shared" si="11"/>
        <v>成新度</v>
      </c>
      <c r="R36" s="667" t="s">
        <v>14</v>
      </c>
      <c r="S36" s="668" t="e">
        <f t="shared" si="12"/>
        <v>#N/A</v>
      </c>
      <c r="T36" s="667" t="s">
        <v>14</v>
      </c>
      <c r="U36" s="668" t="e">
        <f t="shared" si="13"/>
        <v>#N/A</v>
      </c>
      <c r="V36" s="667" t="s">
        <v>14</v>
      </c>
      <c r="W36" s="668" t="e">
        <f t="shared" si="14"/>
        <v>#N/A</v>
      </c>
      <c r="X36" s="1261"/>
      <c r="Y36" s="3504"/>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3"/>
      <c r="N37" s="2433"/>
      <c r="O37" s="2433"/>
      <c r="P37" s="3502"/>
      <c r="Q37" s="530" t="str">
        <f t="shared" si="11"/>
        <v>市政基础设施</v>
      </c>
      <c r="R37" s="664" t="s">
        <v>14</v>
      </c>
      <c r="S37" s="665">
        <f t="shared" si="12"/>
        <v>100</v>
      </c>
      <c r="T37" s="664" t="s">
        <v>14</v>
      </c>
      <c r="U37" s="665">
        <f t="shared" si="13"/>
        <v>100</v>
      </c>
      <c r="V37" s="664" t="s">
        <v>14</v>
      </c>
      <c r="W37" s="665">
        <f t="shared" si="14"/>
        <v>100</v>
      </c>
      <c r="X37" s="666"/>
      <c r="Y37" s="3504"/>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502" t="s">
        <v>1696</v>
      </c>
      <c r="Q38" s="1259" t="str">
        <f t="shared" si="11"/>
        <v>业态</v>
      </c>
      <c r="R38" s="667" t="s">
        <v>14</v>
      </c>
      <c r="S38" s="668">
        <f t="shared" si="12"/>
        <v>100</v>
      </c>
      <c r="T38" s="667" t="s">
        <v>14</v>
      </c>
      <c r="U38" s="668">
        <f t="shared" si="13"/>
        <v>100</v>
      </c>
      <c r="V38" s="667" t="s">
        <v>14</v>
      </c>
      <c r="W38" s="668">
        <f t="shared" si="14"/>
        <v>100</v>
      </c>
      <c r="X38" s="1261"/>
      <c r="Y38" s="3504"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502"/>
      <c r="Q39" s="1259" t="str">
        <f t="shared" si="11"/>
        <v>层高</v>
      </c>
      <c r="R39" s="667" t="s">
        <v>14</v>
      </c>
      <c r="S39" s="668">
        <f t="shared" si="12"/>
        <v>100</v>
      </c>
      <c r="T39" s="667" t="s">
        <v>14</v>
      </c>
      <c r="U39" s="668">
        <f t="shared" si="13"/>
        <v>100</v>
      </c>
      <c r="V39" s="667" t="s">
        <v>14</v>
      </c>
      <c r="W39" s="668">
        <f t="shared" si="14"/>
        <v>100</v>
      </c>
      <c r="X39" s="1261"/>
      <c r="Y39" s="3504"/>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502"/>
      <c r="Q40" s="1259" t="str">
        <f t="shared" si="11"/>
        <v>单套建筑面积</v>
      </c>
      <c r="R40" s="667" t="s">
        <v>14</v>
      </c>
      <c r="S40" s="668">
        <f t="shared" si="12"/>
        <v>100</v>
      </c>
      <c r="T40" s="667" t="s">
        <v>14</v>
      </c>
      <c r="U40" s="668">
        <f t="shared" si="13"/>
        <v>100</v>
      </c>
      <c r="V40" s="667" t="s">
        <v>14</v>
      </c>
      <c r="W40" s="668">
        <f t="shared" si="14"/>
        <v>100</v>
      </c>
      <c r="X40" s="1261"/>
      <c r="Y40" s="3504"/>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502"/>
      <c r="Q41" s="531" t="str">
        <f t="shared" si="11"/>
        <v>进深比</v>
      </c>
      <c r="R41" s="669" t="s">
        <v>14</v>
      </c>
      <c r="S41" s="670">
        <f t="shared" si="12"/>
        <v>100</v>
      </c>
      <c r="T41" s="669" t="s">
        <v>14</v>
      </c>
      <c r="U41" s="670">
        <f t="shared" si="13"/>
        <v>100</v>
      </c>
      <c r="V41" s="669" t="s">
        <v>14</v>
      </c>
      <c r="W41" s="670">
        <f t="shared" si="14"/>
        <v>100</v>
      </c>
      <c r="X41" s="671"/>
      <c r="Y41" s="3504"/>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502"/>
      <c r="Q42" s="1259" t="str">
        <f t="shared" si="11"/>
        <v>内部装修</v>
      </c>
      <c r="R42" s="667" t="s">
        <v>14</v>
      </c>
      <c r="S42" s="668">
        <f t="shared" si="12"/>
        <v>100</v>
      </c>
      <c r="T42" s="667" t="s">
        <v>14</v>
      </c>
      <c r="U42" s="668">
        <f t="shared" si="13"/>
        <v>100</v>
      </c>
      <c r="V42" s="667" t="s">
        <v>14</v>
      </c>
      <c r="W42" s="668">
        <f t="shared" si="14"/>
        <v>100</v>
      </c>
      <c r="X42" s="1261"/>
      <c r="Y42" s="3504"/>
      <c r="Z42" s="1260" t="str">
        <f t="shared" si="15"/>
        <v>内部装修</v>
      </c>
      <c r="AA42" s="1260">
        <f t="shared" si="3"/>
        <v>1</v>
      </c>
      <c r="AB42" s="1260">
        <f t="shared" si="4"/>
        <v>1</v>
      </c>
      <c r="AC42" s="1260">
        <f t="shared" si="5"/>
        <v>1</v>
      </c>
    </row>
    <row r="43" spans="1:29" ht="28.8">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502"/>
      <c r="Q43" s="1259" t="str">
        <f t="shared" si="11"/>
        <v>内部装修维护情况</v>
      </c>
      <c r="R43" s="667" t="s">
        <v>14</v>
      </c>
      <c r="S43" s="668">
        <f t="shared" si="12"/>
        <v>100</v>
      </c>
      <c r="T43" s="667" t="s">
        <v>14</v>
      </c>
      <c r="U43" s="668">
        <f t="shared" si="13"/>
        <v>100</v>
      </c>
      <c r="V43" s="667" t="s">
        <v>14</v>
      </c>
      <c r="W43" s="668">
        <f t="shared" si="14"/>
        <v>100</v>
      </c>
      <c r="X43" s="1261"/>
      <c r="Y43" s="3504"/>
      <c r="Z43" s="1260" t="str">
        <f t="shared" si="15"/>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3"/>
      <c r="N44" s="2433"/>
      <c r="O44" s="2433"/>
      <c r="P44" s="3502"/>
      <c r="Q44" s="530">
        <f t="shared" si="11"/>
        <v>111</v>
      </c>
      <c r="R44" s="664" t="s">
        <v>14</v>
      </c>
      <c r="S44" s="665">
        <f t="shared" si="12"/>
        <v>100</v>
      </c>
      <c r="T44" s="664" t="s">
        <v>14</v>
      </c>
      <c r="U44" s="665">
        <f t="shared" si="13"/>
        <v>100</v>
      </c>
      <c r="V44" s="664" t="s">
        <v>14</v>
      </c>
      <c r="W44" s="665">
        <f t="shared" si="14"/>
        <v>100</v>
      </c>
      <c r="X44" s="666"/>
      <c r="Y44" s="3504"/>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502"/>
      <c r="Q45" s="1259">
        <f t="shared" si="11"/>
        <v>111</v>
      </c>
      <c r="R45" s="667" t="s">
        <v>14</v>
      </c>
      <c r="S45" s="668">
        <f t="shared" si="12"/>
        <v>100</v>
      </c>
      <c r="T45" s="667" t="s">
        <v>14</v>
      </c>
      <c r="U45" s="668">
        <f t="shared" si="13"/>
        <v>100</v>
      </c>
      <c r="V45" s="667" t="s">
        <v>14</v>
      </c>
      <c r="W45" s="668">
        <f t="shared" si="14"/>
        <v>100</v>
      </c>
      <c r="X45" s="1261"/>
      <c r="Y45" s="3504"/>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503"/>
      <c r="Q46" s="1259">
        <f t="shared" si="11"/>
        <v>111</v>
      </c>
      <c r="R46" s="667" t="s">
        <v>14</v>
      </c>
      <c r="S46" s="668">
        <f t="shared" si="12"/>
        <v>100</v>
      </c>
      <c r="T46" s="667" t="s">
        <v>14</v>
      </c>
      <c r="U46" s="668">
        <f t="shared" si="13"/>
        <v>100</v>
      </c>
      <c r="V46" s="667" t="s">
        <v>14</v>
      </c>
      <c r="W46" s="668">
        <f t="shared" si="14"/>
        <v>100</v>
      </c>
      <c r="X46" s="1261"/>
      <c r="Y46" s="3505"/>
      <c r="Z46" s="1260">
        <f t="shared" si="15"/>
        <v>111</v>
      </c>
      <c r="AA46" s="1260">
        <f t="shared" si="3"/>
        <v>1</v>
      </c>
      <c r="AB46" s="1260">
        <f t="shared" si="4"/>
        <v>1</v>
      </c>
      <c r="AC46" s="1260">
        <f t="shared" si="5"/>
        <v>1</v>
      </c>
    </row>
    <row r="47" spans="1:29" ht="14.4">
      <c r="A47" s="416" t="s">
        <v>1708</v>
      </c>
      <c r="B47" s="417"/>
      <c r="C47" s="1077" t="s">
        <v>0</v>
      </c>
      <c r="D47" s="418"/>
      <c r="E47" s="419"/>
      <c r="F47" s="420"/>
      <c r="G47" s="421"/>
      <c r="H47" s="422"/>
      <c r="I47" s="419"/>
      <c r="J47" s="422"/>
      <c r="K47" s="674"/>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 thickBot="1">
      <c r="A48" s="423" t="s">
        <v>1793</v>
      </c>
      <c r="B48" s="424"/>
      <c r="C48" s="1078" t="e">
        <f>R49</f>
        <v>#DIV/0!</v>
      </c>
      <c r="D48" s="2137" t="s">
        <v>2138</v>
      </c>
      <c r="E48" s="1079" t="e">
        <f>R48</f>
        <v>#DIV/0!</v>
      </c>
      <c r="F48" s="2138"/>
      <c r="G48" s="1078" t="e">
        <f>T48</f>
        <v>#DIV/0!</v>
      </c>
      <c r="H48" s="2138"/>
      <c r="I48" s="1079" t="e">
        <f>V48</f>
        <v>#DIV/0!</v>
      </c>
      <c r="J48" s="2138"/>
      <c r="K48" s="2140">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2.2" thickBot="1">
      <c r="A57" s="658" t="s">
        <v>1798</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4.4">
      <c r="A58" s="440" t="s">
        <v>1679</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1"/>
      <c r="Q58" s="2502"/>
      <c r="R58" s="2502"/>
      <c r="S58" s="2502"/>
      <c r="T58" s="2502"/>
      <c r="U58" s="2502"/>
      <c r="V58" s="2502"/>
      <c r="W58" s="2502"/>
      <c r="X58" s="2502"/>
      <c r="Y58" s="2502"/>
      <c r="Z58" s="2502"/>
      <c r="AA58" s="2502"/>
      <c r="AB58" s="2502"/>
      <c r="AC58" s="2502"/>
    </row>
    <row r="59" spans="1:29" s="102" customFormat="1">
      <c r="A59" s="443"/>
      <c r="B59" s="444"/>
      <c r="C59" s="1098">
        <v>100</v>
      </c>
      <c r="D59" s="446"/>
      <c r="E59" s="446"/>
      <c r="F59" s="446"/>
      <c r="G59" s="446"/>
      <c r="H59" s="446"/>
      <c r="I59" s="446"/>
      <c r="J59" s="446"/>
      <c r="K59" s="446"/>
      <c r="L59" s="446"/>
      <c r="M59" s="447"/>
      <c r="N59" s="446"/>
      <c r="O59" s="447"/>
      <c r="P59" s="2503"/>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3"/>
      <c r="Q60" s="2500"/>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2"/>
      <c r="O61" s="2512"/>
      <c r="P61" s="2504"/>
      <c r="Q61" s="2500"/>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2"/>
      <c r="O62" s="2512"/>
      <c r="P62" s="2503"/>
      <c r="Q62" s="2500"/>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4.4"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9.4" thickTop="1">
      <c r="A65" s="367"/>
      <c r="B65" s="469" t="s">
        <v>1688</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4.4"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4"/>
      <c r="O69" s="2514"/>
      <c r="P69" s="2505"/>
      <c r="Q69" s="2500"/>
      <c r="R69" s="2479"/>
      <c r="S69" s="2479"/>
      <c r="T69" s="2479"/>
      <c r="U69" s="2479"/>
      <c r="V69" s="2479"/>
      <c r="W69" s="2479"/>
      <c r="X69" s="2479"/>
      <c r="Y69" s="2479"/>
      <c r="Z69" s="2479"/>
      <c r="AA69" s="2479"/>
      <c r="AB69" s="2479"/>
      <c r="AC69" s="2479"/>
    </row>
    <row r="70" spans="1:29" s="408" customFormat="1" ht="14.4"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4.4"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4.4"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4.4"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4.4"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4.4"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ht="14.4">
      <c r="A76" s="379" t="s">
        <v>1690</v>
      </c>
      <c r="B76" s="460" t="s">
        <v>1720</v>
      </c>
      <c r="C76" s="504" t="s">
        <v>1721</v>
      </c>
      <c r="D76" s="504" t="s">
        <v>1722</v>
      </c>
      <c r="E76" s="504" t="s">
        <v>1723</v>
      </c>
      <c r="F76" s="504" t="s">
        <v>1724</v>
      </c>
      <c r="G76" s="504" t="s">
        <v>1725</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 thickTop="1">
      <c r="A78" s="367"/>
      <c r="B78" s="469" t="s">
        <v>1726</v>
      </c>
      <c r="C78" s="509" t="s">
        <v>1721</v>
      </c>
      <c r="D78" s="509" t="s">
        <v>1722</v>
      </c>
      <c r="E78" s="509" t="s">
        <v>1723</v>
      </c>
      <c r="F78" s="509" t="s">
        <v>1724</v>
      </c>
      <c r="G78" s="509" t="s">
        <v>1725</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 thickTop="1">
      <c r="A80" s="367"/>
      <c r="B80" s="469" t="s">
        <v>1727</v>
      </c>
      <c r="C80" s="509" t="s">
        <v>1721</v>
      </c>
      <c r="D80" s="509" t="s">
        <v>1722</v>
      </c>
      <c r="E80" s="509" t="s">
        <v>1723</v>
      </c>
      <c r="F80" s="509" t="s">
        <v>1724</v>
      </c>
      <c r="G80" s="509" t="s">
        <v>1725</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 thickTop="1">
      <c r="A82" s="367"/>
      <c r="B82" s="477" t="s">
        <v>1779</v>
      </c>
      <c r="C82" s="581" t="s">
        <v>1799</v>
      </c>
      <c r="D82" s="581" t="s">
        <v>1800</v>
      </c>
      <c r="E82" s="581" t="s">
        <v>1801</v>
      </c>
      <c r="F82" s="581" t="s">
        <v>1802</v>
      </c>
      <c r="G82" s="581" t="s">
        <v>1803</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 thickTop="1">
      <c r="A84" s="367"/>
      <c r="B84" s="469" t="s">
        <v>1733</v>
      </c>
      <c r="C84" s="509" t="s">
        <v>1721</v>
      </c>
      <c r="D84" s="509" t="s">
        <v>1722</v>
      </c>
      <c r="E84" s="509" t="s">
        <v>1723</v>
      </c>
      <c r="F84" s="509" t="s">
        <v>1724</v>
      </c>
      <c r="G84" s="509" t="s">
        <v>1725</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 thickTop="1">
      <c r="A86" s="370"/>
      <c r="B86" s="469" t="s">
        <v>1804</v>
      </c>
      <c r="C86" s="485"/>
      <c r="D86" s="485"/>
      <c r="E86" s="485"/>
      <c r="F86" s="485"/>
      <c r="G86" s="485"/>
      <c r="H86" s="485"/>
      <c r="I86" s="485"/>
      <c r="J86" s="485"/>
      <c r="K86" s="485"/>
      <c r="L86" s="510"/>
      <c r="M86" s="511"/>
      <c r="N86" s="2512"/>
      <c r="O86" s="2512"/>
      <c r="P86" s="2505"/>
      <c r="Q86" s="2500"/>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4"/>
      <c r="O87" s="2514"/>
      <c r="P87" s="2505"/>
      <c r="Q87" s="2500"/>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2"/>
      <c r="O88" s="2512"/>
      <c r="P88" s="2505"/>
      <c r="Q88" s="2500"/>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4"/>
      <c r="O89" s="2514"/>
      <c r="P89" s="2505"/>
      <c r="Q89" s="2500"/>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5"/>
      <c r="O91" s="2515"/>
      <c r="P91" s="2506"/>
      <c r="Q91" s="2507"/>
      <c r="R91" s="2485"/>
      <c r="S91" s="2485"/>
      <c r="T91" s="2485"/>
      <c r="U91" s="2485"/>
      <c r="V91" s="2485"/>
      <c r="W91" s="2485"/>
      <c r="X91" s="2485"/>
      <c r="Y91" s="2485"/>
      <c r="Z91" s="2485"/>
      <c r="AA91" s="2485"/>
      <c r="AB91" s="2485"/>
      <c r="AC91" s="2485"/>
    </row>
    <row r="92" spans="1:29" ht="14.4"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4.4"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4.4"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4.4"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4.4"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4.4"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4.4"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4.4"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ht="14.4">
      <c r="A100" s="379" t="s">
        <v>1694</v>
      </c>
      <c r="B100" s="460" t="s">
        <v>1805</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4"/>
      <c r="O101" s="2514"/>
      <c r="P101" s="2505"/>
      <c r="Q101" s="2500"/>
      <c r="R101" s="2479"/>
      <c r="S101" s="2479"/>
      <c r="T101" s="2479"/>
      <c r="U101" s="2479"/>
      <c r="V101" s="2479"/>
      <c r="W101" s="2479"/>
      <c r="X101" s="2479"/>
      <c r="Y101" s="2479"/>
      <c r="Z101" s="2479"/>
      <c r="AA101" s="2479"/>
      <c r="AB101" s="2479"/>
      <c r="AC101" s="2479"/>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4.4"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1738</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1740</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1742</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1806</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1807</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1808</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4.4"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1809</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1744</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4"/>
      <c r="O123" s="2514"/>
      <c r="P123" s="2505"/>
      <c r="Q123" s="2500"/>
      <c r="R123" s="2479"/>
      <c r="S123" s="2479"/>
      <c r="T123" s="2479"/>
      <c r="U123" s="2479"/>
      <c r="V123" s="2479"/>
      <c r="W123" s="2479"/>
      <c r="X123" s="2479"/>
      <c r="Y123" s="2479"/>
      <c r="Z123" s="2479"/>
      <c r="AA123" s="2479"/>
      <c r="AB123" s="2479"/>
      <c r="AC123" s="2479"/>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4.4"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4.4"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4.4"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4.4"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4.4"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4.4"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51206.530000000006</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857"/>
      <c r="M4" s="858"/>
      <c r="N4" s="858"/>
      <c r="O4" s="858"/>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857"/>
      <c r="M5" s="858"/>
      <c r="N5" s="858"/>
      <c r="O5" s="858"/>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857"/>
      <c r="M6" s="858"/>
      <c r="N6" s="858"/>
      <c r="O6" s="858"/>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59"/>
      <c r="M7" s="860"/>
      <c r="N7" s="860"/>
      <c r="O7" s="860"/>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532" t="s">
        <v>1683</v>
      </c>
      <c r="Q8" s="3531"/>
      <c r="R8" s="664" t="s">
        <v>14</v>
      </c>
      <c r="S8" s="665">
        <f t="shared" si="0"/>
        <v>100</v>
      </c>
      <c r="T8" s="664" t="s">
        <v>14</v>
      </c>
      <c r="U8" s="665">
        <f t="shared" si="1"/>
        <v>100</v>
      </c>
      <c r="V8" s="664" t="s">
        <v>14</v>
      </c>
      <c r="W8" s="665">
        <f t="shared" si="2"/>
        <v>100</v>
      </c>
      <c r="X8" s="666"/>
      <c r="Y8" s="3532" t="s">
        <v>1683</v>
      </c>
      <c r="Z8" s="353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2"/>
      <c r="M10" s="863"/>
      <c r="N10" s="863"/>
      <c r="O10" s="864"/>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92"/>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500"/>
      <c r="Q16" s="1259"/>
      <c r="R16" s="667"/>
      <c r="S16" s="668"/>
      <c r="T16" s="667"/>
      <c r="U16" s="668"/>
      <c r="V16" s="667"/>
      <c r="W16" s="668"/>
      <c r="X16" s="1261"/>
      <c r="Y16" s="3500"/>
      <c r="Z16" s="1260"/>
      <c r="AA16" s="1260">
        <v>1</v>
      </c>
      <c r="AB16" s="1260">
        <v>1</v>
      </c>
      <c r="AC16" s="1260">
        <v>1</v>
      </c>
    </row>
    <row r="17" spans="1:29" ht="96.6">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500"/>
      <c r="Q18" s="1259"/>
      <c r="R18" s="667"/>
      <c r="S18" s="668"/>
      <c r="T18" s="667"/>
      <c r="U18" s="668"/>
      <c r="V18" s="667"/>
      <c r="W18" s="668"/>
      <c r="X18" s="1261"/>
      <c r="Y18" s="3500"/>
      <c r="Z18" s="1260"/>
      <c r="AA18" s="1260">
        <v>1</v>
      </c>
      <c r="AB18" s="1260">
        <v>1</v>
      </c>
      <c r="AC18" s="1260">
        <v>1</v>
      </c>
    </row>
    <row r="19" spans="1:29" ht="41.4">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00"/>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500"/>
      <c r="Q20" s="1259"/>
      <c r="R20" s="667"/>
      <c r="S20" s="668"/>
      <c r="T20" s="667"/>
      <c r="U20" s="668"/>
      <c r="V20" s="667"/>
      <c r="W20" s="668"/>
      <c r="X20" s="1261"/>
      <c r="Y20" s="3500"/>
      <c r="Z20" s="1260"/>
      <c r="AA20" s="1260">
        <v>1</v>
      </c>
      <c r="AB20" s="1260">
        <v>1</v>
      </c>
      <c r="AC20" s="1260">
        <v>1</v>
      </c>
    </row>
    <row r="21" spans="1:29" ht="41.4">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00"/>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1"/>
      <c r="L22" s="867"/>
      <c r="M22" s="858"/>
      <c r="N22" s="858"/>
      <c r="O22" s="866"/>
      <c r="P22" s="3500"/>
      <c r="Q22" s="1259"/>
      <c r="R22" s="667"/>
      <c r="S22" s="668"/>
      <c r="T22" s="667"/>
      <c r="U22" s="668"/>
      <c r="V22" s="667"/>
      <c r="W22" s="668"/>
      <c r="X22" s="1261"/>
      <c r="Y22" s="3500"/>
      <c r="Z22" s="1260"/>
      <c r="AA22" s="1260">
        <v>1</v>
      </c>
      <c r="AB22" s="1260">
        <v>1</v>
      </c>
      <c r="AC22" s="1260">
        <v>1</v>
      </c>
    </row>
    <row r="23" spans="1:29" ht="82.8">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00"/>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500"/>
      <c r="Q24" s="1259"/>
      <c r="R24" s="667"/>
      <c r="S24" s="668"/>
      <c r="T24" s="667"/>
      <c r="U24" s="668"/>
      <c r="V24" s="667"/>
      <c r="W24" s="668"/>
      <c r="X24" s="1261"/>
      <c r="Y24" s="3500"/>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00"/>
      <c r="Q25" s="1259">
        <f>B25</f>
        <v>111</v>
      </c>
      <c r="R25" s="667" t="s">
        <v>14</v>
      </c>
      <c r="S25" s="668">
        <f>F25</f>
        <v>100</v>
      </c>
      <c r="T25" s="667" t="s">
        <v>14</v>
      </c>
      <c r="U25" s="668">
        <f>H25</f>
        <v>100</v>
      </c>
      <c r="V25" s="667" t="s">
        <v>14</v>
      </c>
      <c r="W25" s="668">
        <f>J25</f>
        <v>100</v>
      </c>
      <c r="X25" s="1261"/>
      <c r="Y25" s="3500"/>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00"/>
      <c r="Q26" s="1259">
        <f t="shared" ref="Q26:Q40" si="11">B26</f>
        <v>111</v>
      </c>
      <c r="R26" s="667" t="s">
        <v>14</v>
      </c>
      <c r="S26" s="668">
        <f>F26</f>
        <v>100</v>
      </c>
      <c r="T26" s="667" t="s">
        <v>14</v>
      </c>
      <c r="U26" s="668">
        <f>H26</f>
        <v>100</v>
      </c>
      <c r="V26" s="667" t="s">
        <v>14</v>
      </c>
      <c r="W26" s="668">
        <f>J26</f>
        <v>100</v>
      </c>
      <c r="X26" s="1261"/>
      <c r="Y26" s="3500"/>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00"/>
      <c r="Q27" s="530">
        <f t="shared" si="11"/>
        <v>111</v>
      </c>
      <c r="R27" s="664" t="s">
        <v>14</v>
      </c>
      <c r="S27" s="665">
        <f>F27</f>
        <v>100</v>
      </c>
      <c r="T27" s="664" t="s">
        <v>14</v>
      </c>
      <c r="U27" s="665">
        <f>H27</f>
        <v>100</v>
      </c>
      <c r="V27" s="664" t="s">
        <v>14</v>
      </c>
      <c r="W27" s="665">
        <f>J27</f>
        <v>100</v>
      </c>
      <c r="X27" s="666"/>
      <c r="Y27" s="3500"/>
      <c r="Z27" s="50">
        <f>Q27</f>
        <v>111</v>
      </c>
      <c r="AA27" s="1260">
        <f>D27/F27</f>
        <v>1</v>
      </c>
      <c r="AB27" s="1260">
        <f>D27/H27</f>
        <v>1</v>
      </c>
      <c r="AC27" s="1260">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00"/>
      <c r="Q28" s="1259">
        <f t="shared" si="11"/>
        <v>111</v>
      </c>
      <c r="R28" s="667" t="s">
        <v>14</v>
      </c>
      <c r="S28" s="668">
        <f t="shared" ref="S28:S40" si="12">F28</f>
        <v>100</v>
      </c>
      <c r="T28" s="667" t="s">
        <v>14</v>
      </c>
      <c r="U28" s="668">
        <f t="shared" ref="U28:U40" si="13">H28</f>
        <v>100</v>
      </c>
      <c r="V28" s="667" t="s">
        <v>14</v>
      </c>
      <c r="W28" s="668">
        <f t="shared" ref="W28:W40" si="14">J28</f>
        <v>100</v>
      </c>
      <c r="X28" s="1261"/>
      <c r="Y28" s="3500"/>
      <c r="Z28" s="1260">
        <f t="shared" ref="Z28:Z40" si="15">Q28</f>
        <v>111</v>
      </c>
      <c r="AA28" s="1260">
        <f t="shared" si="3"/>
        <v>1</v>
      </c>
      <c r="AB28" s="1260">
        <f t="shared" si="4"/>
        <v>1</v>
      </c>
      <c r="AC28" s="1260">
        <f t="shared" si="5"/>
        <v>1</v>
      </c>
    </row>
    <row r="29" spans="1:29" ht="30">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581" t="s">
        <v>1696</v>
      </c>
      <c r="Q29" s="1259" t="str">
        <f t="shared" si="11"/>
        <v>建筑类型</v>
      </c>
      <c r="R29" s="667" t="s">
        <v>14</v>
      </c>
      <c r="S29" s="668">
        <f t="shared" si="12"/>
        <v>100</v>
      </c>
      <c r="T29" s="667" t="s">
        <v>14</v>
      </c>
      <c r="U29" s="668">
        <f t="shared" si="13"/>
        <v>100</v>
      </c>
      <c r="V29" s="667" t="s">
        <v>14</v>
      </c>
      <c r="W29" s="668">
        <f t="shared" si="14"/>
        <v>100</v>
      </c>
      <c r="X29" s="1261"/>
      <c r="Y29" s="3504"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04"/>
      <c r="Q30" s="531" t="str">
        <f t="shared" si="11"/>
        <v>项目建筑规模</v>
      </c>
      <c r="R30" s="669" t="s">
        <v>14</v>
      </c>
      <c r="S30" s="670" t="e">
        <f t="shared" si="12"/>
        <v>#N/A</v>
      </c>
      <c r="T30" s="669" t="s">
        <v>14</v>
      </c>
      <c r="U30" s="670" t="e">
        <f t="shared" si="13"/>
        <v>#N/A</v>
      </c>
      <c r="V30" s="669" t="s">
        <v>14</v>
      </c>
      <c r="W30" s="670" t="e">
        <f t="shared" si="14"/>
        <v>#N/A</v>
      </c>
      <c r="X30" s="671"/>
      <c r="Y30" s="3504"/>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04"/>
      <c r="Q31" s="1259" t="str">
        <f t="shared" si="11"/>
        <v>建筑结构</v>
      </c>
      <c r="R31" s="667" t="s">
        <v>14</v>
      </c>
      <c r="S31" s="668">
        <f t="shared" si="12"/>
        <v>100</v>
      </c>
      <c r="T31" s="667" t="s">
        <v>14</v>
      </c>
      <c r="U31" s="668">
        <f t="shared" si="13"/>
        <v>100</v>
      </c>
      <c r="V31" s="667" t="s">
        <v>14</v>
      </c>
      <c r="W31" s="668">
        <f t="shared" si="14"/>
        <v>100</v>
      </c>
      <c r="X31" s="1261"/>
      <c r="Y31" s="3504"/>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04"/>
      <c r="Q32" s="1259" t="str">
        <f t="shared" si="11"/>
        <v>公共部分装修</v>
      </c>
      <c r="R32" s="667" t="s">
        <v>14</v>
      </c>
      <c r="S32" s="668">
        <f t="shared" si="12"/>
        <v>100</v>
      </c>
      <c r="T32" s="667" t="s">
        <v>14</v>
      </c>
      <c r="U32" s="668">
        <f t="shared" si="13"/>
        <v>100</v>
      </c>
      <c r="V32" s="667" t="s">
        <v>14</v>
      </c>
      <c r="W32" s="668">
        <f t="shared" si="14"/>
        <v>100</v>
      </c>
      <c r="X32" s="1261"/>
      <c r="Y32" s="3504"/>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04"/>
      <c r="Q33" s="1259" t="str">
        <f t="shared" si="11"/>
        <v>成新度</v>
      </c>
      <c r="R33" s="667" t="s">
        <v>14</v>
      </c>
      <c r="S33" s="668" t="e">
        <f t="shared" si="12"/>
        <v>#N/A</v>
      </c>
      <c r="T33" s="667" t="s">
        <v>14</v>
      </c>
      <c r="U33" s="668" t="e">
        <f t="shared" si="13"/>
        <v>#N/A</v>
      </c>
      <c r="V33" s="667" t="s">
        <v>14</v>
      </c>
      <c r="W33" s="668" t="e">
        <f t="shared" si="14"/>
        <v>#N/A</v>
      </c>
      <c r="X33" s="1261"/>
      <c r="Y33" s="3504"/>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04"/>
      <c r="Q34" s="530" t="str">
        <f t="shared" si="11"/>
        <v>物业管理</v>
      </c>
      <c r="R34" s="664" t="s">
        <v>14</v>
      </c>
      <c r="S34" s="665">
        <f t="shared" si="12"/>
        <v>100</v>
      </c>
      <c r="T34" s="664" t="s">
        <v>14</v>
      </c>
      <c r="U34" s="665">
        <f t="shared" si="13"/>
        <v>100</v>
      </c>
      <c r="V34" s="664" t="s">
        <v>14</v>
      </c>
      <c r="W34" s="665">
        <f t="shared" si="14"/>
        <v>100</v>
      </c>
      <c r="X34" s="666"/>
      <c r="Y34" s="35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04" t="s">
        <v>1696</v>
      </c>
      <c r="Q35" s="1259" t="str">
        <f t="shared" si="11"/>
        <v>市政基础设施</v>
      </c>
      <c r="R35" s="667" t="s">
        <v>14</v>
      </c>
      <c r="S35" s="668">
        <f t="shared" si="12"/>
        <v>100</v>
      </c>
      <c r="T35" s="667" t="s">
        <v>14</v>
      </c>
      <c r="U35" s="668">
        <f t="shared" si="13"/>
        <v>100</v>
      </c>
      <c r="V35" s="667" t="s">
        <v>14</v>
      </c>
      <c r="W35" s="668">
        <f t="shared" si="14"/>
        <v>100</v>
      </c>
      <c r="X35" s="1261"/>
      <c r="Y35" s="3504"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04"/>
      <c r="Q36" s="1259" t="str">
        <f t="shared" si="11"/>
        <v>内部装修</v>
      </c>
      <c r="R36" s="667" t="s">
        <v>14</v>
      </c>
      <c r="S36" s="668">
        <f t="shared" si="12"/>
        <v>100</v>
      </c>
      <c r="T36" s="667" t="s">
        <v>14</v>
      </c>
      <c r="U36" s="668">
        <f t="shared" si="13"/>
        <v>100</v>
      </c>
      <c r="V36" s="667" t="s">
        <v>14</v>
      </c>
      <c r="W36" s="668">
        <f t="shared" si="14"/>
        <v>100</v>
      </c>
      <c r="X36" s="1261"/>
      <c r="Y36" s="3504"/>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04"/>
      <c r="Q37" s="1259" t="str">
        <f t="shared" si="11"/>
        <v>内部装修状况</v>
      </c>
      <c r="R37" s="667" t="s">
        <v>14</v>
      </c>
      <c r="S37" s="668">
        <f t="shared" si="12"/>
        <v>100</v>
      </c>
      <c r="T37" s="667" t="s">
        <v>14</v>
      </c>
      <c r="U37" s="668">
        <f t="shared" si="13"/>
        <v>100</v>
      </c>
      <c r="V37" s="667" t="s">
        <v>14</v>
      </c>
      <c r="W37" s="668">
        <f t="shared" si="14"/>
        <v>100</v>
      </c>
      <c r="X37" s="1261"/>
      <c r="Y37" s="3504"/>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04"/>
      <c r="Q38" s="531">
        <f t="shared" si="11"/>
        <v>111</v>
      </c>
      <c r="R38" s="669" t="s">
        <v>14</v>
      </c>
      <c r="S38" s="670">
        <f t="shared" si="12"/>
        <v>100</v>
      </c>
      <c r="T38" s="669" t="s">
        <v>14</v>
      </c>
      <c r="U38" s="670">
        <f t="shared" si="13"/>
        <v>100</v>
      </c>
      <c r="V38" s="669" t="s">
        <v>14</v>
      </c>
      <c r="W38" s="670">
        <f t="shared" si="14"/>
        <v>100</v>
      </c>
      <c r="X38" s="671"/>
      <c r="Y38" s="3504"/>
      <c r="Z38" s="672">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04"/>
      <c r="Q39" s="1259">
        <f t="shared" si="11"/>
        <v>111</v>
      </c>
      <c r="R39" s="667" t="s">
        <v>14</v>
      </c>
      <c r="S39" s="668">
        <f t="shared" si="12"/>
        <v>100</v>
      </c>
      <c r="T39" s="667" t="s">
        <v>14</v>
      </c>
      <c r="U39" s="668">
        <f t="shared" si="13"/>
        <v>100</v>
      </c>
      <c r="V39" s="667" t="s">
        <v>14</v>
      </c>
      <c r="W39" s="668">
        <f t="shared" si="14"/>
        <v>100</v>
      </c>
      <c r="X39" s="1261"/>
      <c r="Y39" s="3504"/>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05"/>
      <c r="Q40" s="1259">
        <f t="shared" si="11"/>
        <v>111</v>
      </c>
      <c r="R40" s="667" t="s">
        <v>14</v>
      </c>
      <c r="S40" s="668">
        <f t="shared" si="12"/>
        <v>100</v>
      </c>
      <c r="T40" s="667" t="s">
        <v>14</v>
      </c>
      <c r="U40" s="668">
        <f t="shared" si="13"/>
        <v>100</v>
      </c>
      <c r="V40" s="667" t="s">
        <v>14</v>
      </c>
      <c r="W40" s="668">
        <f t="shared" si="14"/>
        <v>100</v>
      </c>
      <c r="X40" s="1261"/>
      <c r="Y40" s="3505"/>
      <c r="Z40" s="1260">
        <f t="shared" si="15"/>
        <v>111</v>
      </c>
      <c r="AA40" s="1260">
        <f t="shared" si="3"/>
        <v>1</v>
      </c>
      <c r="AB40" s="1260">
        <f t="shared" si="4"/>
        <v>1</v>
      </c>
      <c r="AC40" s="1260">
        <f t="shared" si="5"/>
        <v>1</v>
      </c>
    </row>
    <row r="41" spans="1:29" ht="14.4">
      <c r="A41" s="416" t="s">
        <v>1708</v>
      </c>
      <c r="B41" s="417"/>
      <c r="C41" s="1077" t="s">
        <v>0</v>
      </c>
      <c r="D41" s="418"/>
      <c r="E41" s="419"/>
      <c r="F41" s="420"/>
      <c r="G41" s="421"/>
      <c r="H41" s="422"/>
      <c r="I41" s="419"/>
      <c r="J41" s="422"/>
      <c r="K41" s="674"/>
      <c r="L41" s="870"/>
      <c r="M41" s="858"/>
      <c r="N41" s="858"/>
      <c r="O41" s="858"/>
      <c r="P41" s="3492" t="str">
        <f>A41</f>
        <v>成交单价（元/平方米）</v>
      </c>
      <c r="Q41" s="3492"/>
      <c r="R41" s="3493">
        <f>E41</f>
        <v>0</v>
      </c>
      <c r="S41" s="3493"/>
      <c r="T41" s="3493">
        <f>G41</f>
        <v>0</v>
      </c>
      <c r="U41" s="3493"/>
      <c r="V41" s="3493">
        <f>I41</f>
        <v>0</v>
      </c>
      <c r="W41" s="3493"/>
      <c r="X41" s="385"/>
      <c r="Y41" s="673"/>
      <c r="Z41" s="385"/>
      <c r="AA41" s="385"/>
      <c r="AB41" s="385"/>
      <c r="AC41" s="385"/>
    </row>
    <row r="42" spans="1:29" ht="15" thickBot="1">
      <c r="A42" s="423" t="s">
        <v>1793</v>
      </c>
      <c r="B42" s="424"/>
      <c r="C42" s="1078" t="e">
        <f>R43</f>
        <v>#DIV/0!</v>
      </c>
      <c r="D42" s="2137" t="s">
        <v>2138</v>
      </c>
      <c r="E42" s="1079" t="e">
        <f>R42</f>
        <v>#DIV/0!</v>
      </c>
      <c r="F42" s="2138"/>
      <c r="G42" s="1078" t="e">
        <f>T42</f>
        <v>#DIV/0!</v>
      </c>
      <c r="H42" s="2138"/>
      <c r="I42" s="1079" t="e">
        <f>V42</f>
        <v>#DIV/0!</v>
      </c>
      <c r="J42" s="2138"/>
      <c r="K42" s="2140">
        <f>F42+H42+J42</f>
        <v>0</v>
      </c>
      <c r="L42" s="870"/>
      <c r="M42" s="858"/>
      <c r="N42" s="858"/>
      <c r="O42" s="8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0"/>
      <c r="M43" s="858"/>
      <c r="N43" s="858"/>
      <c r="O43" s="858"/>
      <c r="P43" s="3567" t="str">
        <f>A43</f>
        <v>估价对象XX用房的比较价值（楼面单价，元/平方米）</v>
      </c>
      <c r="Q43" s="3568"/>
      <c r="R43" s="3569" t="e">
        <f>IF(F1="售价",ROUND(IF(D42="简单平均",AVERAGE(R42:V42),R42*F42+T42*H42+V42*J42),0),ROUND(IF(D42="简单平均",AVERAGE(R42:V42),R42*F42+T42*H42+V42*J42),1))</f>
        <v>#DIV/0!</v>
      </c>
      <c r="S43" s="3569"/>
      <c r="T43" s="3569"/>
      <c r="U43" s="3569"/>
      <c r="V43" s="3569"/>
      <c r="W43" s="3569"/>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2.2" thickBot="1">
      <c r="A51" s="658" t="s">
        <v>1798</v>
      </c>
      <c r="B51" s="385"/>
      <c r="C51" s="659"/>
      <c r="D51" s="659"/>
      <c r="E51" s="659"/>
      <c r="F51" s="660"/>
      <c r="G51" s="660"/>
      <c r="H51" s="659"/>
      <c r="I51" s="659"/>
      <c r="J51" s="659"/>
      <c r="K51" s="884"/>
      <c r="L51" s="885"/>
      <c r="M51" s="883"/>
      <c r="N51" s="883"/>
      <c r="O51" s="883"/>
      <c r="P51" s="438"/>
      <c r="Q51" s="439"/>
    </row>
    <row r="52" spans="1:17" s="442" customFormat="1" ht="14.4">
      <c r="A52" s="440" t="s">
        <v>1679</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0"/>
      <c r="O54" s="2531"/>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3">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3331</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2"/>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0"/>
      <c r="M9" s="2433"/>
      <c r="N9" s="2433"/>
      <c r="O9" s="2433"/>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8.8">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1"/>
      <c r="M10" s="2482"/>
      <c r="N10" s="2482"/>
      <c r="O10" s="2482"/>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3"/>
      <c r="N12" s="2433"/>
      <c r="O12" s="2433"/>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65.6">
      <c r="A14" s="345" t="s">
        <v>1690</v>
      </c>
      <c r="B14" s="554"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500"/>
      <c r="Q15" s="1259"/>
      <c r="R15" s="667"/>
      <c r="S15" s="668"/>
      <c r="T15" s="667"/>
      <c r="U15" s="668"/>
      <c r="V15" s="667"/>
      <c r="W15" s="668"/>
      <c r="X15" s="1261"/>
      <c r="Y15" s="3500"/>
      <c r="Z15" s="1260"/>
      <c r="AA15" s="1260">
        <v>1</v>
      </c>
      <c r="AB15" s="1260">
        <v>1</v>
      </c>
      <c r="AC15" s="1260">
        <v>1</v>
      </c>
    </row>
    <row r="16" spans="1:29" ht="289.8">
      <c r="A16" s="348"/>
      <c r="B16" s="556"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500"/>
      <c r="Q17" s="1259"/>
      <c r="R17" s="667"/>
      <c r="S17" s="668"/>
      <c r="T17" s="667"/>
      <c r="U17" s="668"/>
      <c r="V17" s="667"/>
      <c r="W17" s="668"/>
      <c r="X17" s="1261"/>
      <c r="Y17" s="3500"/>
      <c r="Z17" s="1260"/>
      <c r="AA17" s="1260">
        <v>1</v>
      </c>
      <c r="AB17" s="1260">
        <v>1</v>
      </c>
      <c r="AC17" s="1260">
        <v>1</v>
      </c>
    </row>
    <row r="18" spans="1:29" ht="41.4">
      <c r="A18" s="348"/>
      <c r="B18" s="557" t="s">
        <v>1813</v>
      </c>
      <c r="C18" s="1750"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1"/>
      <c r="L19" s="2484"/>
      <c r="M19" s="2479"/>
      <c r="N19" s="2479"/>
      <c r="O19" s="2479"/>
      <c r="P19" s="3500"/>
      <c r="Q19" s="1259"/>
      <c r="R19" s="667"/>
      <c r="S19" s="668"/>
      <c r="T19" s="667"/>
      <c r="U19" s="668"/>
      <c r="V19" s="667"/>
      <c r="W19" s="668"/>
      <c r="X19" s="1261"/>
      <c r="Y19" s="3500"/>
      <c r="Z19" s="1260"/>
      <c r="AA19" s="1260">
        <v>1</v>
      </c>
      <c r="AB19" s="1260">
        <v>1</v>
      </c>
      <c r="AC19" s="1260">
        <v>1</v>
      </c>
    </row>
    <row r="20" spans="1:29" ht="234.6">
      <c r="A20" s="348"/>
      <c r="B20" s="556"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500"/>
      <c r="Q21" s="1259"/>
      <c r="R21" s="667"/>
      <c r="S21" s="668"/>
      <c r="T21" s="667"/>
      <c r="U21" s="668"/>
      <c r="V21" s="667"/>
      <c r="W21" s="668"/>
      <c r="X21" s="1261"/>
      <c r="Y21" s="3500"/>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500"/>
      <c r="Q24" s="1259">
        <f t="shared" ref="Q24:Q36"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3"/>
      <c r="N25" s="2433"/>
      <c r="O25" s="2433"/>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30">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581"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504"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504"/>
      <c r="Q27" s="531" t="str">
        <f t="shared" si="11"/>
        <v>项目停车位配比</v>
      </c>
      <c r="R27" s="669" t="s">
        <v>14</v>
      </c>
      <c r="S27" s="670">
        <f t="shared" si="12"/>
        <v>100</v>
      </c>
      <c r="T27" s="669" t="s">
        <v>14</v>
      </c>
      <c r="U27" s="670">
        <f t="shared" si="13"/>
        <v>100</v>
      </c>
      <c r="V27" s="669" t="s">
        <v>14</v>
      </c>
      <c r="W27" s="670">
        <f t="shared" si="14"/>
        <v>100</v>
      </c>
      <c r="X27" s="671"/>
      <c r="Y27" s="3504"/>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504"/>
      <c r="Q28" s="1259" t="str">
        <f t="shared" si="11"/>
        <v>公共部分装修</v>
      </c>
      <c r="R28" s="667" t="s">
        <v>14</v>
      </c>
      <c r="S28" s="668">
        <f t="shared" si="12"/>
        <v>100</v>
      </c>
      <c r="T28" s="667" t="s">
        <v>14</v>
      </c>
      <c r="U28" s="668">
        <f t="shared" si="13"/>
        <v>100</v>
      </c>
      <c r="V28" s="667" t="s">
        <v>14</v>
      </c>
      <c r="W28" s="668">
        <f t="shared" si="14"/>
        <v>100</v>
      </c>
      <c r="X28" s="1261"/>
      <c r="Y28" s="3504"/>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504"/>
      <c r="Q29" s="1259" t="str">
        <f t="shared" si="11"/>
        <v>成新率</v>
      </c>
      <c r="R29" s="667" t="s">
        <v>14</v>
      </c>
      <c r="S29" s="668" t="e">
        <f t="shared" si="12"/>
        <v>#N/A</v>
      </c>
      <c r="T29" s="667" t="s">
        <v>14</v>
      </c>
      <c r="U29" s="668" t="e">
        <f t="shared" si="13"/>
        <v>#N/A</v>
      </c>
      <c r="V29" s="667" t="s">
        <v>14</v>
      </c>
      <c r="W29" s="668" t="e">
        <f t="shared" si="14"/>
        <v>#N/A</v>
      </c>
      <c r="X29" s="1261"/>
      <c r="Y29" s="3504"/>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504"/>
      <c r="Q30" s="1259" t="str">
        <f t="shared" si="11"/>
        <v>物业等级</v>
      </c>
      <c r="R30" s="667" t="s">
        <v>14</v>
      </c>
      <c r="S30" s="668">
        <f t="shared" si="12"/>
        <v>100</v>
      </c>
      <c r="T30" s="667" t="s">
        <v>14</v>
      </c>
      <c r="U30" s="668">
        <f t="shared" si="13"/>
        <v>100</v>
      </c>
      <c r="V30" s="667" t="s">
        <v>14</v>
      </c>
      <c r="W30" s="668">
        <f t="shared" si="14"/>
        <v>100</v>
      </c>
      <c r="X30" s="1261"/>
      <c r="Y30" s="3504"/>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3"/>
      <c r="N31" s="2433"/>
      <c r="O31" s="2433"/>
      <c r="P31" s="3504"/>
      <c r="Q31" s="530" t="str">
        <f t="shared" si="11"/>
        <v>停车位面积</v>
      </c>
      <c r="R31" s="664" t="s">
        <v>14</v>
      </c>
      <c r="S31" s="665" t="e">
        <f t="shared" si="12"/>
        <v>#N/A</v>
      </c>
      <c r="T31" s="664" t="s">
        <v>14</v>
      </c>
      <c r="U31" s="665" t="e">
        <f t="shared" si="13"/>
        <v>#N/A</v>
      </c>
      <c r="V31" s="664" t="s">
        <v>14</v>
      </c>
      <c r="W31" s="665" t="e">
        <f t="shared" si="14"/>
        <v>#N/A</v>
      </c>
      <c r="X31" s="666"/>
      <c r="Y31" s="35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504" t="s">
        <v>1696</v>
      </c>
      <c r="Q32" s="1259" t="str">
        <f t="shared" si="11"/>
        <v>车位类型</v>
      </c>
      <c r="R32" s="667" t="s">
        <v>14</v>
      </c>
      <c r="S32" s="668">
        <f t="shared" si="12"/>
        <v>100</v>
      </c>
      <c r="T32" s="667" t="s">
        <v>14</v>
      </c>
      <c r="U32" s="668">
        <f t="shared" si="13"/>
        <v>100</v>
      </c>
      <c r="V32" s="667" t="s">
        <v>14</v>
      </c>
      <c r="W32" s="668">
        <f t="shared" si="14"/>
        <v>100</v>
      </c>
      <c r="X32" s="1261"/>
      <c r="Y32" s="3504"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504"/>
      <c r="Q33" s="1259" t="str">
        <f t="shared" si="11"/>
        <v>是否直接入户</v>
      </c>
      <c r="R33" s="667" t="s">
        <v>14</v>
      </c>
      <c r="S33" s="668">
        <f t="shared" si="12"/>
        <v>100</v>
      </c>
      <c r="T33" s="667" t="s">
        <v>14</v>
      </c>
      <c r="U33" s="668">
        <f t="shared" si="13"/>
        <v>100</v>
      </c>
      <c r="V33" s="667" t="s">
        <v>14</v>
      </c>
      <c r="W33" s="668">
        <f t="shared" si="14"/>
        <v>100</v>
      </c>
      <c r="X33" s="1261"/>
      <c r="Y33" s="3504"/>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504"/>
      <c r="Q35" s="531">
        <f t="shared" si="11"/>
        <v>111</v>
      </c>
      <c r="R35" s="669" t="s">
        <v>14</v>
      </c>
      <c r="S35" s="670">
        <f t="shared" si="12"/>
        <v>100</v>
      </c>
      <c r="T35" s="669" t="s">
        <v>14</v>
      </c>
      <c r="U35" s="670">
        <f t="shared" si="13"/>
        <v>100</v>
      </c>
      <c r="V35" s="669" t="s">
        <v>14</v>
      </c>
      <c r="W35" s="670">
        <f t="shared" si="14"/>
        <v>100</v>
      </c>
      <c r="X35" s="671"/>
      <c r="Y35" s="3504"/>
      <c r="Z35" s="672">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504"/>
      <c r="Q36" s="1259">
        <f t="shared" si="11"/>
        <v>111</v>
      </c>
      <c r="R36" s="667" t="s">
        <v>14</v>
      </c>
      <c r="S36" s="668">
        <f t="shared" si="12"/>
        <v>100</v>
      </c>
      <c r="T36" s="667" t="s">
        <v>14</v>
      </c>
      <c r="U36" s="668">
        <f t="shared" si="13"/>
        <v>100</v>
      </c>
      <c r="V36" s="667" t="s">
        <v>14</v>
      </c>
      <c r="W36" s="668">
        <f t="shared" si="14"/>
        <v>100</v>
      </c>
      <c r="X36" s="1261"/>
      <c r="Y36" s="3504"/>
      <c r="Z36" s="1260">
        <f t="shared" si="15"/>
        <v>111</v>
      </c>
      <c r="AA36" s="1260">
        <f t="shared" si="3"/>
        <v>1</v>
      </c>
      <c r="AB36" s="1260">
        <f t="shared" si="4"/>
        <v>1</v>
      </c>
      <c r="AC36" s="1260">
        <f t="shared" si="5"/>
        <v>1</v>
      </c>
    </row>
    <row r="37" spans="1:29" ht="14.4">
      <c r="A37" s="416" t="s">
        <v>1844</v>
      </c>
      <c r="B37" s="1817" t="s">
        <v>3352</v>
      </c>
      <c r="C37" s="1077" t="s">
        <v>0</v>
      </c>
      <c r="D37" s="418"/>
      <c r="E37" s="419"/>
      <c r="F37" s="420"/>
      <c r="G37" s="421"/>
      <c r="H37" s="422"/>
      <c r="I37" s="419"/>
      <c r="J37" s="422"/>
      <c r="K37" s="545"/>
      <c r="L37" s="2486"/>
      <c r="M37" s="2479"/>
      <c r="N37" s="2479"/>
      <c r="O37" s="2479"/>
      <c r="P37" s="3492" t="str">
        <f>A37</f>
        <v>成交单价</v>
      </c>
      <c r="Q37" s="3492"/>
      <c r="R37" s="3493">
        <f>E37</f>
        <v>0</v>
      </c>
      <c r="S37" s="3493"/>
      <c r="T37" s="3493">
        <f>G37</f>
        <v>0</v>
      </c>
      <c r="U37" s="3493"/>
      <c r="V37" s="3493">
        <f>I37</f>
        <v>0</v>
      </c>
      <c r="W37" s="3493"/>
      <c r="X37" s="385"/>
      <c r="Y37" s="673"/>
      <c r="Z37" s="385"/>
      <c r="AA37" s="385"/>
      <c r="AB37" s="385"/>
      <c r="AC37" s="385"/>
    </row>
    <row r="38" spans="1:29" ht="15" thickBot="1">
      <c r="A38" s="423" t="s">
        <v>1845</v>
      </c>
      <c r="B38" s="424" t="str">
        <f>B37</f>
        <v>元/平方米</v>
      </c>
      <c r="C38" s="1078" t="e">
        <f>R39</f>
        <v>#DIV/0!</v>
      </c>
      <c r="D38" s="2137" t="s">
        <v>2138</v>
      </c>
      <c r="E38" s="1079" t="e">
        <f>R38</f>
        <v>#DIV/0!</v>
      </c>
      <c r="F38" s="2138"/>
      <c r="G38" s="1078" t="e">
        <f>T38</f>
        <v>#DIV/0!</v>
      </c>
      <c r="H38" s="2138"/>
      <c r="I38" s="1079" t="e">
        <f>V38</f>
        <v>#DIV/0!</v>
      </c>
      <c r="J38" s="2138"/>
      <c r="K38" s="2140">
        <f>F38+H38+J38</f>
        <v>0</v>
      </c>
      <c r="L38" s="2486"/>
      <c r="M38" s="2479"/>
      <c r="N38" s="2479"/>
      <c r="O38" s="2479"/>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6"/>
      <c r="M39" s="2479"/>
      <c r="N39" s="2479"/>
      <c r="O39" s="2479"/>
      <c r="P39" s="3567" t="str">
        <f>A39</f>
        <v>估价对象XX用房的比较价值（楼面单价，元/平方米）</v>
      </c>
      <c r="Q39" s="3568"/>
      <c r="R39" s="3582" t="e">
        <f>IF(F1="售价",ROUND(IF(D38="简单平均",AVERAGE(R38:W38),R38*F38+T38*H38+V38*J38),0),ROUND(IF(D38="简单平均",AVERAGE(R38:V38),R38*F38+T38*H38+V38*J38),1))</f>
        <v>#DIV/0!</v>
      </c>
      <c r="S39" s="3582"/>
      <c r="T39" s="3582"/>
      <c r="U39" s="3582"/>
      <c r="V39" s="3582"/>
      <c r="W39" s="3582"/>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2.2" thickBot="1">
      <c r="A47" s="1083" t="s">
        <v>1850</v>
      </c>
      <c r="B47" s="858"/>
      <c r="C47" s="883"/>
      <c r="D47" s="883"/>
      <c r="E47" s="883"/>
      <c r="F47" s="1084"/>
      <c r="G47" s="1084"/>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4.4">
      <c r="A48" s="440" t="s">
        <v>1851</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19"/>
      <c r="Q48" s="2502"/>
      <c r="R48" s="2502"/>
      <c r="S48" s="2502"/>
      <c r="T48" s="2502"/>
      <c r="U48" s="2502"/>
      <c r="V48" s="2502"/>
      <c r="W48" s="2502"/>
      <c r="X48" s="2502"/>
      <c r="Y48" s="2502"/>
      <c r="Z48" s="2502"/>
      <c r="AA48" s="2502"/>
      <c r="AB48" s="2502"/>
      <c r="AC48" s="2502"/>
    </row>
    <row r="49" spans="1:29" s="102" customFormat="1">
      <c r="A49" s="443"/>
      <c r="B49" s="444"/>
      <c r="C49" s="1093">
        <v>100</v>
      </c>
      <c r="D49" s="446"/>
      <c r="E49" s="446"/>
      <c r="F49" s="446"/>
      <c r="G49" s="446"/>
      <c r="H49" s="446"/>
      <c r="I49" s="446"/>
      <c r="J49" s="446"/>
      <c r="K49" s="446"/>
      <c r="L49" s="446"/>
      <c r="M49" s="447"/>
      <c r="N49" s="446"/>
      <c r="O49" s="447"/>
      <c r="P49" s="2520"/>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0"/>
      <c r="Q50" s="2500"/>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2"/>
      <c r="O51" s="2512"/>
      <c r="P51" s="2521"/>
      <c r="Q51" s="2500"/>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2"/>
      <c r="O52" s="2512"/>
      <c r="P52" s="2520"/>
      <c r="Q52" s="2500"/>
      <c r="R52" s="2433"/>
      <c r="S52" s="2433"/>
      <c r="T52" s="2433"/>
      <c r="U52" s="2433"/>
      <c r="V52" s="2433"/>
      <c r="W52" s="2433"/>
      <c r="X52" s="2433"/>
      <c r="Y52" s="2433"/>
      <c r="Z52" s="2433"/>
      <c r="AA52" s="2433"/>
      <c r="AB52" s="2433"/>
      <c r="AC52" s="2433"/>
    </row>
    <row r="53" spans="1:29" ht="14.4">
      <c r="A53" s="379" t="s">
        <v>1719</v>
      </c>
      <c r="B53" s="460" t="s">
        <v>1685</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4.4"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9.4" thickTop="1">
      <c r="A55" s="367"/>
      <c r="B55" s="469" t="s">
        <v>1688</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4.4"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4.4"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4.4"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4.4"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4.4"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4.4"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4.4"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 thickTop="1">
      <c r="A65" s="367"/>
      <c r="B65" s="469" t="s">
        <v>1727</v>
      </c>
      <c r="C65" s="509" t="s">
        <v>1721</v>
      </c>
      <c r="D65" s="509" t="s">
        <v>1722</v>
      </c>
      <c r="E65" s="509" t="s">
        <v>1723</v>
      </c>
      <c r="F65" s="509" t="s">
        <v>1724</v>
      </c>
      <c r="G65" s="509" t="s">
        <v>1725</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 thickTop="1">
      <c r="A67" s="367"/>
      <c r="B67" s="477" t="s">
        <v>1813</v>
      </c>
      <c r="C67" s="581" t="s">
        <v>1799</v>
      </c>
      <c r="D67" s="581" t="s">
        <v>1800</v>
      </c>
      <c r="E67" s="581" t="s">
        <v>1801</v>
      </c>
      <c r="F67" s="581" t="s">
        <v>1802</v>
      </c>
      <c r="G67" s="581" t="s">
        <v>1803</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 thickTop="1">
      <c r="A69" s="367"/>
      <c r="B69" s="469" t="s">
        <v>1733</v>
      </c>
      <c r="C69" s="509" t="s">
        <v>1721</v>
      </c>
      <c r="D69" s="509" t="s">
        <v>1722</v>
      </c>
      <c r="E69" s="509" t="s">
        <v>1723</v>
      </c>
      <c r="F69" s="509" t="s">
        <v>1724</v>
      </c>
      <c r="G69" s="509" t="s">
        <v>1725</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 thickTop="1">
      <c r="A71" s="367"/>
      <c r="B71" s="469" t="s">
        <v>1852</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4.4" thickTop="1">
      <c r="A73" s="370"/>
      <c r="B73" s="469">
        <f>B23</f>
        <v>111</v>
      </c>
      <c r="C73" s="480"/>
      <c r="D73" s="480"/>
      <c r="E73" s="480"/>
      <c r="F73" s="480"/>
      <c r="G73" s="485"/>
      <c r="H73" s="485"/>
      <c r="I73" s="485"/>
      <c r="J73" s="485"/>
      <c r="K73" s="485"/>
      <c r="L73" s="510"/>
      <c r="M73" s="511"/>
      <c r="N73" s="2512"/>
      <c r="O73" s="2512"/>
      <c r="P73" s="2522"/>
      <c r="Q73" s="2500"/>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4"/>
      <c r="O74" s="2514"/>
      <c r="P74" s="2522"/>
      <c r="Q74" s="2500"/>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2"/>
      <c r="O75" s="2512"/>
      <c r="P75" s="2522"/>
      <c r="Q75" s="2500"/>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4"/>
      <c r="O76" s="2514"/>
      <c r="P76" s="2522"/>
      <c r="Q76" s="2500"/>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4.4"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9.4" thickTop="1">
      <c r="A79" s="379" t="s">
        <v>1694</v>
      </c>
      <c r="B79" s="460" t="s">
        <v>1853</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4"/>
      <c r="O80" s="2514"/>
      <c r="P80" s="2522"/>
      <c r="Q80" s="2500"/>
      <c r="R80" s="2479"/>
      <c r="S80" s="2479"/>
      <c r="T80" s="2479"/>
      <c r="U80" s="2479"/>
      <c r="V80" s="2479"/>
      <c r="W80" s="2479"/>
      <c r="X80" s="2479"/>
      <c r="Y80" s="2479"/>
      <c r="Z80" s="2479"/>
      <c r="AA80" s="2479"/>
      <c r="AB80" s="2479"/>
      <c r="AC80" s="2479"/>
    </row>
    <row r="81" spans="1:29" ht="15" thickTop="1">
      <c r="A81" s="367"/>
      <c r="B81" s="469" t="s">
        <v>1854</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4.4"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1740</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1856</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1858</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1859</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4.4"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4.4"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4.4"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4.4"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4.4"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4.4"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3332</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SUMIF(46:46,YEAR(E7)&amp;"-"&amp;MONTH(E7),47:47)</f>
        <v>0</v>
      </c>
      <c r="G7" s="1818"/>
      <c r="H7" s="355">
        <f>SUMIF(46:46,YEAR(G7)&amp;"-"&amp;MONTH(G7),47:47)</f>
        <v>0</v>
      </c>
      <c r="I7" s="356"/>
      <c r="J7" s="355">
        <f>SUMIF(46:46,YEAR(I7)&amp;"-"&amp;MONTH(I7),47:47)</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0"/>
      <c r="M9" s="2433"/>
      <c r="N9" s="2433"/>
      <c r="O9" s="2532"/>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8.8">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1"/>
      <c r="M10" s="2482"/>
      <c r="N10" s="2482"/>
      <c r="O10" s="2533"/>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65.6">
      <c r="A14" s="379" t="s">
        <v>1690</v>
      </c>
      <c r="B14" s="58"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500"/>
      <c r="Q15" s="1259"/>
      <c r="R15" s="667"/>
      <c r="S15" s="668"/>
      <c r="T15" s="667"/>
      <c r="U15" s="668"/>
      <c r="V15" s="667"/>
      <c r="W15" s="668"/>
      <c r="X15" s="1261"/>
      <c r="Y15" s="3500"/>
      <c r="Z15" s="1260"/>
      <c r="AA15" s="1260">
        <v>1</v>
      </c>
      <c r="AB15" s="1260">
        <v>1</v>
      </c>
      <c r="AC15" s="1260">
        <v>1</v>
      </c>
    </row>
    <row r="16" spans="1:29" ht="289.8">
      <c r="A16" s="367"/>
      <c r="B16" s="390"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500"/>
      <c r="Q17" s="1259"/>
      <c r="R17" s="667"/>
      <c r="S17" s="668"/>
      <c r="T17" s="667"/>
      <c r="U17" s="668"/>
      <c r="V17" s="667"/>
      <c r="W17" s="668"/>
      <c r="X17" s="1261"/>
      <c r="Y17" s="3500"/>
      <c r="Z17" s="1260"/>
      <c r="AA17" s="1260">
        <v>1</v>
      </c>
      <c r="AB17" s="1260">
        <v>1</v>
      </c>
      <c r="AC17" s="1260">
        <v>1</v>
      </c>
    </row>
    <row r="18" spans="1:29" ht="41.4">
      <c r="A18" s="367"/>
      <c r="B18" s="586" t="s">
        <v>1813</v>
      </c>
      <c r="C18" s="1750"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1"/>
      <c r="L19" s="2484"/>
      <c r="M19" s="2479"/>
      <c r="N19" s="2479"/>
      <c r="O19" s="2534"/>
      <c r="P19" s="3500"/>
      <c r="Q19" s="1259"/>
      <c r="R19" s="667"/>
      <c r="S19" s="668"/>
      <c r="T19" s="667"/>
      <c r="U19" s="668"/>
      <c r="V19" s="667"/>
      <c r="W19" s="668"/>
      <c r="X19" s="1261"/>
      <c r="Y19" s="3500"/>
      <c r="Z19" s="1260"/>
      <c r="AA19" s="1260">
        <v>1</v>
      </c>
      <c r="AB19" s="1260">
        <v>1</v>
      </c>
      <c r="AC19" s="1260">
        <v>1</v>
      </c>
    </row>
    <row r="20" spans="1:29" ht="234.6">
      <c r="A20" s="367"/>
      <c r="B20" s="390"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500"/>
      <c r="Q21" s="1259"/>
      <c r="R21" s="667"/>
      <c r="S21" s="668"/>
      <c r="T21" s="667"/>
      <c r="U21" s="668"/>
      <c r="V21" s="667"/>
      <c r="W21" s="668"/>
      <c r="X21" s="1261"/>
      <c r="Y21" s="3500"/>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500"/>
      <c r="Q24" s="1259">
        <f t="shared" ref="Q24:Q34"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3"/>
      <c r="N25" s="2433"/>
      <c r="O25" s="2532"/>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30">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581"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504"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504"/>
      <c r="Q27" s="531" t="str">
        <f t="shared" si="11"/>
        <v>成新率</v>
      </c>
      <c r="R27" s="669" t="s">
        <v>14</v>
      </c>
      <c r="S27" s="670" t="e">
        <f t="shared" si="12"/>
        <v>#N/A</v>
      </c>
      <c r="T27" s="669" t="s">
        <v>14</v>
      </c>
      <c r="U27" s="670" t="e">
        <f t="shared" si="13"/>
        <v>#N/A</v>
      </c>
      <c r="V27" s="669" t="s">
        <v>14</v>
      </c>
      <c r="W27" s="670" t="e">
        <f t="shared" si="14"/>
        <v>#N/A</v>
      </c>
      <c r="X27" s="671"/>
      <c r="Y27" s="3504"/>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504"/>
      <c r="Q28" s="1259" t="str">
        <f t="shared" si="11"/>
        <v>物业等级</v>
      </c>
      <c r="R28" s="667" t="s">
        <v>14</v>
      </c>
      <c r="S28" s="668">
        <f t="shared" si="12"/>
        <v>100</v>
      </c>
      <c r="T28" s="667" t="s">
        <v>14</v>
      </c>
      <c r="U28" s="668">
        <f t="shared" si="13"/>
        <v>100</v>
      </c>
      <c r="V28" s="667" t="s">
        <v>14</v>
      </c>
      <c r="W28" s="668">
        <f t="shared" si="14"/>
        <v>100</v>
      </c>
      <c r="X28" s="1261"/>
      <c r="Y28" s="3504"/>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504"/>
      <c r="Q29" s="1259" t="str">
        <f t="shared" si="11"/>
        <v>有无电梯</v>
      </c>
      <c r="R29" s="667" t="s">
        <v>14</v>
      </c>
      <c r="S29" s="668">
        <f t="shared" si="12"/>
        <v>100</v>
      </c>
      <c r="T29" s="667" t="s">
        <v>14</v>
      </c>
      <c r="U29" s="668">
        <f t="shared" si="13"/>
        <v>100</v>
      </c>
      <c r="V29" s="667" t="s">
        <v>14</v>
      </c>
      <c r="W29" s="668">
        <f t="shared" si="14"/>
        <v>100</v>
      </c>
      <c r="X29" s="1261"/>
      <c r="Y29" s="3504"/>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504"/>
      <c r="Q30" s="1259" t="str">
        <f t="shared" si="11"/>
        <v>建筑面积</v>
      </c>
      <c r="R30" s="667" t="s">
        <v>14</v>
      </c>
      <c r="S30" s="668" t="e">
        <f t="shared" si="12"/>
        <v>#N/A</v>
      </c>
      <c r="T30" s="667" t="s">
        <v>14</v>
      </c>
      <c r="U30" s="668" t="e">
        <f t="shared" si="13"/>
        <v>#N/A</v>
      </c>
      <c r="V30" s="667" t="s">
        <v>14</v>
      </c>
      <c r="W30" s="668" t="e">
        <f t="shared" si="14"/>
        <v>#N/A</v>
      </c>
      <c r="X30" s="1261"/>
      <c r="Y30" s="3504"/>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3"/>
      <c r="N31" s="2433"/>
      <c r="O31" s="2532"/>
      <c r="P31" s="3504"/>
      <c r="Q31" s="530" t="str">
        <f t="shared" si="11"/>
        <v>是否封闭</v>
      </c>
      <c r="R31" s="664" t="s">
        <v>14</v>
      </c>
      <c r="S31" s="665">
        <f t="shared" si="12"/>
        <v>100</v>
      </c>
      <c r="T31" s="664" t="s">
        <v>14</v>
      </c>
      <c r="U31" s="665">
        <f t="shared" si="13"/>
        <v>100</v>
      </c>
      <c r="V31" s="664" t="s">
        <v>14</v>
      </c>
      <c r="W31" s="665">
        <f t="shared" si="14"/>
        <v>100</v>
      </c>
      <c r="X31" s="666"/>
      <c r="Y31" s="35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504" t="s">
        <v>1696</v>
      </c>
      <c r="Q32" s="1259">
        <f t="shared" si="11"/>
        <v>111</v>
      </c>
      <c r="R32" s="667" t="s">
        <v>14</v>
      </c>
      <c r="S32" s="668">
        <f t="shared" si="12"/>
        <v>100</v>
      </c>
      <c r="T32" s="667" t="s">
        <v>14</v>
      </c>
      <c r="U32" s="668">
        <f t="shared" si="13"/>
        <v>100</v>
      </c>
      <c r="V32" s="667" t="s">
        <v>14</v>
      </c>
      <c r="W32" s="668">
        <f t="shared" si="14"/>
        <v>100</v>
      </c>
      <c r="X32" s="1261"/>
      <c r="Y32" s="3504"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504"/>
      <c r="Q33" s="1259">
        <f t="shared" si="11"/>
        <v>111</v>
      </c>
      <c r="R33" s="667" t="s">
        <v>14</v>
      </c>
      <c r="S33" s="668">
        <f t="shared" si="12"/>
        <v>100</v>
      </c>
      <c r="T33" s="667" t="s">
        <v>14</v>
      </c>
      <c r="U33" s="668">
        <f t="shared" si="13"/>
        <v>100</v>
      </c>
      <c r="V33" s="667" t="s">
        <v>14</v>
      </c>
      <c r="W33" s="668">
        <f t="shared" si="14"/>
        <v>100</v>
      </c>
      <c r="X33" s="1261"/>
      <c r="Y33" s="3504"/>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30" ht="14.4">
      <c r="A35" s="416" t="s">
        <v>1708</v>
      </c>
      <c r="B35" s="417"/>
      <c r="C35" s="1077" t="s">
        <v>0</v>
      </c>
      <c r="D35" s="418"/>
      <c r="E35" s="419"/>
      <c r="F35" s="420"/>
      <c r="G35" s="421"/>
      <c r="H35" s="422"/>
      <c r="I35" s="419"/>
      <c r="J35" s="422"/>
      <c r="K35" s="674"/>
      <c r="L35" s="2486"/>
      <c r="M35" s="2479"/>
      <c r="N35" s="2479"/>
      <c r="O35" s="2479"/>
      <c r="P35" s="3492" t="str">
        <f>A35</f>
        <v>成交单价（元/平方米）</v>
      </c>
      <c r="Q35" s="3492"/>
      <c r="R35" s="3493">
        <f>E35</f>
        <v>0</v>
      </c>
      <c r="S35" s="3493"/>
      <c r="T35" s="3493">
        <f>G35</f>
        <v>0</v>
      </c>
      <c r="U35" s="3493"/>
      <c r="V35" s="3493">
        <f>I35</f>
        <v>0</v>
      </c>
      <c r="W35" s="3493"/>
      <c r="X35" s="385"/>
      <c r="Y35" s="673"/>
      <c r="Z35" s="385"/>
      <c r="AA35" s="385"/>
      <c r="AB35" s="385"/>
      <c r="AC35" s="385"/>
    </row>
    <row r="36" spans="1:30" ht="15" thickBot="1">
      <c r="A36" s="423" t="s">
        <v>1793</v>
      </c>
      <c r="B36" s="424"/>
      <c r="C36" s="1078" t="e">
        <f>R37</f>
        <v>#DIV/0!</v>
      </c>
      <c r="D36" s="2137" t="s">
        <v>2138</v>
      </c>
      <c r="E36" s="1079" t="e">
        <f>R36</f>
        <v>#DIV/0!</v>
      </c>
      <c r="F36" s="2138"/>
      <c r="G36" s="1078" t="e">
        <f>T36</f>
        <v>#DIV/0!</v>
      </c>
      <c r="H36" s="2138"/>
      <c r="I36" s="1079" t="e">
        <f>V36</f>
        <v>#DIV/0!</v>
      </c>
      <c r="J36" s="2138"/>
      <c r="K36" s="2140">
        <f>F36+H36+J36</f>
        <v>0</v>
      </c>
      <c r="L36" s="2486"/>
      <c r="M36" s="2479"/>
      <c r="N36" s="2479"/>
      <c r="O36" s="2479"/>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6"/>
      <c r="M37" s="2479"/>
      <c r="N37" s="2479"/>
      <c r="O37" s="2479"/>
      <c r="P37" s="3567" t="str">
        <f>A37</f>
        <v>估价对象XX用房的比较价值（楼面单价，元/平方米）</v>
      </c>
      <c r="Q37" s="3568"/>
      <c r="R37" s="3582" t="e">
        <f>IF(F1="售价",ROUND(IF(D36="简单平均",AVERAGE(R36:W36),R36*F36+T36*H36+V36*J36),0),ROUND(IF(D36="简单平均",AVERAGE(R36:V36),R36*F36+T36*H36+V36*J36),1))</f>
        <v>#DIV/0!</v>
      </c>
      <c r="S37" s="3582"/>
      <c r="T37" s="3582"/>
      <c r="U37" s="3582"/>
      <c r="V37" s="3582"/>
      <c r="W37" s="3582"/>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2.2" thickBot="1">
      <c r="A45" s="658" t="s">
        <v>1798</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4.4">
      <c r="A46" s="440" t="s">
        <v>1679</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2"/>
      <c r="Q46" s="2502"/>
      <c r="R46" s="2502"/>
      <c r="S46" s="2502"/>
      <c r="T46" s="2502"/>
      <c r="U46" s="2502"/>
      <c r="V46" s="2502"/>
      <c r="W46" s="2502"/>
      <c r="X46" s="2502"/>
      <c r="Y46" s="2502"/>
      <c r="Z46" s="2502"/>
      <c r="AA46" s="2502"/>
      <c r="AB46" s="2502"/>
      <c r="AC46" s="2502"/>
      <c r="AD46" s="2502"/>
    </row>
    <row r="47" spans="1:30" s="102" customFormat="1">
      <c r="A47" s="443"/>
      <c r="B47" s="444"/>
      <c r="C47" s="1098">
        <v>100</v>
      </c>
      <c r="D47" s="446"/>
      <c r="E47" s="446"/>
      <c r="F47" s="446"/>
      <c r="G47" s="446"/>
      <c r="H47" s="446"/>
      <c r="I47" s="446"/>
      <c r="J47" s="446"/>
      <c r="K47" s="446"/>
      <c r="L47" s="446"/>
      <c r="M47" s="447"/>
      <c r="N47" s="446"/>
      <c r="O47" s="448"/>
      <c r="P47" s="2500"/>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0"/>
      <c r="Q48" s="2500"/>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2"/>
      <c r="O49" s="2512"/>
      <c r="P49" s="2536"/>
      <c r="Q49" s="2500"/>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2"/>
      <c r="O50" s="2512"/>
      <c r="P50" s="2500"/>
      <c r="Q50" s="2500"/>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4.4"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9.4" thickTop="1">
      <c r="A53" s="367"/>
      <c r="B53" s="469" t="s">
        <v>1688</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4.4"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4.4"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4.4"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4.4"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4.4"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4.4"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4.4"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9.4" thickTop="1">
      <c r="A63" s="367"/>
      <c r="B63" s="469" t="s">
        <v>1863</v>
      </c>
      <c r="C63" s="509" t="s">
        <v>1721</v>
      </c>
      <c r="D63" s="509" t="s">
        <v>1722</v>
      </c>
      <c r="E63" s="509" t="s">
        <v>1723</v>
      </c>
      <c r="F63" s="509" t="s">
        <v>1724</v>
      </c>
      <c r="G63" s="509" t="s">
        <v>1725</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 thickTop="1">
      <c r="A65" s="367"/>
      <c r="B65" s="477" t="s">
        <v>1813</v>
      </c>
      <c r="C65" s="581" t="s">
        <v>1799</v>
      </c>
      <c r="D65" s="581" t="s">
        <v>1800</v>
      </c>
      <c r="E65" s="581" t="s">
        <v>1801</v>
      </c>
      <c r="F65" s="581" t="s">
        <v>1802</v>
      </c>
      <c r="G65" s="581" t="s">
        <v>1803</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 thickTop="1">
      <c r="A67" s="367"/>
      <c r="B67" s="469" t="s">
        <v>1733</v>
      </c>
      <c r="C67" s="509" t="s">
        <v>1721</v>
      </c>
      <c r="D67" s="509" t="s">
        <v>1722</v>
      </c>
      <c r="E67" s="509" t="s">
        <v>1723</v>
      </c>
      <c r="F67" s="509" t="s">
        <v>1724</v>
      </c>
      <c r="G67" s="509" t="s">
        <v>1725</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 thickTop="1">
      <c r="A69" s="367"/>
      <c r="B69" s="469" t="s">
        <v>1852</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4.4"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4.4" thickTop="1">
      <c r="A71" s="370"/>
      <c r="B71" s="469">
        <f>B23</f>
        <v>111</v>
      </c>
      <c r="C71" s="480"/>
      <c r="D71" s="480"/>
      <c r="E71" s="480"/>
      <c r="F71" s="480"/>
      <c r="G71" s="485"/>
      <c r="H71" s="485"/>
      <c r="I71" s="485"/>
      <c r="J71" s="485"/>
      <c r="K71" s="485"/>
      <c r="L71" s="510"/>
      <c r="M71" s="511"/>
      <c r="N71" s="2512"/>
      <c r="O71" s="2512"/>
      <c r="P71" s="2512"/>
      <c r="Q71" s="2500"/>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4"/>
      <c r="O72" s="2514"/>
      <c r="P72" s="2512"/>
      <c r="Q72" s="2500"/>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2"/>
      <c r="O73" s="2512"/>
      <c r="P73" s="2512"/>
      <c r="Q73" s="2500"/>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4"/>
      <c r="O74" s="2514"/>
      <c r="P74" s="2512"/>
      <c r="Q74" s="2500"/>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4.4"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1694</v>
      </c>
      <c r="B77" s="460" t="s">
        <v>1740</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4"/>
      <c r="O78" s="2514"/>
      <c r="P78" s="2512"/>
      <c r="Q78" s="2500"/>
      <c r="R78" s="2479"/>
      <c r="S78" s="2479"/>
      <c r="T78" s="2479"/>
      <c r="U78" s="2479"/>
      <c r="V78" s="2479"/>
      <c r="W78" s="2479"/>
      <c r="X78" s="2479"/>
      <c r="Y78" s="2479"/>
      <c r="Z78" s="2479"/>
      <c r="AA78" s="2479"/>
      <c r="AB78" s="2479"/>
      <c r="AC78" s="2479"/>
      <c r="AD78" s="2479"/>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1856</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1864</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4.4"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1866</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4.4"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4.4"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4.4"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4.4"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4.4"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4.4"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4.4"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4.4"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SUMIF(69:69,YEAR(E7)&amp;"-"&amp;INT((MONTH(E7)+2)/3),70:70)</f>
        <v>0</v>
      </c>
      <c r="G7" s="1818"/>
      <c r="H7" s="355">
        <f>SUMIF(69:69,YEAR(G7)&amp;"-"&amp;INT((MONTH(G7)+2)/3),70:70)</f>
        <v>0</v>
      </c>
      <c r="I7" s="1818"/>
      <c r="J7" s="355">
        <f>SUMIF(69:69,YEAR(I7)&amp;"-"&amp;INT((MONTH(I7)+2)/3),70:70)</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5" si="3">D8/F8</f>
        <v>#DIV/0!</v>
      </c>
      <c r="AB8" s="50" t="e">
        <f t="shared" ref="AB8:AB45" si="4">D8/H8</f>
        <v>#DIV/0!</v>
      </c>
      <c r="AC8" s="50" t="e">
        <f t="shared" ref="AC8:AC45" si="5">D8/J8</f>
        <v>#DIV/0!</v>
      </c>
    </row>
    <row r="9" spans="1:29" s="102" customFormat="1" ht="14.4">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0"/>
      <c r="M12" s="2433"/>
      <c r="N12" s="2433"/>
      <c r="O12" s="2532"/>
      <c r="P12" s="3492"/>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6.6">
      <c r="A15" s="379" t="s">
        <v>1690</v>
      </c>
      <c r="B15" s="58" t="s">
        <v>1257</v>
      </c>
      <c r="C15" s="1746"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499" t="s">
        <v>1691</v>
      </c>
      <c r="Q15" s="1259" t="str">
        <f t="shared" si="6"/>
        <v>居住社区成熟度</v>
      </c>
      <c r="R15" s="667" t="s">
        <v>14</v>
      </c>
      <c r="S15" s="668">
        <f t="shared" si="0"/>
        <v>100</v>
      </c>
      <c r="T15" s="667" t="s">
        <v>14</v>
      </c>
      <c r="U15" s="668">
        <f t="shared" si="1"/>
        <v>100</v>
      </c>
      <c r="V15" s="667" t="s">
        <v>14</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82.8">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4"/>
      <c r="M17" s="2479"/>
      <c r="N17" s="2479"/>
      <c r="O17" s="2534"/>
      <c r="P17" s="3500"/>
      <c r="Q17" s="1259" t="str">
        <f>B17</f>
        <v>商业繁华度</v>
      </c>
      <c r="R17" s="667" t="s">
        <v>14</v>
      </c>
      <c r="S17" s="668">
        <f>F17</f>
        <v>100</v>
      </c>
      <c r="T17" s="667" t="s">
        <v>14</v>
      </c>
      <c r="U17" s="668">
        <f>H17</f>
        <v>100</v>
      </c>
      <c r="V17" s="667" t="s">
        <v>14</v>
      </c>
      <c r="W17" s="668">
        <f>J17</f>
        <v>100</v>
      </c>
      <c r="X17" s="1261"/>
      <c r="Y17" s="3500"/>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110.4">
      <c r="A19" s="367"/>
      <c r="B19" s="390" t="s">
        <v>1811</v>
      </c>
      <c r="C19" s="1802" t="str">
        <f>估价对象房地状况!C17</f>
        <v>估价对象位于西二环内，周边有国投金融大厦、新时代大厦、富通大厦等办公项目，办公集聚程度较好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4"/>
      <c r="M19" s="2479"/>
      <c r="N19" s="2479"/>
      <c r="O19" s="2534"/>
      <c r="P19" s="3500"/>
      <c r="Q19" s="1259" t="str">
        <f>B19</f>
        <v>办公集聚程度</v>
      </c>
      <c r="R19" s="667" t="s">
        <v>14</v>
      </c>
      <c r="S19" s="668">
        <f>F19</f>
        <v>100</v>
      </c>
      <c r="T19" s="667" t="s">
        <v>14</v>
      </c>
      <c r="U19" s="668">
        <f>H19</f>
        <v>100</v>
      </c>
      <c r="V19" s="667" t="s">
        <v>14</v>
      </c>
      <c r="W19" s="668">
        <f>J19</f>
        <v>100</v>
      </c>
      <c r="X19" s="1261"/>
      <c r="Y19" s="3500"/>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4"/>
      <c r="M20" s="2479"/>
      <c r="N20" s="2479"/>
      <c r="O20" s="2534"/>
      <c r="P20" s="3500"/>
      <c r="Q20" s="1259"/>
      <c r="R20" s="667"/>
      <c r="S20" s="668"/>
      <c r="T20" s="667"/>
      <c r="U20" s="668"/>
      <c r="V20" s="667"/>
      <c r="W20" s="668"/>
      <c r="X20" s="1261"/>
      <c r="Y20" s="3500"/>
      <c r="Z20" s="1260"/>
      <c r="AA20" s="1260">
        <v>1</v>
      </c>
      <c r="AB20" s="1260">
        <v>1</v>
      </c>
      <c r="AC20" s="1260">
        <v>1</v>
      </c>
    </row>
    <row r="21" spans="1:29" ht="165.6">
      <c r="A21" s="367"/>
      <c r="B21" s="390" t="s">
        <v>1833</v>
      </c>
      <c r="C21" s="1750" t="str">
        <f>估价对象房地状况!C18</f>
        <v>估价对象紧邻城市快速路——西二环，周边有4、107、118、21、80等多条公交线路，距地铁2号线、6号线车公庄站约197米，项目内有停车位，交通便捷度较好</v>
      </c>
      <c r="D21" s="389">
        <v>100</v>
      </c>
      <c r="E21" s="391"/>
      <c r="F21" s="394">
        <f>SUMIF(93:93,E22,94:94)-SUMIF(93:93,C22,94:94)+100</f>
        <v>100</v>
      </c>
      <c r="G21" s="391"/>
      <c r="H21" s="389">
        <f>SUMIF(93:93,G22,94:94)-SUMIF(93:93,C22,94:94)+100</f>
        <v>100</v>
      </c>
      <c r="I21" s="393"/>
      <c r="J21" s="389">
        <f>SUMIF(93:93,I22,94:94)-SUMIF(93:93,C22,94:94)+100</f>
        <v>100</v>
      </c>
      <c r="K21" s="593"/>
      <c r="L21" s="2484"/>
      <c r="M21" s="2479"/>
      <c r="N21" s="2479"/>
      <c r="O21" s="2534"/>
      <c r="P21" s="3500"/>
      <c r="Q21" s="1259" t="str">
        <f>B21</f>
        <v>交通便捷度</v>
      </c>
      <c r="R21" s="667" t="s">
        <v>14</v>
      </c>
      <c r="S21" s="668">
        <f>F21</f>
        <v>100</v>
      </c>
      <c r="T21" s="667" t="s">
        <v>14</v>
      </c>
      <c r="U21" s="668">
        <f>H21</f>
        <v>100</v>
      </c>
      <c r="V21" s="667" t="s">
        <v>14</v>
      </c>
      <c r="W21" s="668">
        <f>J21</f>
        <v>100</v>
      </c>
      <c r="X21" s="1261"/>
      <c r="Y21" s="3500"/>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500"/>
      <c r="Q23" s="1259" t="str">
        <f t="shared" ref="Q23:Q37" si="8">B23</f>
        <v>区域土地利用方向</v>
      </c>
      <c r="R23" s="667" t="s">
        <v>14</v>
      </c>
      <c r="S23" s="668">
        <f>F23</f>
        <v>100</v>
      </c>
      <c r="T23" s="667" t="s">
        <v>14</v>
      </c>
      <c r="U23" s="668">
        <f>H23</f>
        <v>100</v>
      </c>
      <c r="V23" s="667" t="s">
        <v>14</v>
      </c>
      <c r="W23" s="668">
        <f>J23</f>
        <v>100</v>
      </c>
      <c r="X23" s="1261"/>
      <c r="Y23" s="3500"/>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5"/>
      <c r="L24" s="2484"/>
      <c r="M24" s="2479"/>
      <c r="N24" s="2479"/>
      <c r="O24" s="2534"/>
      <c r="P24" s="3500"/>
      <c r="Q24" s="1259"/>
      <c r="R24" s="667"/>
      <c r="S24" s="668"/>
      <c r="T24" s="667"/>
      <c r="U24" s="668"/>
      <c r="V24" s="667"/>
      <c r="W24" s="668"/>
      <c r="X24" s="1261"/>
      <c r="Y24" s="3500"/>
      <c r="Z24" s="1260"/>
      <c r="AA24" s="1260"/>
      <c r="AB24" s="1260"/>
      <c r="AC24" s="1260"/>
    </row>
    <row r="25" spans="1:29" ht="234.6">
      <c r="A25" s="348"/>
      <c r="B25" s="586" t="s">
        <v>1872</v>
      </c>
      <c r="C25" s="180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4"/>
      <c r="M25" s="2479"/>
      <c r="N25" s="2479"/>
      <c r="O25" s="2534"/>
      <c r="P25" s="3500"/>
      <c r="Q25" s="1259" t="str">
        <f t="shared" si="8"/>
        <v>自然及人文环境状况</v>
      </c>
      <c r="R25" s="667" t="s">
        <v>14</v>
      </c>
      <c r="S25" s="668">
        <f>F25</f>
        <v>100</v>
      </c>
      <c r="T25" s="667" t="s">
        <v>14</v>
      </c>
      <c r="U25" s="668">
        <f>H25</f>
        <v>100</v>
      </c>
      <c r="V25" s="667" t="s">
        <v>14</v>
      </c>
      <c r="W25" s="668">
        <f>J25</f>
        <v>100</v>
      </c>
      <c r="X25" s="1261"/>
      <c r="Y25" s="3500"/>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4"/>
      <c r="M26" s="2479"/>
      <c r="N26" s="2479"/>
      <c r="O26" s="2534"/>
      <c r="P26" s="3500"/>
      <c r="Q26" s="1259"/>
      <c r="R26" s="667"/>
      <c r="S26" s="668"/>
      <c r="T26" s="667"/>
      <c r="U26" s="668"/>
      <c r="V26" s="667"/>
      <c r="W26" s="668"/>
      <c r="X26" s="1261"/>
      <c r="Y26" s="3500"/>
      <c r="Z26" s="1260"/>
      <c r="AA26" s="1260">
        <v>1</v>
      </c>
      <c r="AB26" s="1260">
        <v>1</v>
      </c>
      <c r="AC26" s="1260">
        <v>1</v>
      </c>
    </row>
    <row r="27" spans="1:29" s="102" customFormat="1" ht="289.8">
      <c r="A27" s="443"/>
      <c r="B27" s="586" t="s">
        <v>1778</v>
      </c>
      <c r="C27" s="1750"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0"/>
      <c r="M27" s="2433"/>
      <c r="N27" s="2433"/>
      <c r="O27" s="2532"/>
      <c r="P27" s="3500"/>
      <c r="Q27" s="530" t="str">
        <f t="shared" si="8"/>
        <v>公共配套设施</v>
      </c>
      <c r="R27" s="664" t="s">
        <v>14</v>
      </c>
      <c r="S27" s="665">
        <f>F27</f>
        <v>100</v>
      </c>
      <c r="T27" s="664" t="s">
        <v>14</v>
      </c>
      <c r="U27" s="665">
        <f>H27</f>
        <v>100</v>
      </c>
      <c r="V27" s="664" t="s">
        <v>14</v>
      </c>
      <c r="W27" s="665">
        <f>J27</f>
        <v>100</v>
      </c>
      <c r="X27" s="666"/>
      <c r="Y27" s="3500"/>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0"/>
      <c r="M28" s="2433"/>
      <c r="N28" s="2433"/>
      <c r="O28" s="2532"/>
      <c r="P28" s="3500"/>
      <c r="Q28" s="530"/>
      <c r="R28" s="664"/>
      <c r="S28" s="665"/>
      <c r="T28" s="664"/>
      <c r="U28" s="665"/>
      <c r="V28" s="664"/>
      <c r="W28" s="665"/>
      <c r="X28" s="666"/>
      <c r="Y28" s="3500"/>
      <c r="Z28" s="50"/>
      <c r="AA28" s="1260">
        <v>1</v>
      </c>
      <c r="AB28" s="1260">
        <v>1</v>
      </c>
      <c r="AC28" s="1260">
        <v>1</v>
      </c>
    </row>
    <row r="29" spans="1:29" s="102" customFormat="1" ht="41.4">
      <c r="A29" s="443"/>
      <c r="B29" s="586" t="s">
        <v>1779</v>
      </c>
      <c r="C29" s="1750"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0"/>
      <c r="M29" s="2433"/>
      <c r="N29" s="2433"/>
      <c r="O29" s="2532"/>
      <c r="P29" s="3500"/>
      <c r="Q29" s="530" t="str">
        <f t="shared" ref="Q29" si="9">B29</f>
        <v>基础设施水平</v>
      </c>
      <c r="R29" s="664" t="s">
        <v>14</v>
      </c>
      <c r="S29" s="665">
        <f>F29</f>
        <v>100</v>
      </c>
      <c r="T29" s="664" t="s">
        <v>14</v>
      </c>
      <c r="U29" s="665">
        <f>H29</f>
        <v>100</v>
      </c>
      <c r="V29" s="664" t="s">
        <v>14</v>
      </c>
      <c r="W29" s="665">
        <f>J29</f>
        <v>100</v>
      </c>
      <c r="X29" s="666"/>
      <c r="Y29" s="3500"/>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0"/>
      <c r="M30" s="2433"/>
      <c r="N30" s="2433"/>
      <c r="O30" s="2532"/>
      <c r="P30" s="3500"/>
      <c r="Q30" s="530"/>
      <c r="R30" s="664"/>
      <c r="S30" s="665"/>
      <c r="T30" s="664"/>
      <c r="U30" s="665"/>
      <c r="V30" s="664"/>
      <c r="W30" s="665"/>
      <c r="X30" s="666"/>
      <c r="Y30" s="3500"/>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500"/>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500"/>
      <c r="Z31" s="1260" t="str">
        <f t="shared" ref="Z31:Z45" si="13">Q31</f>
        <v>临街状况</v>
      </c>
      <c r="AA31" s="1260">
        <f t="shared" si="3"/>
        <v>1</v>
      </c>
      <c r="AB31" s="1260">
        <f t="shared" si="4"/>
        <v>1</v>
      </c>
      <c r="AC31" s="1260">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4"/>
      <c r="M32" s="2479"/>
      <c r="N32" s="2479"/>
      <c r="O32" s="2534"/>
      <c r="P32" s="3500"/>
      <c r="Q32" s="1259" t="str">
        <f t="shared" si="8"/>
        <v>毗邻道路的类型与等级</v>
      </c>
      <c r="R32" s="667" t="s">
        <v>14</v>
      </c>
      <c r="S32" s="668">
        <f t="shared" si="10"/>
        <v>100</v>
      </c>
      <c r="T32" s="667" t="s">
        <v>14</v>
      </c>
      <c r="U32" s="668">
        <f t="shared" si="11"/>
        <v>100</v>
      </c>
      <c r="V32" s="667" t="s">
        <v>14</v>
      </c>
      <c r="W32" s="668">
        <f t="shared" si="12"/>
        <v>100</v>
      </c>
      <c r="X32" s="1261"/>
      <c r="Y32" s="3500"/>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4"/>
      <c r="M33" s="2479"/>
      <c r="N33" s="2479"/>
      <c r="O33" s="2534"/>
      <c r="P33" s="3500"/>
      <c r="Q33" s="1259"/>
      <c r="R33" s="667"/>
      <c r="S33" s="668"/>
      <c r="T33" s="667"/>
      <c r="U33" s="668"/>
      <c r="V33" s="667"/>
      <c r="W33" s="668"/>
      <c r="X33" s="1261"/>
      <c r="Y33" s="3500"/>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500"/>
      <c r="Q34" s="1259" t="str">
        <f t="shared" si="8"/>
        <v>土地级别</v>
      </c>
      <c r="R34" s="667" t="s">
        <v>14</v>
      </c>
      <c r="S34" s="668">
        <f t="shared" si="10"/>
        <v>100</v>
      </c>
      <c r="T34" s="667" t="s">
        <v>14</v>
      </c>
      <c r="U34" s="668">
        <f t="shared" si="11"/>
        <v>100</v>
      </c>
      <c r="V34" s="667" t="s">
        <v>14</v>
      </c>
      <c r="W34" s="668">
        <f t="shared" si="12"/>
        <v>100</v>
      </c>
      <c r="X34" s="1261"/>
      <c r="Y34" s="3500"/>
      <c r="Z34" s="1260" t="str">
        <f t="shared" si="13"/>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500"/>
      <c r="Q35" s="1259">
        <f t="shared" si="8"/>
        <v>111</v>
      </c>
      <c r="R35" s="667" t="s">
        <v>14</v>
      </c>
      <c r="S35" s="668">
        <f t="shared" si="10"/>
        <v>100</v>
      </c>
      <c r="T35" s="667" t="s">
        <v>14</v>
      </c>
      <c r="U35" s="668">
        <f t="shared" si="11"/>
        <v>100</v>
      </c>
      <c r="V35" s="667" t="s">
        <v>14</v>
      </c>
      <c r="W35" s="668">
        <f t="shared" si="12"/>
        <v>100</v>
      </c>
      <c r="X35" s="1261"/>
      <c r="Y35" s="3500"/>
      <c r="Z35" s="1260">
        <f t="shared" si="13"/>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581" t="s">
        <v>1696</v>
      </c>
      <c r="Q36" s="1259">
        <f t="shared" si="8"/>
        <v>111</v>
      </c>
      <c r="R36" s="667" t="s">
        <v>14</v>
      </c>
      <c r="S36" s="668">
        <f t="shared" si="10"/>
        <v>100</v>
      </c>
      <c r="T36" s="667" t="s">
        <v>14</v>
      </c>
      <c r="U36" s="668">
        <f t="shared" si="11"/>
        <v>100</v>
      </c>
      <c r="V36" s="667" t="s">
        <v>14</v>
      </c>
      <c r="W36" s="668">
        <f t="shared" si="12"/>
        <v>100</v>
      </c>
      <c r="X36" s="1261"/>
      <c r="Y36" s="3504" t="s">
        <v>1696</v>
      </c>
      <c r="Z36" s="1260">
        <f t="shared" si="13"/>
        <v>111</v>
      </c>
      <c r="AA36" s="1260">
        <f t="shared" si="3"/>
        <v>1</v>
      </c>
      <c r="AB36" s="1260">
        <f t="shared" si="4"/>
        <v>1</v>
      </c>
      <c r="AC36" s="1260">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504"/>
      <c r="Q37" s="1259">
        <f t="shared" si="8"/>
        <v>111</v>
      </c>
      <c r="R37" s="669" t="s">
        <v>14</v>
      </c>
      <c r="S37" s="670">
        <f t="shared" si="10"/>
        <v>100</v>
      </c>
      <c r="T37" s="669" t="s">
        <v>14</v>
      </c>
      <c r="U37" s="670">
        <f t="shared" si="11"/>
        <v>100</v>
      </c>
      <c r="V37" s="669" t="s">
        <v>14</v>
      </c>
      <c r="W37" s="670">
        <f t="shared" si="12"/>
        <v>100</v>
      </c>
      <c r="X37" s="671"/>
      <c r="Y37" s="3504"/>
      <c r="Z37" s="672">
        <f t="shared" si="13"/>
        <v>111</v>
      </c>
      <c r="AA37" s="1260">
        <f t="shared" si="3"/>
        <v>1</v>
      </c>
      <c r="AB37" s="1260">
        <f t="shared" si="4"/>
        <v>1</v>
      </c>
      <c r="AC37" s="1260">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4"/>
      <c r="M38" s="2479"/>
      <c r="N38" s="2479"/>
      <c r="O38" s="2534"/>
      <c r="P38" s="3504"/>
      <c r="Q38" s="1259" t="str">
        <f>B38</f>
        <v>宗地面积</v>
      </c>
      <c r="R38" s="667" t="s">
        <v>14</v>
      </c>
      <c r="S38" s="668" t="e">
        <f t="shared" si="10"/>
        <v>#N/A</v>
      </c>
      <c r="T38" s="667" t="s">
        <v>14</v>
      </c>
      <c r="U38" s="668" t="e">
        <f t="shared" si="11"/>
        <v>#N/A</v>
      </c>
      <c r="V38" s="667" t="s">
        <v>14</v>
      </c>
      <c r="W38" s="668" t="e">
        <f t="shared" si="12"/>
        <v>#N/A</v>
      </c>
      <c r="X38" s="1261"/>
      <c r="Y38" s="3504"/>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504"/>
      <c r="Q39" s="1259" t="str">
        <f t="shared" ref="Q39:Q45" si="14">B39</f>
        <v>宗地形状</v>
      </c>
      <c r="R39" s="667" t="s">
        <v>14</v>
      </c>
      <c r="S39" s="668">
        <f t="shared" si="10"/>
        <v>100</v>
      </c>
      <c r="T39" s="667" t="s">
        <v>14</v>
      </c>
      <c r="U39" s="668">
        <f t="shared" si="11"/>
        <v>100</v>
      </c>
      <c r="V39" s="667" t="s">
        <v>14</v>
      </c>
      <c r="W39" s="668">
        <f t="shared" si="12"/>
        <v>100</v>
      </c>
      <c r="X39" s="1261"/>
      <c r="Y39" s="3504"/>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4"/>
      <c r="M40" s="2479"/>
      <c r="N40" s="2479"/>
      <c r="O40" s="2534"/>
      <c r="P40" s="3504"/>
      <c r="Q40" s="1259" t="str">
        <f t="shared" si="14"/>
        <v>临街宽度及深度</v>
      </c>
      <c r="R40" s="667" t="s">
        <v>14</v>
      </c>
      <c r="S40" s="668">
        <f t="shared" si="10"/>
        <v>100</v>
      </c>
      <c r="T40" s="667" t="s">
        <v>14</v>
      </c>
      <c r="U40" s="668">
        <f t="shared" si="11"/>
        <v>100</v>
      </c>
      <c r="V40" s="667" t="s">
        <v>14</v>
      </c>
      <c r="W40" s="668">
        <f t="shared" si="12"/>
        <v>100</v>
      </c>
      <c r="X40" s="1261"/>
      <c r="Y40" s="3504"/>
      <c r="Z40" s="1260" t="str">
        <f t="shared" si="13"/>
        <v>临街宽度及深度</v>
      </c>
      <c r="AA40" s="1260">
        <f t="shared" si="3"/>
        <v>1</v>
      </c>
      <c r="AB40" s="1260">
        <f t="shared" si="4"/>
        <v>1</v>
      </c>
      <c r="AC40" s="1260">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0"/>
      <c r="M41" s="2433"/>
      <c r="N41" s="2433"/>
      <c r="O41" s="2532"/>
      <c r="P41" s="3504"/>
      <c r="Q41" s="1259" t="str">
        <f t="shared" si="14"/>
        <v>宗地开发程度</v>
      </c>
      <c r="R41" s="664" t="s">
        <v>14</v>
      </c>
      <c r="S41" s="665">
        <f t="shared" si="10"/>
        <v>100</v>
      </c>
      <c r="T41" s="664" t="s">
        <v>14</v>
      </c>
      <c r="U41" s="665">
        <f t="shared" si="11"/>
        <v>100</v>
      </c>
      <c r="V41" s="664" t="s">
        <v>14</v>
      </c>
      <c r="W41" s="665">
        <f t="shared" si="12"/>
        <v>100</v>
      </c>
      <c r="X41" s="666"/>
      <c r="Y41" s="3504"/>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4"/>
      <c r="M42" s="2479"/>
      <c r="N42" s="2479"/>
      <c r="O42" s="2534"/>
      <c r="P42" s="3504" t="s">
        <v>1696</v>
      </c>
      <c r="Q42" s="1259" t="str">
        <f t="shared" si="14"/>
        <v>工程地质条件</v>
      </c>
      <c r="R42" s="667" t="s">
        <v>14</v>
      </c>
      <c r="S42" s="668">
        <f t="shared" si="10"/>
        <v>100</v>
      </c>
      <c r="T42" s="667" t="s">
        <v>14</v>
      </c>
      <c r="U42" s="668">
        <f t="shared" si="11"/>
        <v>100</v>
      </c>
      <c r="V42" s="667" t="s">
        <v>14</v>
      </c>
      <c r="W42" s="668">
        <f t="shared" si="12"/>
        <v>100</v>
      </c>
      <c r="X42" s="1261"/>
      <c r="Y42" s="3504" t="s">
        <v>1696</v>
      </c>
      <c r="Z42" s="1260" t="str">
        <f t="shared" si="13"/>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504"/>
      <c r="Q43" s="1259">
        <f t="shared" si="14"/>
        <v>111</v>
      </c>
      <c r="R43" s="667" t="s">
        <v>14</v>
      </c>
      <c r="S43" s="668">
        <f t="shared" si="10"/>
        <v>100</v>
      </c>
      <c r="T43" s="667" t="s">
        <v>14</v>
      </c>
      <c r="U43" s="668">
        <f t="shared" si="11"/>
        <v>100</v>
      </c>
      <c r="V43" s="667" t="s">
        <v>14</v>
      </c>
      <c r="W43" s="668">
        <f t="shared" si="12"/>
        <v>100</v>
      </c>
      <c r="X43" s="1261"/>
      <c r="Y43" s="3504"/>
      <c r="Z43" s="1260">
        <f t="shared" si="13"/>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504"/>
      <c r="Q44" s="1259">
        <f t="shared" si="14"/>
        <v>111</v>
      </c>
      <c r="R44" s="667" t="s">
        <v>14</v>
      </c>
      <c r="S44" s="668">
        <f t="shared" si="10"/>
        <v>100</v>
      </c>
      <c r="T44" s="667" t="s">
        <v>14</v>
      </c>
      <c r="U44" s="668">
        <f t="shared" si="11"/>
        <v>100</v>
      </c>
      <c r="V44" s="667" t="s">
        <v>14</v>
      </c>
      <c r="W44" s="668">
        <f t="shared" si="12"/>
        <v>100</v>
      </c>
      <c r="X44" s="1261"/>
      <c r="Y44" s="3504"/>
      <c r="Z44" s="1260">
        <f t="shared" si="13"/>
        <v>111</v>
      </c>
      <c r="AA44" s="1260">
        <f t="shared" si="3"/>
        <v>1</v>
      </c>
      <c r="AB44" s="1260">
        <f t="shared" si="4"/>
        <v>1</v>
      </c>
      <c r="AC44" s="1260">
        <f t="shared" si="5"/>
        <v>1</v>
      </c>
    </row>
    <row r="45" spans="1:29" s="408" customFormat="1" ht="15.6"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504"/>
      <c r="Q45" s="1259">
        <f t="shared" si="14"/>
        <v>111</v>
      </c>
      <c r="R45" s="669" t="s">
        <v>14</v>
      </c>
      <c r="S45" s="670">
        <f t="shared" si="10"/>
        <v>100</v>
      </c>
      <c r="T45" s="669" t="s">
        <v>14</v>
      </c>
      <c r="U45" s="670">
        <f t="shared" si="11"/>
        <v>100</v>
      </c>
      <c r="V45" s="669" t="s">
        <v>14</v>
      </c>
      <c r="W45" s="670">
        <f t="shared" si="12"/>
        <v>100</v>
      </c>
      <c r="X45" s="671"/>
      <c r="Y45" s="3504"/>
      <c r="Z45" s="672">
        <f t="shared" si="13"/>
        <v>111</v>
      </c>
      <c r="AA45" s="1260">
        <f t="shared" si="3"/>
        <v>1</v>
      </c>
      <c r="AB45" s="1260">
        <f t="shared" si="4"/>
        <v>1</v>
      </c>
      <c r="AC45" s="1260">
        <f t="shared" si="5"/>
        <v>1</v>
      </c>
    </row>
    <row r="46" spans="1:29" ht="14.4">
      <c r="A46" s="416" t="s">
        <v>1844</v>
      </c>
      <c r="B46" s="1826" t="s">
        <v>1879</v>
      </c>
      <c r="C46" s="602" t="s">
        <v>0</v>
      </c>
      <c r="D46" s="418"/>
      <c r="E46" s="419"/>
      <c r="F46" s="420"/>
      <c r="G46" s="421"/>
      <c r="H46" s="422"/>
      <c r="I46" s="419"/>
      <c r="J46" s="422"/>
      <c r="K46" s="674"/>
      <c r="L46" s="2486"/>
      <c r="M46" s="2479"/>
      <c r="N46" s="2479"/>
      <c r="O46" s="2479"/>
      <c r="P46" s="3492" t="str">
        <f>A46</f>
        <v>成交单价</v>
      </c>
      <c r="Q46" s="3492"/>
      <c r="R46" s="3493">
        <f>E46</f>
        <v>0</v>
      </c>
      <c r="S46" s="3493"/>
      <c r="T46" s="3493">
        <f>G46</f>
        <v>0</v>
      </c>
      <c r="U46" s="3493"/>
      <c r="V46" s="3493">
        <f>I46</f>
        <v>0</v>
      </c>
      <c r="W46" s="3493"/>
      <c r="X46" s="385"/>
      <c r="Y46" s="673"/>
      <c r="Z46" s="385"/>
      <c r="AA46" s="385"/>
      <c r="AB46" s="385"/>
      <c r="AC46" s="385"/>
    </row>
    <row r="47" spans="1:29" ht="15" thickBot="1">
      <c r="A47" s="423" t="s">
        <v>1793</v>
      </c>
      <c r="B47" s="603"/>
      <c r="C47" s="426" t="e">
        <f>R48</f>
        <v>#DIV/0!</v>
      </c>
      <c r="D47" s="2137" t="s">
        <v>2138</v>
      </c>
      <c r="E47" s="426" t="e">
        <f>R47</f>
        <v>#DIV/0!</v>
      </c>
      <c r="F47" s="2138"/>
      <c r="G47" s="425" t="e">
        <f>T47</f>
        <v>#DIV/0!</v>
      </c>
      <c r="H47" s="2138"/>
      <c r="I47" s="426" t="e">
        <f>V47</f>
        <v>#DIV/0!</v>
      </c>
      <c r="J47" s="2138"/>
      <c r="K47" s="2140">
        <f>F47+H47+J47</f>
        <v>0</v>
      </c>
      <c r="L47" s="2486"/>
      <c r="M47" s="2479"/>
      <c r="N47" s="2479"/>
      <c r="O47" s="2479"/>
      <c r="P47" s="3492" t="str">
        <f>A47</f>
        <v>比较价值（元/平方米）</v>
      </c>
      <c r="Q47" s="3492"/>
      <c r="R47" s="3583" t="e">
        <f>ROUND(PRODUCT(R46,AA7:AA45),0)</f>
        <v>#DIV/0!</v>
      </c>
      <c r="S47" s="3583"/>
      <c r="T47" s="3583" t="e">
        <f>ROUND(PRODUCT(T46,AB7:AB45),0)</f>
        <v>#DIV/0!</v>
      </c>
      <c r="U47" s="3583"/>
      <c r="V47" s="3583" t="e">
        <f>ROUND(PRODUCT(V46,AC7:AC45),0)</f>
        <v>#DIV/0!</v>
      </c>
      <c r="W47" s="358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6"/>
      <c r="M48" s="2479"/>
      <c r="N48" s="2479"/>
      <c r="O48" s="2479"/>
      <c r="P48" s="3567" t="str">
        <f>A48</f>
        <v>估价对象XX用房的比较价值（楼面单价，元/平方米）</v>
      </c>
      <c r="Q48" s="3568"/>
      <c r="R48" s="3584" t="e">
        <f>ROUND(IF(D47="简单平均",AVERAGE(R47:W47),R47*F47+T47*H47+V47*J47),0)</f>
        <v>#DIV/0!</v>
      </c>
      <c r="S48" s="3584"/>
      <c r="T48" s="3584"/>
      <c r="U48" s="3584"/>
      <c r="V48" s="3584"/>
      <c r="W48" s="3584"/>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4.4"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1881</v>
      </c>
      <c r="B55" s="605" t="s">
        <v>1882</v>
      </c>
      <c r="C55" s="1827" t="s">
        <v>1883</v>
      </c>
      <c r="D55" s="1828" t="s">
        <v>1884</v>
      </c>
      <c r="E55" s="606" t="s">
        <v>1885</v>
      </c>
      <c r="F55" s="834" t="s">
        <v>1886</v>
      </c>
      <c r="G55" s="3509" t="s">
        <v>1887</v>
      </c>
      <c r="H55" s="3585"/>
      <c r="I55" s="127" t="s">
        <v>1888</v>
      </c>
      <c r="J55" s="1829">
        <f>项目基本情况!F35</f>
        <v>0</v>
      </c>
      <c r="K55" s="1830" t="s">
        <v>1889</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1890</v>
      </c>
      <c r="B56" s="609" t="e">
        <f>C48</f>
        <v>#DIV/0!</v>
      </c>
      <c r="C56" s="610">
        <v>1</v>
      </c>
      <c r="D56" s="887">
        <v>1</v>
      </c>
      <c r="E56" s="610">
        <f>'数据-汇总表'!E8+'数据-汇总表'!E9</f>
        <v>41121.310000000005</v>
      </c>
      <c r="F56" s="830" t="e">
        <f t="shared" ref="F56:F64" si="15">ROUND(B56*E56/10000,0)</f>
        <v>#DIV/0!</v>
      </c>
      <c r="G56" s="3491"/>
      <c r="H56" s="349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1891</v>
      </c>
      <c r="B57" s="210" t="e">
        <f>ROUND($C$48*C57*D57,0)</f>
        <v>#DIV/0!</v>
      </c>
      <c r="C57" s="163">
        <f t="shared" ref="C57:C64" si="16">IF($C$55="北京市系数",I57,J57)</f>
        <v>0.7</v>
      </c>
      <c r="D57" s="888">
        <v>0.25</v>
      </c>
      <c r="E57" s="614"/>
      <c r="F57" s="830" t="e">
        <f t="shared" si="15"/>
        <v>#DIV/0!</v>
      </c>
      <c r="G57" s="2742" t="s">
        <v>1892</v>
      </c>
      <c r="H57" s="831" t="str">
        <f>项目基本情况!B37</f>
        <v>二级</v>
      </c>
      <c r="I57" s="835">
        <f>SUMIF(修正!A57:A68,H57,修正!B57:B68)</f>
        <v>0.7</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1893</v>
      </c>
      <c r="B58" s="210" t="e">
        <f t="shared" ref="B58:B64" si="17">ROUND($C$48*C58*D58,0)</f>
        <v>#DIV/0!</v>
      </c>
      <c r="C58" s="163">
        <f t="shared" si="16"/>
        <v>0.4</v>
      </c>
      <c r="D58" s="888">
        <v>0.25</v>
      </c>
      <c r="E58" s="614"/>
      <c r="F58" s="830" t="e">
        <f t="shared" si="15"/>
        <v>#DIV/0!</v>
      </c>
      <c r="G58" s="2743"/>
      <c r="H58" s="831" t="str">
        <f>项目基本情况!B37</f>
        <v>二级</v>
      </c>
      <c r="I58" s="835">
        <f>SUMIF(修正!A57:A68,H58,修正!C57:C68)</f>
        <v>0.4</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1894</v>
      </c>
      <c r="B59" s="210" t="e">
        <f t="shared" si="17"/>
        <v>#DIV/0!</v>
      </c>
      <c r="C59" s="163">
        <f t="shared" si="16"/>
        <v>0.3</v>
      </c>
      <c r="D59" s="888">
        <v>0.25</v>
      </c>
      <c r="E59" s="614"/>
      <c r="F59" s="830" t="e">
        <f t="shared" si="15"/>
        <v>#DIV/0!</v>
      </c>
      <c r="G59" s="2743"/>
      <c r="H59" s="831" t="str">
        <f>项目基本情况!B37</f>
        <v>二级</v>
      </c>
      <c r="I59" s="835">
        <f>SUMIF(修正!A57:A68,H59,修正!D57:D68)</f>
        <v>0.3</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1895</v>
      </c>
      <c r="B60" s="210" t="e">
        <f t="shared" si="17"/>
        <v>#DIV/0!</v>
      </c>
      <c r="C60" s="163">
        <f t="shared" si="16"/>
        <v>0.3</v>
      </c>
      <c r="D60" s="888">
        <v>0.25</v>
      </c>
      <c r="E60" s="209">
        <f>'数据-汇总表'!E11</f>
        <v>0</v>
      </c>
      <c r="F60" s="830" t="e">
        <f t="shared" si="15"/>
        <v>#DIV/0!</v>
      </c>
      <c r="G60" s="1831" t="s">
        <v>1896</v>
      </c>
      <c r="H60" s="831" t="str">
        <f>项目基本情况!C37</f>
        <v>一级</v>
      </c>
      <c r="I60" s="835">
        <f>SUMIF(修正!A57:A68,H60,修正!E57:E68)</f>
        <v>0.3</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一级</v>
      </c>
      <c r="I61" s="835">
        <f>SUMIF(修正!A57:A68,H61,修正!F57:F68)</f>
        <v>0.3</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1899</v>
      </c>
      <c r="B62" s="210" t="e">
        <f t="shared" si="17"/>
        <v>#DIV/0!</v>
      </c>
      <c r="C62" s="163">
        <f t="shared" si="16"/>
        <v>0</v>
      </c>
      <c r="D62" s="888">
        <v>0.25</v>
      </c>
      <c r="E62" s="209">
        <f>'数据-汇总表'!E13</f>
        <v>7827.03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1901</v>
      </c>
      <c r="B63" s="210" t="e">
        <f t="shared" si="17"/>
        <v>#DIV/0!</v>
      </c>
      <c r="C63" s="163">
        <f t="shared" si="16"/>
        <v>0.2</v>
      </c>
      <c r="D63" s="888">
        <v>0.25</v>
      </c>
      <c r="E63" s="209">
        <f>'数据-汇总表'!E14</f>
        <v>0</v>
      </c>
      <c r="F63" s="830" t="e">
        <f t="shared" si="15"/>
        <v>#DIV/0!</v>
      </c>
      <c r="G63" s="1831" t="s">
        <v>1892</v>
      </c>
      <c r="H63" s="831" t="str">
        <f>项目基本情况!B37</f>
        <v>二级</v>
      </c>
      <c r="I63" s="835">
        <f>SUMIF(修正!A57:A68,H63,修正!G57:G68)</f>
        <v>0.2</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4.4" thickBot="1">
      <c r="A64" s="613" t="s">
        <v>1902</v>
      </c>
      <c r="B64" s="210" t="e">
        <f t="shared" si="17"/>
        <v>#DIV/0!</v>
      </c>
      <c r="C64" s="163">
        <f t="shared" si="16"/>
        <v>0.2</v>
      </c>
      <c r="D64" s="888">
        <v>0.25</v>
      </c>
      <c r="E64" s="209">
        <f>'数据-汇总表'!E15</f>
        <v>0</v>
      </c>
      <c r="F64" s="830" t="e">
        <f t="shared" si="15"/>
        <v>#DIV/0!</v>
      </c>
      <c r="G64" s="1832" t="s">
        <v>1896</v>
      </c>
      <c r="H64" s="841" t="str">
        <f>项目基本情况!C37</f>
        <v>一级</v>
      </c>
      <c r="I64" s="837">
        <f>SUMIF(修正!A57:A68,H64,修正!G57:G68)</f>
        <v>0.2</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thickBot="1">
      <c r="A65" s="615" t="s">
        <v>1903</v>
      </c>
      <c r="B65" s="616" t="s">
        <v>22</v>
      </c>
      <c r="C65" s="616" t="s">
        <v>23</v>
      </c>
      <c r="D65" s="616" t="s">
        <v>392</v>
      </c>
      <c r="E65" s="616">
        <f>IF(B46="楼面地价",SUM(E56:E64),'数据-汇总表'!D3)</f>
        <v>48948.340000000004</v>
      </c>
      <c r="F65" s="617" t="e">
        <f>IF(B46="楼面地价",SUM(F56:F64),ROUND(C48*E65/10000,0))</f>
        <v>#DIV/0!</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79"/>
      <c r="Q67" s="2479"/>
      <c r="R67" s="2479"/>
      <c r="S67" s="2479"/>
      <c r="T67" s="2479"/>
      <c r="U67" s="2479"/>
      <c r="V67" s="2479"/>
      <c r="W67" s="2479"/>
      <c r="X67" s="2479"/>
      <c r="Y67" s="2479"/>
      <c r="Z67" s="2479"/>
      <c r="AA67" s="2479"/>
      <c r="AB67" s="2479"/>
      <c r="AC67" s="2479"/>
    </row>
    <row r="68" spans="1:29" ht="22.2" thickBot="1">
      <c r="A68" s="658" t="s">
        <v>1798</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4.4">
      <c r="A69" s="1626" t="s">
        <v>1904</v>
      </c>
      <c r="B69" s="1043"/>
      <c r="C69" s="1097" t="str">
        <f>YEAR(C67)&amp;"-"&amp;ROUNDUP(MONTH(C67)/3,0)</f>
        <v>2025-1</v>
      </c>
      <c r="D69" s="1097" t="str">
        <f>YEAR(D67)&amp;"-"&amp;ROUNDUP(MONTH(D67)/3,0)</f>
        <v>2024-4</v>
      </c>
      <c r="E69" s="1097" t="str">
        <f t="shared" ref="E69:O69" si="19">YEAR(E67)&amp;"-"&amp;ROUNDUP(MONTH(E67)/3,0)</f>
        <v>2024-3</v>
      </c>
      <c r="F69" s="1097" t="str">
        <f t="shared" si="19"/>
        <v>2024-2</v>
      </c>
      <c r="G69" s="1097" t="str">
        <f t="shared" si="19"/>
        <v>2024-1</v>
      </c>
      <c r="H69" s="1097" t="str">
        <f t="shared" si="19"/>
        <v>2023-4</v>
      </c>
      <c r="I69" s="1097" t="str">
        <f t="shared" si="19"/>
        <v>2023-3</v>
      </c>
      <c r="J69" s="1097" t="str">
        <f t="shared" si="19"/>
        <v>2023-2</v>
      </c>
      <c r="K69" s="1097" t="str">
        <f t="shared" si="19"/>
        <v>2023-1</v>
      </c>
      <c r="L69" s="1097" t="str">
        <f t="shared" si="19"/>
        <v>2022-4</v>
      </c>
      <c r="M69" s="1097" t="str">
        <f t="shared" si="19"/>
        <v>2022-3</v>
      </c>
      <c r="N69" s="1097" t="str">
        <f t="shared" si="19"/>
        <v>2022-2</v>
      </c>
      <c r="O69" s="1097" t="str">
        <f t="shared" si="19"/>
        <v>2022-1</v>
      </c>
      <c r="P69" s="2502"/>
      <c r="Q69" s="2502"/>
      <c r="R69" s="2502"/>
      <c r="S69" s="2502"/>
      <c r="T69" s="2502"/>
      <c r="U69" s="2502"/>
      <c r="V69" s="2502"/>
      <c r="W69" s="2502"/>
      <c r="X69" s="2502"/>
      <c r="Y69" s="2502"/>
      <c r="Z69" s="2502"/>
      <c r="AA69" s="2502"/>
      <c r="AB69" s="2502"/>
      <c r="AC69" s="2502"/>
    </row>
    <row r="70" spans="1:29" s="102" customFormat="1" ht="30" customHeight="1">
      <c r="A70" s="1833"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3"/>
      <c r="N70" s="6"/>
      <c r="O70" s="1094"/>
      <c r="P70" s="2500"/>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6"/>
      <c r="P71" s="2500"/>
      <c r="Q71" s="2500"/>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2"/>
      <c r="O72" s="2512"/>
      <c r="P72" s="2536"/>
      <c r="Q72" s="2500"/>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2"/>
      <c r="O73" s="2512"/>
      <c r="P73" s="2500"/>
      <c r="Q73" s="2500"/>
      <c r="R73" s="2433"/>
      <c r="S73" s="2433"/>
      <c r="T73" s="2433"/>
      <c r="U73" s="2433"/>
      <c r="V73" s="2433"/>
      <c r="W73" s="2433"/>
      <c r="X73" s="2433"/>
      <c r="Y73" s="2433"/>
      <c r="Z73" s="2433"/>
      <c r="AA73" s="2433"/>
      <c r="AB73" s="2433"/>
      <c r="AC73" s="2433"/>
    </row>
    <row r="74" spans="1:29" ht="14.4">
      <c r="A74" s="379" t="s">
        <v>1719</v>
      </c>
      <c r="B74" s="460" t="s">
        <v>1685</v>
      </c>
      <c r="C74" s="462"/>
      <c r="D74" s="462"/>
      <c r="E74" s="462"/>
      <c r="F74" s="462"/>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4.4" thickBot="1">
      <c r="A75" s="367"/>
      <c r="B75" s="466"/>
      <c r="C75" s="467"/>
      <c r="D75" s="467"/>
      <c r="E75" s="467"/>
      <c r="F75" s="467"/>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9.4" thickTop="1">
      <c r="A76" s="367"/>
      <c r="B76" s="469" t="s">
        <v>1688</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4.4"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c r="A79" s="367"/>
      <c r="B79" s="479"/>
      <c r="C79" s="480"/>
      <c r="D79" s="480"/>
      <c r="E79" s="480"/>
      <c r="F79" s="480"/>
      <c r="G79" s="480"/>
      <c r="H79" s="480"/>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4"/>
      <c r="O80" s="2514"/>
      <c r="P80" s="2512"/>
      <c r="Q80" s="2500"/>
      <c r="R80" s="2479"/>
      <c r="S80" s="2479"/>
      <c r="T80" s="2479"/>
      <c r="U80" s="2479"/>
      <c r="V80" s="2479"/>
      <c r="W80" s="2479"/>
      <c r="X80" s="2479"/>
      <c r="Y80" s="2479"/>
      <c r="Z80" s="2479"/>
      <c r="AA80" s="2479"/>
      <c r="AB80" s="2479"/>
      <c r="AC80" s="2479"/>
    </row>
    <row r="81" spans="1:29" s="408" customFormat="1" ht="14.4" thickTop="1">
      <c r="A81" s="484"/>
      <c r="B81" s="469" t="str">
        <f>B12</f>
        <v>配建</v>
      </c>
      <c r="C81" s="485"/>
      <c r="D81" s="485"/>
      <c r="E81" s="485"/>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4.4"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4.4"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4.4"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4.4"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ht="14.4">
      <c r="A87" s="379" t="s">
        <v>1690</v>
      </c>
      <c r="B87" s="460" t="s">
        <v>1720</v>
      </c>
      <c r="C87" s="504" t="s">
        <v>1721</v>
      </c>
      <c r="D87" s="504" t="s">
        <v>1722</v>
      </c>
      <c r="E87" s="504" t="s">
        <v>1723</v>
      </c>
      <c r="F87" s="504" t="s">
        <v>1724</v>
      </c>
      <c r="G87" s="504" t="s">
        <v>1725</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 thickTop="1">
      <c r="A89" s="367"/>
      <c r="B89" s="469" t="s">
        <v>1906</v>
      </c>
      <c r="C89" s="509" t="s">
        <v>1721</v>
      </c>
      <c r="D89" s="509" t="s">
        <v>1722</v>
      </c>
      <c r="E89" s="509" t="s">
        <v>1723</v>
      </c>
      <c r="F89" s="509" t="s">
        <v>1724</v>
      </c>
      <c r="G89" s="509" t="s">
        <v>1725</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 thickTop="1">
      <c r="A91" s="367"/>
      <c r="B91" s="469" t="s">
        <v>1821</v>
      </c>
      <c r="C91" s="509" t="s">
        <v>1721</v>
      </c>
      <c r="D91" s="509" t="s">
        <v>1722</v>
      </c>
      <c r="E91" s="509" t="s">
        <v>1723</v>
      </c>
      <c r="F91" s="509" t="s">
        <v>1724</v>
      </c>
      <c r="G91" s="509" t="s">
        <v>1725</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 thickTop="1">
      <c r="A93" s="367"/>
      <c r="B93" s="469" t="s">
        <v>1726</v>
      </c>
      <c r="C93" s="509" t="s">
        <v>1721</v>
      </c>
      <c r="D93" s="509" t="s">
        <v>1722</v>
      </c>
      <c r="E93" s="509" t="s">
        <v>1723</v>
      </c>
      <c r="F93" s="509" t="s">
        <v>1724</v>
      </c>
      <c r="G93" s="509" t="s">
        <v>1725</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2"/>
      <c r="O95" s="2512"/>
      <c r="P95" s="2512"/>
      <c r="Q95" s="2500"/>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2"/>
      <c r="O97" s="2512"/>
      <c r="P97" s="2512"/>
      <c r="Q97" s="2500"/>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4"/>
      <c r="O98" s="2514"/>
      <c r="P98" s="2512"/>
      <c r="Q98" s="2500"/>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4"/>
      <c r="O104" s="2514"/>
      <c r="P104" s="2512"/>
      <c r="Q104" s="2500"/>
      <c r="R104" s="2479"/>
      <c r="S104" s="2479"/>
      <c r="T104" s="2479"/>
      <c r="U104" s="2479"/>
      <c r="V104" s="2479"/>
      <c r="W104" s="2479"/>
      <c r="X104" s="2479"/>
      <c r="Y104" s="2479"/>
      <c r="Z104" s="2479"/>
      <c r="AA104" s="2479"/>
      <c r="AB104" s="2479"/>
      <c r="AC104" s="2479"/>
    </row>
    <row r="105" spans="1:29" ht="29.4" thickTop="1">
      <c r="A105" s="367"/>
      <c r="B105" s="469" t="s">
        <v>1815</v>
      </c>
      <c r="C105" s="485"/>
      <c r="D105" s="485"/>
      <c r="E105" s="485"/>
      <c r="F105" s="485"/>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4"/>
      <c r="O106" s="2514"/>
      <c r="P106" s="2512"/>
      <c r="Q106" s="2500"/>
      <c r="R106" s="2479"/>
      <c r="S106" s="2479"/>
      <c r="T106" s="2479"/>
      <c r="U106" s="2479"/>
      <c r="V106" s="2479"/>
      <c r="W106" s="2479"/>
      <c r="X106" s="2479"/>
      <c r="Y106" s="2479"/>
      <c r="Z106" s="2479"/>
      <c r="AA106" s="2479"/>
      <c r="AB106" s="2479"/>
      <c r="AC106" s="2479"/>
    </row>
    <row r="107" spans="1:29" ht="15" thickTop="1">
      <c r="A107" s="367"/>
      <c r="B107" s="469" t="s">
        <v>1873</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4"/>
      <c r="O108" s="2514"/>
      <c r="P108" s="2512"/>
      <c r="Q108" s="2500"/>
      <c r="R108" s="2479"/>
      <c r="S108" s="2479"/>
      <c r="T108" s="2479"/>
      <c r="U108" s="2479"/>
      <c r="V108" s="2479"/>
      <c r="W108" s="2479"/>
      <c r="X108" s="2479"/>
      <c r="Y108" s="2479"/>
      <c r="Z108" s="2479"/>
      <c r="AA108" s="2479"/>
      <c r="AB108" s="2479"/>
      <c r="AC108" s="2479"/>
    </row>
    <row r="109" spans="1:29" ht="14.4"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4.4"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4.4"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4.4"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4.4"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4.4"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3"/>
      <c r="O115" s="2513"/>
      <c r="P115" s="2512"/>
      <c r="Q115" s="2500"/>
      <c r="R115" s="2479"/>
      <c r="S115" s="2479"/>
      <c r="T115" s="2479"/>
      <c r="U115" s="2479"/>
      <c r="V115" s="2479"/>
      <c r="W115" s="2479"/>
      <c r="X115" s="2479"/>
      <c r="Y115" s="2479"/>
      <c r="Z115" s="2479"/>
      <c r="AA115" s="2479"/>
      <c r="AB115" s="2479"/>
      <c r="AC115" s="2479"/>
    </row>
    <row r="116" spans="1:29">
      <c r="A116" s="367"/>
      <c r="B116" s="477"/>
      <c r="C116" s="6"/>
      <c r="D116" s="6"/>
      <c r="E116" s="6"/>
      <c r="F116" s="6"/>
      <c r="G116" s="6"/>
      <c r="H116" s="6"/>
      <c r="I116" s="6"/>
      <c r="J116" s="524"/>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4.4" thickBot="1">
      <c r="A117" s="367"/>
      <c r="B117" s="474"/>
      <c r="C117" s="501"/>
      <c r="D117" s="521"/>
      <c r="E117" s="521"/>
      <c r="F117" s="521"/>
      <c r="G117" s="521"/>
      <c r="H117" s="521"/>
      <c r="I117" s="521"/>
      <c r="J117" s="521"/>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1914</v>
      </c>
      <c r="C118" s="513"/>
      <c r="D118" s="513"/>
      <c r="E118" s="513"/>
      <c r="F118" s="513"/>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1915</v>
      </c>
      <c r="C120" s="485"/>
      <c r="D120" s="485"/>
      <c r="E120" s="485"/>
      <c r="F120" s="513"/>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1916</v>
      </c>
      <c r="C122" s="485"/>
      <c r="D122" s="485"/>
      <c r="E122" s="485"/>
      <c r="F122" s="485"/>
      <c r="G122" s="485"/>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1917</v>
      </c>
      <c r="C124" s="485"/>
      <c r="D124" s="485"/>
      <c r="E124" s="513"/>
      <c r="F124" s="513"/>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4"/>
      <c r="O125" s="2514"/>
      <c r="P125" s="2512"/>
      <c r="Q125" s="2500"/>
      <c r="R125" s="2479"/>
      <c r="S125" s="2479"/>
      <c r="T125" s="2479"/>
      <c r="U125" s="2479"/>
      <c r="V125" s="2479"/>
      <c r="W125" s="2479"/>
      <c r="X125" s="2479"/>
      <c r="Y125" s="2479"/>
      <c r="Z125" s="2479"/>
      <c r="AA125" s="2479"/>
      <c r="AB125" s="2479"/>
      <c r="AC125" s="2479"/>
    </row>
    <row r="126" spans="1:29" ht="14.4"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4.4"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4.4"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4.4"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4.4"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4.4"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86" t="s">
        <v>1919</v>
      </c>
      <c r="D6" s="3587"/>
      <c r="E6" s="3588" t="s">
        <v>1919</v>
      </c>
      <c r="F6" s="3589"/>
      <c r="G6" s="3586" t="s">
        <v>1919</v>
      </c>
      <c r="H6" s="3587"/>
      <c r="I6" s="3586" t="s">
        <v>1919</v>
      </c>
      <c r="J6" s="358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SUMIF(65:65,YEAR(E7)&amp;"-"&amp;INT((MONTH(E7)+2)/3),66:66)</f>
        <v>0</v>
      </c>
      <c r="G7" s="1818"/>
      <c r="H7" s="355">
        <f>SUMIF(65:65,YEAR(G7)&amp;"-"&amp;INT((MONTH(G7)+2)/3),66:66)</f>
        <v>0</v>
      </c>
      <c r="I7" s="1818"/>
      <c r="J7" s="355">
        <f>SUMIF(65:65,YEAR(I7)&amp;"-"&amp;INT((MONTH(I7)+2)/3),66:66)</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0" si="3">D8/F8</f>
        <v>#DIV/0!</v>
      </c>
      <c r="AB8" s="50" t="e">
        <f t="shared" ref="AB8:AB40" si="4">D8/H8</f>
        <v>#DIV/0!</v>
      </c>
      <c r="AC8" s="50" t="e">
        <f t="shared" ref="AC8:AC40" si="5">D8/J8</f>
        <v>#DIV/0!</v>
      </c>
    </row>
    <row r="9" spans="1:29" s="102" customFormat="1" ht="14.4">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96.6">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28.8">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500"/>
      <c r="Q19" s="1259" t="str">
        <f t="shared" ref="Q19:Q33" si="8">B19</f>
        <v>区域土地利用方向</v>
      </c>
      <c r="R19" s="667" t="s">
        <v>14</v>
      </c>
      <c r="S19" s="668">
        <f>F19</f>
        <v>100</v>
      </c>
      <c r="T19" s="667" t="s">
        <v>14</v>
      </c>
      <c r="U19" s="668">
        <f>H19</f>
        <v>100</v>
      </c>
      <c r="V19" s="667" t="s">
        <v>14</v>
      </c>
      <c r="W19" s="668">
        <f>J19</f>
        <v>100</v>
      </c>
      <c r="X19" s="1261"/>
      <c r="Y19" s="350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500"/>
      <c r="Q20" s="1259"/>
      <c r="R20" s="667"/>
      <c r="S20" s="668"/>
      <c r="T20" s="667"/>
      <c r="U20" s="668"/>
      <c r="V20" s="667"/>
      <c r="W20" s="668"/>
      <c r="X20" s="1261"/>
      <c r="Y20" s="3500"/>
      <c r="Z20" s="1260"/>
      <c r="AA20" s="1260"/>
      <c r="AB20" s="1260"/>
      <c r="AC20" s="1260"/>
    </row>
    <row r="21" spans="1:29" ht="82.8">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500"/>
      <c r="Q21" s="1259" t="str">
        <f t="shared" si="8"/>
        <v>环境状况</v>
      </c>
      <c r="R21" s="667" t="s">
        <v>14</v>
      </c>
      <c r="S21" s="668">
        <f>F21</f>
        <v>100</v>
      </c>
      <c r="T21" s="667" t="s">
        <v>14</v>
      </c>
      <c r="U21" s="668">
        <f>H21</f>
        <v>100</v>
      </c>
      <c r="V21" s="667" t="s">
        <v>14</v>
      </c>
      <c r="W21" s="668">
        <f>J21</f>
        <v>100</v>
      </c>
      <c r="X21" s="1261"/>
      <c r="Y21" s="350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s="102" customFormat="1" ht="41.4">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3"/>
      <c r="N23" s="2433"/>
      <c r="O23" s="2532"/>
      <c r="P23" s="3500"/>
      <c r="Q23" s="530" t="str">
        <f t="shared" si="8"/>
        <v>公共配套设施</v>
      </c>
      <c r="R23" s="664" t="s">
        <v>14</v>
      </c>
      <c r="S23" s="665">
        <f>F23</f>
        <v>100</v>
      </c>
      <c r="T23" s="664" t="s">
        <v>14</v>
      </c>
      <c r="U23" s="665">
        <f>H23</f>
        <v>100</v>
      </c>
      <c r="V23" s="664" t="s">
        <v>14</v>
      </c>
      <c r="W23" s="665">
        <f>J23</f>
        <v>100</v>
      </c>
      <c r="X23" s="666"/>
      <c r="Y23" s="3500"/>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3"/>
      <c r="N24" s="2433"/>
      <c r="O24" s="2532"/>
      <c r="P24" s="3500"/>
      <c r="Q24" s="530"/>
      <c r="R24" s="664"/>
      <c r="S24" s="665"/>
      <c r="T24" s="664"/>
      <c r="U24" s="665"/>
      <c r="V24" s="664"/>
      <c r="W24" s="665"/>
      <c r="X24" s="666"/>
      <c r="Y24" s="3500"/>
      <c r="Z24" s="50"/>
      <c r="AA24" s="50">
        <v>1</v>
      </c>
      <c r="AB24" s="50">
        <v>1</v>
      </c>
      <c r="AC24" s="50">
        <v>1</v>
      </c>
    </row>
    <row r="25" spans="1:29" s="102" customFormat="1" ht="41.4">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3"/>
      <c r="N25" s="2433"/>
      <c r="O25" s="2532"/>
      <c r="P25" s="3500"/>
      <c r="Q25" s="530" t="str">
        <f t="shared" ref="Q25" si="9">B25</f>
        <v>基础设施水平</v>
      </c>
      <c r="R25" s="664" t="s">
        <v>14</v>
      </c>
      <c r="S25" s="665">
        <f>F25</f>
        <v>100</v>
      </c>
      <c r="T25" s="664" t="s">
        <v>14</v>
      </c>
      <c r="U25" s="665">
        <f>H25</f>
        <v>100</v>
      </c>
      <c r="V25" s="664" t="s">
        <v>14</v>
      </c>
      <c r="W25" s="665">
        <f>J25</f>
        <v>100</v>
      </c>
      <c r="X25" s="666"/>
      <c r="Y25" s="3500"/>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3"/>
      <c r="N26" s="2433"/>
      <c r="O26" s="2532"/>
      <c r="P26" s="3500"/>
      <c r="Q26" s="530"/>
      <c r="R26" s="664"/>
      <c r="S26" s="665"/>
      <c r="T26" s="664"/>
      <c r="U26" s="665"/>
      <c r="V26" s="664"/>
      <c r="W26" s="665"/>
      <c r="X26" s="666"/>
      <c r="Y26" s="35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500"/>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500"/>
      <c r="Z27" s="1260" t="str">
        <f t="shared" ref="Z27:Z40" si="13">Q27</f>
        <v>临街状况</v>
      </c>
      <c r="AA27" s="1260">
        <f t="shared" si="3"/>
        <v>1</v>
      </c>
      <c r="AB27" s="1260">
        <f t="shared" si="4"/>
        <v>1</v>
      </c>
      <c r="AC27" s="1260">
        <f t="shared" si="5"/>
        <v>1</v>
      </c>
    </row>
    <row r="28" spans="1:29" ht="28.8">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500"/>
      <c r="Q28" s="1259" t="str">
        <f t="shared" si="8"/>
        <v>毗邻道路的类型与等级</v>
      </c>
      <c r="R28" s="667" t="s">
        <v>14</v>
      </c>
      <c r="S28" s="668">
        <f t="shared" si="10"/>
        <v>100</v>
      </c>
      <c r="T28" s="667" t="s">
        <v>14</v>
      </c>
      <c r="U28" s="668">
        <f t="shared" si="11"/>
        <v>100</v>
      </c>
      <c r="V28" s="667" t="s">
        <v>14</v>
      </c>
      <c r="W28" s="668">
        <f t="shared" si="12"/>
        <v>100</v>
      </c>
      <c r="X28" s="1261"/>
      <c r="Y28" s="3500"/>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500"/>
      <c r="Q29" s="1259"/>
      <c r="R29" s="667"/>
      <c r="S29" s="668"/>
      <c r="T29" s="667"/>
      <c r="U29" s="668"/>
      <c r="V29" s="667"/>
      <c r="W29" s="668"/>
      <c r="X29" s="1261"/>
      <c r="Y29" s="3500"/>
      <c r="Z29" s="1260"/>
      <c r="AA29" s="1260">
        <v>1</v>
      </c>
      <c r="AB29" s="1260">
        <v>1</v>
      </c>
      <c r="AC29" s="1260">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500"/>
      <c r="Q30" s="1259" t="str">
        <f t="shared" si="8"/>
        <v>土地级别</v>
      </c>
      <c r="R30" s="667" t="s">
        <v>14</v>
      </c>
      <c r="S30" s="668">
        <f t="shared" si="10"/>
        <v>100</v>
      </c>
      <c r="T30" s="667" t="s">
        <v>14</v>
      </c>
      <c r="U30" s="668">
        <f t="shared" si="11"/>
        <v>100</v>
      </c>
      <c r="V30" s="667" t="s">
        <v>14</v>
      </c>
      <c r="W30" s="668">
        <f t="shared" si="12"/>
        <v>100</v>
      </c>
      <c r="X30" s="1261"/>
      <c r="Y30" s="3500"/>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500"/>
      <c r="Q31" s="1259">
        <f t="shared" si="8"/>
        <v>111</v>
      </c>
      <c r="R31" s="667" t="s">
        <v>14</v>
      </c>
      <c r="S31" s="668">
        <f t="shared" si="10"/>
        <v>100</v>
      </c>
      <c r="T31" s="667" t="s">
        <v>14</v>
      </c>
      <c r="U31" s="668">
        <f t="shared" si="11"/>
        <v>100</v>
      </c>
      <c r="V31" s="667" t="s">
        <v>14</v>
      </c>
      <c r="W31" s="668">
        <f t="shared" si="12"/>
        <v>100</v>
      </c>
      <c r="X31" s="1261"/>
      <c r="Y31" s="3500"/>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581" t="s">
        <v>1696</v>
      </c>
      <c r="Q32" s="1259">
        <f t="shared" si="8"/>
        <v>111</v>
      </c>
      <c r="R32" s="667" t="s">
        <v>14</v>
      </c>
      <c r="S32" s="668">
        <f t="shared" si="10"/>
        <v>100</v>
      </c>
      <c r="T32" s="667" t="s">
        <v>14</v>
      </c>
      <c r="U32" s="668">
        <f t="shared" si="11"/>
        <v>100</v>
      </c>
      <c r="V32" s="667" t="s">
        <v>14</v>
      </c>
      <c r="W32" s="668">
        <f t="shared" si="12"/>
        <v>100</v>
      </c>
      <c r="X32" s="1261"/>
      <c r="Y32" s="3504" t="s">
        <v>1696</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504"/>
      <c r="Q33" s="1259">
        <f t="shared" si="8"/>
        <v>111</v>
      </c>
      <c r="R33" s="669" t="s">
        <v>14</v>
      </c>
      <c r="S33" s="670">
        <f t="shared" si="10"/>
        <v>100</v>
      </c>
      <c r="T33" s="669" t="s">
        <v>14</v>
      </c>
      <c r="U33" s="670">
        <f t="shared" si="11"/>
        <v>100</v>
      </c>
      <c r="V33" s="669" t="s">
        <v>14</v>
      </c>
      <c r="W33" s="670">
        <f t="shared" si="12"/>
        <v>100</v>
      </c>
      <c r="X33" s="671"/>
      <c r="Y33" s="3504"/>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504"/>
      <c r="Q34" s="1259" t="str">
        <f>B34</f>
        <v>宗地面积</v>
      </c>
      <c r="R34" s="667" t="s">
        <v>14</v>
      </c>
      <c r="S34" s="668" t="e">
        <f t="shared" si="10"/>
        <v>#N/A</v>
      </c>
      <c r="T34" s="667" t="s">
        <v>14</v>
      </c>
      <c r="U34" s="668" t="e">
        <f t="shared" si="11"/>
        <v>#N/A</v>
      </c>
      <c r="V34" s="667" t="s">
        <v>14</v>
      </c>
      <c r="W34" s="668" t="e">
        <f t="shared" si="12"/>
        <v>#N/A</v>
      </c>
      <c r="X34" s="1261"/>
      <c r="Y34" s="3504"/>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504"/>
      <c r="Q35" s="1259" t="str">
        <f t="shared" ref="Q35:Q40" si="14">B35</f>
        <v>宗地形状</v>
      </c>
      <c r="R35" s="667" t="s">
        <v>14</v>
      </c>
      <c r="S35" s="668">
        <f t="shared" si="10"/>
        <v>100</v>
      </c>
      <c r="T35" s="667" t="s">
        <v>14</v>
      </c>
      <c r="U35" s="668">
        <f t="shared" si="11"/>
        <v>100</v>
      </c>
      <c r="V35" s="667" t="s">
        <v>14</v>
      </c>
      <c r="W35" s="668">
        <f t="shared" si="12"/>
        <v>100</v>
      </c>
      <c r="X35" s="1261"/>
      <c r="Y35" s="3504"/>
      <c r="Z35" s="1260" t="str">
        <f t="shared" si="13"/>
        <v>宗地形状</v>
      </c>
      <c r="AA35" s="1260">
        <f t="shared" si="3"/>
        <v>1</v>
      </c>
      <c r="AB35" s="1260">
        <f t="shared" si="4"/>
        <v>1</v>
      </c>
      <c r="AC35" s="1260">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3"/>
      <c r="N36" s="2433"/>
      <c r="O36" s="2532"/>
      <c r="P36" s="3504"/>
      <c r="Q36" s="1259" t="str">
        <f t="shared" si="14"/>
        <v>宗地开发程度</v>
      </c>
      <c r="R36" s="664" t="s">
        <v>14</v>
      </c>
      <c r="S36" s="665">
        <f t="shared" si="10"/>
        <v>100</v>
      </c>
      <c r="T36" s="664" t="s">
        <v>14</v>
      </c>
      <c r="U36" s="665">
        <f t="shared" si="11"/>
        <v>100</v>
      </c>
      <c r="V36" s="664" t="s">
        <v>14</v>
      </c>
      <c r="W36" s="665">
        <f t="shared" si="12"/>
        <v>100</v>
      </c>
      <c r="X36" s="666"/>
      <c r="Y36" s="3504"/>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504" t="s">
        <v>1696</v>
      </c>
      <c r="Q37" s="1259" t="str">
        <f t="shared" si="14"/>
        <v>工程地质条件</v>
      </c>
      <c r="R37" s="667" t="s">
        <v>14</v>
      </c>
      <c r="S37" s="668">
        <f t="shared" si="10"/>
        <v>100</v>
      </c>
      <c r="T37" s="667" t="s">
        <v>14</v>
      </c>
      <c r="U37" s="668">
        <f t="shared" si="11"/>
        <v>100</v>
      </c>
      <c r="V37" s="667" t="s">
        <v>14</v>
      </c>
      <c r="W37" s="668">
        <f t="shared" si="12"/>
        <v>100</v>
      </c>
      <c r="X37" s="1261"/>
      <c r="Y37" s="3504" t="s">
        <v>1696</v>
      </c>
      <c r="Z37" s="1260" t="str">
        <f t="shared" si="13"/>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504"/>
      <c r="Q38" s="1259">
        <f t="shared" si="14"/>
        <v>111</v>
      </c>
      <c r="R38" s="667" t="s">
        <v>14</v>
      </c>
      <c r="S38" s="668">
        <f t="shared" si="10"/>
        <v>100</v>
      </c>
      <c r="T38" s="667" t="s">
        <v>14</v>
      </c>
      <c r="U38" s="668">
        <f t="shared" si="11"/>
        <v>100</v>
      </c>
      <c r="V38" s="667" t="s">
        <v>14</v>
      </c>
      <c r="W38" s="668">
        <f t="shared" si="12"/>
        <v>100</v>
      </c>
      <c r="X38" s="1261"/>
      <c r="Y38" s="3504"/>
      <c r="Z38" s="1260">
        <f t="shared" si="13"/>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504"/>
      <c r="Q39" s="1259">
        <f t="shared" si="14"/>
        <v>111</v>
      </c>
      <c r="R39" s="667" t="s">
        <v>14</v>
      </c>
      <c r="S39" s="668">
        <f t="shared" si="10"/>
        <v>100</v>
      </c>
      <c r="T39" s="667" t="s">
        <v>14</v>
      </c>
      <c r="U39" s="668">
        <f t="shared" si="11"/>
        <v>100</v>
      </c>
      <c r="V39" s="667" t="s">
        <v>14</v>
      </c>
      <c r="W39" s="668">
        <f t="shared" si="12"/>
        <v>100</v>
      </c>
      <c r="X39" s="1261"/>
      <c r="Y39" s="3504"/>
      <c r="Z39" s="1260">
        <f t="shared" si="13"/>
        <v>111</v>
      </c>
      <c r="AA39" s="1260">
        <f t="shared" si="3"/>
        <v>1</v>
      </c>
      <c r="AB39" s="1260">
        <f t="shared" si="4"/>
        <v>1</v>
      </c>
      <c r="AC39" s="1260">
        <f t="shared" si="5"/>
        <v>1</v>
      </c>
    </row>
    <row r="40" spans="1:31" s="408" customFormat="1" ht="15.6"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504"/>
      <c r="Q40" s="1259">
        <f t="shared" si="14"/>
        <v>111</v>
      </c>
      <c r="R40" s="669" t="s">
        <v>14</v>
      </c>
      <c r="S40" s="670">
        <f t="shared" si="10"/>
        <v>100</v>
      </c>
      <c r="T40" s="669" t="s">
        <v>14</v>
      </c>
      <c r="U40" s="670">
        <f t="shared" si="11"/>
        <v>100</v>
      </c>
      <c r="V40" s="669" t="s">
        <v>14</v>
      </c>
      <c r="W40" s="670">
        <f t="shared" si="12"/>
        <v>100</v>
      </c>
      <c r="X40" s="671"/>
      <c r="Y40" s="3504"/>
      <c r="Z40" s="672">
        <f t="shared" si="13"/>
        <v>111</v>
      </c>
      <c r="AA40" s="1260">
        <f t="shared" si="3"/>
        <v>1</v>
      </c>
      <c r="AB40" s="1260">
        <f t="shared" si="4"/>
        <v>1</v>
      </c>
      <c r="AC40" s="1260">
        <f t="shared" si="5"/>
        <v>1</v>
      </c>
    </row>
    <row r="41" spans="1:31" ht="14.4">
      <c r="A41" s="416" t="s">
        <v>1844</v>
      </c>
      <c r="B41" s="1826" t="s">
        <v>1922</v>
      </c>
      <c r="C41" s="602" t="s">
        <v>0</v>
      </c>
      <c r="D41" s="418"/>
      <c r="E41" s="419"/>
      <c r="F41" s="420"/>
      <c r="G41" s="421"/>
      <c r="H41" s="422"/>
      <c r="I41" s="419"/>
      <c r="J41" s="422"/>
      <c r="K41" s="674"/>
      <c r="L41" s="2486"/>
      <c r="M41" s="2479"/>
      <c r="N41" s="2479"/>
      <c r="O41" s="2479"/>
      <c r="P41" s="3492" t="str">
        <f>A41</f>
        <v>成交单价</v>
      </c>
      <c r="Q41" s="3492"/>
      <c r="R41" s="3493">
        <f>E41</f>
        <v>0</v>
      </c>
      <c r="S41" s="3493"/>
      <c r="T41" s="3493">
        <f>G41</f>
        <v>0</v>
      </c>
      <c r="U41" s="3493"/>
      <c r="V41" s="3493">
        <f>I41</f>
        <v>0</v>
      </c>
      <c r="W41" s="3493"/>
      <c r="X41" s="385"/>
      <c r="Y41" s="673"/>
      <c r="Z41" s="385"/>
      <c r="AA41" s="385"/>
      <c r="AB41" s="385"/>
      <c r="AC41" s="385"/>
    </row>
    <row r="42" spans="1:31" ht="15" thickBot="1">
      <c r="A42" s="423" t="s">
        <v>1793</v>
      </c>
      <c r="B42" s="603"/>
      <c r="C42" s="426" t="e">
        <f>R43</f>
        <v>#DIV/0!</v>
      </c>
      <c r="D42" s="2137" t="s">
        <v>2138</v>
      </c>
      <c r="E42" s="426" t="e">
        <f>R42</f>
        <v>#DIV/0!</v>
      </c>
      <c r="F42" s="2138"/>
      <c r="G42" s="425" t="e">
        <f>T42</f>
        <v>#DIV/0!</v>
      </c>
      <c r="H42" s="2138"/>
      <c r="I42" s="426" t="e">
        <f>V42</f>
        <v>#DIV/0!</v>
      </c>
      <c r="J42" s="2138"/>
      <c r="K42" s="2140">
        <f>F42+H42+J42</f>
        <v>0</v>
      </c>
      <c r="L42" s="2486"/>
      <c r="M42" s="2479"/>
      <c r="N42" s="2479"/>
      <c r="O42" s="2479"/>
      <c r="P42" s="3492" t="str">
        <f>A42</f>
        <v>比较价值（元/平方米）</v>
      </c>
      <c r="Q42" s="3492"/>
      <c r="R42" s="3583" t="e">
        <f>ROUND(PRODUCT(R41,AA7:AA40),0)</f>
        <v>#DIV/0!</v>
      </c>
      <c r="S42" s="3583"/>
      <c r="T42" s="3583" t="e">
        <f>ROUND(PRODUCT(T41,AB7:AB40),0)</f>
        <v>#DIV/0!</v>
      </c>
      <c r="U42" s="3583"/>
      <c r="V42" s="3583" t="e">
        <f>ROUND(PRODUCT(V41,AC7:AC40),0)</f>
        <v>#DIV/0!</v>
      </c>
      <c r="W42" s="358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6"/>
      <c r="M43" s="2479"/>
      <c r="N43" s="2479"/>
      <c r="O43" s="2479"/>
      <c r="P43" s="3567" t="str">
        <f>A43</f>
        <v>估价对象XX用房的比较价值（楼面单价，元/平方米）</v>
      </c>
      <c r="Q43" s="3568"/>
      <c r="R43" s="3584" t="e">
        <f>ROUND(IF(D42="简单平均",AVERAGE(R42:W42),R42*F42+T42*H42+V42*J42),0)</f>
        <v>#DIV/0!</v>
      </c>
      <c r="S43" s="3584"/>
      <c r="T43" s="3584"/>
      <c r="U43" s="3584"/>
      <c r="V43" s="3584"/>
      <c r="W43" s="3584"/>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4.4"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8.8">
      <c r="A50" s="604" t="s">
        <v>1881</v>
      </c>
      <c r="B50" s="605" t="s">
        <v>1882</v>
      </c>
      <c r="C50" s="1827" t="s">
        <v>1883</v>
      </c>
      <c r="D50" s="1828" t="s">
        <v>1884</v>
      </c>
      <c r="E50" s="606" t="s">
        <v>1885</v>
      </c>
      <c r="F50" s="607" t="s">
        <v>1886</v>
      </c>
      <c r="G50" s="3509" t="s">
        <v>1887</v>
      </c>
      <c r="H50" s="3585"/>
      <c r="I50" s="1260" t="s">
        <v>1923</v>
      </c>
      <c r="J50" s="1260">
        <f>项目基本情况!F35</f>
        <v>0</v>
      </c>
      <c r="K50" s="1830" t="s">
        <v>1889</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1890</v>
      </c>
      <c r="B51" s="609" t="e">
        <f>C43</f>
        <v>#DIV/0!</v>
      </c>
      <c r="C51" s="610">
        <v>1</v>
      </c>
      <c r="D51" s="887">
        <v>1</v>
      </c>
      <c r="E51" s="610">
        <f>'数据-汇总表'!E8+'数据-汇总表'!E9</f>
        <v>41121.310000000005</v>
      </c>
      <c r="F51" s="611" t="e">
        <f t="shared" ref="F51:F60" si="15">ROUND(B51*E51/10000,0)</f>
        <v>#DIV/0!</v>
      </c>
      <c r="G51" s="3491"/>
      <c r="H51" s="349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1891</v>
      </c>
      <c r="B52" s="210" t="e">
        <f>ROUND($C$43*C52*D52,0)</f>
        <v>#DIV/0!</v>
      </c>
      <c r="C52" s="163">
        <f t="shared" ref="C52:C60" si="16">IF($C$50="北京市系数",I52,J52)</f>
        <v>0.7</v>
      </c>
      <c r="D52" s="888">
        <v>0.25</v>
      </c>
      <c r="E52" s="614"/>
      <c r="F52" s="611" t="e">
        <f t="shared" si="15"/>
        <v>#DIV/0!</v>
      </c>
      <c r="G52" s="2742" t="s">
        <v>1892</v>
      </c>
      <c r="H52" s="831" t="str">
        <f>项目基本情况!B37</f>
        <v>二级</v>
      </c>
      <c r="I52" s="724">
        <f>SUMIF(修正!A57:A68,H52,修正!B57:B68)</f>
        <v>0.7</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1893</v>
      </c>
      <c r="B53" s="210" t="e">
        <f t="shared" ref="B53:B60" si="17">ROUND($C$43*C53*D53,0)</f>
        <v>#DIV/0!</v>
      </c>
      <c r="C53" s="163">
        <f t="shared" si="16"/>
        <v>0.4</v>
      </c>
      <c r="D53" s="888">
        <v>0.25</v>
      </c>
      <c r="E53" s="614"/>
      <c r="F53" s="611" t="e">
        <f t="shared" si="15"/>
        <v>#DIV/0!</v>
      </c>
      <c r="G53" s="2743"/>
      <c r="H53" s="831" t="str">
        <f>项目基本情况!B37</f>
        <v>二级</v>
      </c>
      <c r="I53" s="724">
        <f>SUMIF(修正!A57:A68,H53,修正!C57:C68)</f>
        <v>0.4</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1894</v>
      </c>
      <c r="B54" s="210" t="e">
        <f t="shared" si="17"/>
        <v>#DIV/0!</v>
      </c>
      <c r="C54" s="163">
        <f t="shared" si="16"/>
        <v>0.3</v>
      </c>
      <c r="D54" s="888">
        <v>0.25</v>
      </c>
      <c r="E54" s="614"/>
      <c r="F54" s="611" t="e">
        <f t="shared" si="15"/>
        <v>#DIV/0!</v>
      </c>
      <c r="G54" s="2743"/>
      <c r="H54" s="831" t="str">
        <f>项目基本情况!B37</f>
        <v>二级</v>
      </c>
      <c r="I54" s="724">
        <f>SUMIF(修正!A57:A68,H54,修正!D57:D68)</f>
        <v>0.3</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1895</v>
      </c>
      <c r="B56" s="210" t="e">
        <f t="shared" si="17"/>
        <v>#DIV/0!</v>
      </c>
      <c r="C56" s="163">
        <f t="shared" si="16"/>
        <v>0.3</v>
      </c>
      <c r="D56" s="888">
        <v>0.25</v>
      </c>
      <c r="E56" s="209">
        <f>'数据-汇总表'!E11</f>
        <v>0</v>
      </c>
      <c r="F56" s="611" t="e">
        <f t="shared" si="15"/>
        <v>#DIV/0!</v>
      </c>
      <c r="G56" s="1831" t="s">
        <v>1896</v>
      </c>
      <c r="H56" s="831" t="str">
        <f>项目基本情况!C37</f>
        <v>一级</v>
      </c>
      <c r="I56" s="724">
        <f>SUMIF(修正!A57:A68,H56,修正!E57:E68)</f>
        <v>0.3</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一级</v>
      </c>
      <c r="I57" s="724">
        <f>SUMIF(修正!A57:A68,H57,修正!F57:F68)</f>
        <v>0.3</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1899</v>
      </c>
      <c r="B58" s="210" t="e">
        <f t="shared" si="17"/>
        <v>#DIV/0!</v>
      </c>
      <c r="C58" s="163">
        <f t="shared" si="16"/>
        <v>0</v>
      </c>
      <c r="D58" s="888">
        <v>0.25</v>
      </c>
      <c r="E58" s="209">
        <f>'数据-汇总表'!E13</f>
        <v>7827.03</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1901</v>
      </c>
      <c r="B59" s="210" t="e">
        <f t="shared" si="17"/>
        <v>#DIV/0!</v>
      </c>
      <c r="C59" s="163">
        <f t="shared" si="16"/>
        <v>0.2</v>
      </c>
      <c r="D59" s="888">
        <v>0.25</v>
      </c>
      <c r="E59" s="209">
        <f>'数据-汇总表'!E14</f>
        <v>0</v>
      </c>
      <c r="F59" s="611" t="e">
        <f t="shared" si="15"/>
        <v>#DIV/0!</v>
      </c>
      <c r="G59" s="1831" t="s">
        <v>1892</v>
      </c>
      <c r="H59" s="831" t="str">
        <f>项目基本情况!B37</f>
        <v>二级</v>
      </c>
      <c r="I59" s="724">
        <f>SUMIF(修正!A57:A68,H59,修正!G57:G68)</f>
        <v>0.2</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4.4" thickBot="1">
      <c r="A60" s="613" t="s">
        <v>1902</v>
      </c>
      <c r="B60" s="210" t="e">
        <f t="shared" si="17"/>
        <v>#DIV/0!</v>
      </c>
      <c r="C60" s="163">
        <f t="shared" si="16"/>
        <v>0.2</v>
      </c>
      <c r="D60" s="888">
        <v>0.25</v>
      </c>
      <c r="E60" s="209">
        <f>'数据-汇总表'!E15</f>
        <v>0</v>
      </c>
      <c r="F60" s="611" t="e">
        <f t="shared" si="15"/>
        <v>#DIV/0!</v>
      </c>
      <c r="G60" s="1832" t="s">
        <v>1896</v>
      </c>
      <c r="H60" s="841" t="str">
        <f>项目基本情况!C37</f>
        <v>一级</v>
      </c>
      <c r="I60" s="724">
        <f>SUMIF(修正!A57:A68,H60,修正!G57:G68)</f>
        <v>0.2</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4.4" thickBot="1">
      <c r="A61" s="615" t="s">
        <v>1903</v>
      </c>
      <c r="B61" s="616" t="s">
        <v>22</v>
      </c>
      <c r="C61" s="616" t="s">
        <v>23</v>
      </c>
      <c r="D61" s="616" t="s">
        <v>392</v>
      </c>
      <c r="E61" s="616">
        <f>IF(B41="楼面地价",SUM(E51:E60),'数据-汇总表'!D3)</f>
        <v>6088.55</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79"/>
      <c r="Q63" s="2479"/>
      <c r="R63" s="2479"/>
      <c r="S63" s="2479"/>
      <c r="T63" s="2479"/>
      <c r="U63" s="2479"/>
      <c r="V63" s="2479"/>
      <c r="W63" s="2479"/>
      <c r="X63" s="2479"/>
      <c r="Y63" s="2479"/>
      <c r="Z63" s="2479"/>
      <c r="AA63" s="2479"/>
      <c r="AB63" s="2479"/>
      <c r="AC63" s="2479"/>
      <c r="AD63" s="2479"/>
      <c r="AE63" s="2479"/>
    </row>
    <row r="64" spans="1:31" ht="22.2" thickBot="1">
      <c r="A64" s="658" t="s">
        <v>1798</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4.4">
      <c r="A65" s="1626" t="s">
        <v>1904</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1924</v>
      </c>
      <c r="B66" s="280" t="str">
        <f>"北京市平均增长率"&amp;TEXT(基准地价修正商业!P28,"0.00%")</f>
        <v>北京市平均增长率0.00%</v>
      </c>
      <c r="C66" s="530">
        <v>100</v>
      </c>
      <c r="D66" s="6"/>
      <c r="E66" s="6"/>
      <c r="F66" s="6"/>
      <c r="G66" s="6"/>
      <c r="H66" s="6"/>
      <c r="I66" s="6"/>
      <c r="J66" s="6"/>
      <c r="K66" s="6"/>
      <c r="L66" s="6"/>
      <c r="M66" s="1063"/>
      <c r="N66" s="1063"/>
      <c r="O66" s="1095"/>
      <c r="P66" s="2500"/>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0"/>
      <c r="Q67" s="2500"/>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2"/>
      <c r="O68" s="2512"/>
      <c r="P68" s="2536"/>
      <c r="Q68" s="2500"/>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2"/>
      <c r="O69" s="2512"/>
      <c r="P69" s="2500"/>
      <c r="Q69" s="2500"/>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4.4"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9.4" thickTop="1">
      <c r="A72" s="367"/>
      <c r="B72" s="469" t="s">
        <v>1688</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4.4"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4.4"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4.4"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4.4"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4.4"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4.4"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4.4"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ht="14.4">
      <c r="A83" s="379" t="s">
        <v>1690</v>
      </c>
      <c r="B83" s="460" t="s">
        <v>1829</v>
      </c>
      <c r="C83" s="504" t="s">
        <v>1721</v>
      </c>
      <c r="D83" s="504" t="s">
        <v>1722</v>
      </c>
      <c r="E83" s="504" t="s">
        <v>1723</v>
      </c>
      <c r="F83" s="504" t="s">
        <v>1724</v>
      </c>
      <c r="G83" s="504" t="s">
        <v>1725</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 thickTop="1">
      <c r="A85" s="367"/>
      <c r="B85" s="469" t="s">
        <v>1726</v>
      </c>
      <c r="C85" s="509" t="s">
        <v>1721</v>
      </c>
      <c r="D85" s="509" t="s">
        <v>1722</v>
      </c>
      <c r="E85" s="509" t="s">
        <v>1723</v>
      </c>
      <c r="F85" s="509" t="s">
        <v>1724</v>
      </c>
      <c r="G85" s="509" t="s">
        <v>1725</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2"/>
      <c r="O87" s="2512"/>
      <c r="P87" s="2512"/>
      <c r="Q87" s="2500"/>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2"/>
      <c r="O89" s="2512"/>
      <c r="P89" s="2512"/>
      <c r="Q89" s="2500"/>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9.4" thickTop="1">
      <c r="A97" s="367"/>
      <c r="B97" s="469" t="s">
        <v>1815</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 thickTop="1">
      <c r="A99" s="367"/>
      <c r="B99" s="469" t="s">
        <v>1873</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4.4"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4.4"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4.4"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4.4"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4.4"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4.4"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4.4"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1914</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1916</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1917</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4.4"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4.4"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4.4"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4.4"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4.4"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4.4"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93" t="s">
        <v>2084</v>
      </c>
      <c r="D1" s="3594"/>
      <c r="E1" s="3594"/>
      <c r="F1" s="3594"/>
      <c r="G1" s="3594"/>
      <c r="H1" s="3594"/>
      <c r="I1" s="3594"/>
      <c r="J1" s="3594"/>
      <c r="K1" s="3594"/>
      <c r="L1" s="3594"/>
      <c r="M1" s="3594"/>
      <c r="N1" s="3594"/>
      <c r="O1" s="3594"/>
      <c r="P1" s="3594"/>
      <c r="Q1" s="3594"/>
      <c r="R1" s="3594"/>
      <c r="S1" s="3595"/>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2095</v>
      </c>
      <c r="E19" s="1249"/>
      <c r="F19" s="1249"/>
      <c r="G19" s="1249"/>
      <c r="H19" s="993"/>
      <c r="I19" s="151"/>
      <c r="J19" s="151"/>
      <c r="K19" s="151"/>
      <c r="L19" s="151"/>
      <c r="M19" s="151"/>
      <c r="N19" s="151"/>
      <c r="O19" s="151"/>
      <c r="P19" s="151"/>
      <c r="Q19" s="151"/>
      <c r="R19" s="151"/>
      <c r="S19" s="121"/>
    </row>
    <row r="20" spans="1:45" ht="16.2" thickBot="1">
      <c r="A20" s="632" t="s">
        <v>2096</v>
      </c>
      <c r="B20" s="286" t="e">
        <f ca="1">IF(D20="——",S22,S22-F20)</f>
        <v>#REF!</v>
      </c>
      <c r="C20" s="151"/>
      <c r="D20" s="1985"/>
      <c r="E20" s="1250"/>
      <c r="F20" s="926" t="e">
        <f ca="1">SUMIF(INDIRECT("'"&amp;H20&amp;"'"&amp;"!A:A"),"承租人权益价值",INDIRECT("'"&amp;H20&amp;"'"&amp;"!c:c"))</f>
        <v>#REF!</v>
      </c>
      <c r="G20" s="926" t="s">
        <v>2097</v>
      </c>
      <c r="H20" s="1986"/>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0" t="s">
        <v>27</v>
      </c>
      <c r="D22" s="3591"/>
      <c r="E22" s="3591"/>
      <c r="F22" s="3591"/>
      <c r="G22" s="3591"/>
      <c r="H22" s="3591"/>
      <c r="I22" s="3591"/>
      <c r="J22" s="3591"/>
      <c r="K22" s="3591"/>
      <c r="L22" s="3591"/>
      <c r="M22" s="3591"/>
      <c r="N22" s="3591"/>
      <c r="O22" s="3591"/>
      <c r="P22" s="3591"/>
      <c r="Q22" s="35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1" t="s">
        <v>2081</v>
      </c>
      <c r="B1" s="4"/>
      <c r="C1" s="4"/>
      <c r="D1" s="4"/>
      <c r="E1" s="4"/>
      <c r="F1" s="2536"/>
      <c r="G1" s="2536"/>
      <c r="H1" s="2536"/>
      <c r="I1" s="2536"/>
      <c r="J1" s="2536"/>
      <c r="K1" s="2536"/>
      <c r="L1" s="2536"/>
      <c r="M1" s="2536"/>
      <c r="N1" s="2536"/>
      <c r="O1" s="2536"/>
      <c r="P1" s="2536"/>
    </row>
    <row r="2" spans="1:16" ht="15.6">
      <c r="A2" s="1980" t="s">
        <v>2073</v>
      </c>
      <c r="B2" s="2381">
        <f ca="1">SUMIF(B6:B13,"&lt;&gt;#ref!",B6:B13)</f>
        <v>0</v>
      </c>
      <c r="C2" s="1980" t="s">
        <v>2074</v>
      </c>
      <c r="D2" s="1980" t="s">
        <v>2075</v>
      </c>
      <c r="E2" s="2391">
        <f ca="1">SUMIF(E6:E13,"&lt;&gt;#ref!",E6:E13)</f>
        <v>0</v>
      </c>
      <c r="F2" s="2536"/>
      <c r="G2" s="2536"/>
      <c r="H2" s="2536"/>
      <c r="I2" s="2536"/>
      <c r="J2" s="2536"/>
      <c r="K2" s="2536"/>
      <c r="L2" s="2536"/>
      <c r="M2" s="2536"/>
      <c r="N2" s="2536"/>
      <c r="O2" s="2536"/>
      <c r="P2" s="2536"/>
    </row>
    <row r="3" spans="1:16" ht="15.6">
      <c r="A3" s="1980" t="s">
        <v>2076</v>
      </c>
      <c r="B3" s="2381" t="e">
        <f ca="1">ROUND(B2*10000/E2,0)</f>
        <v>#DIV/0!</v>
      </c>
      <c r="C3" s="1980" t="s">
        <v>2082</v>
      </c>
      <c r="D3" s="2536"/>
      <c r="E3" s="2536"/>
      <c r="F3" s="2536"/>
      <c r="G3" s="2536"/>
      <c r="H3" s="2536"/>
      <c r="I3" s="2536"/>
      <c r="J3" s="2536"/>
      <c r="K3" s="2536"/>
      <c r="L3" s="2536"/>
      <c r="M3" s="2536"/>
      <c r="N3" s="2536"/>
      <c r="O3" s="2536"/>
      <c r="P3" s="2536"/>
    </row>
    <row r="4" spans="1:16" ht="15.6">
      <c r="A4" s="2548"/>
      <c r="B4" s="2536"/>
      <c r="C4" s="2536"/>
      <c r="D4" s="2536"/>
      <c r="E4" s="2536"/>
      <c r="F4" s="2536"/>
      <c r="G4" s="2536"/>
      <c r="H4" s="2536"/>
      <c r="I4" s="2536"/>
      <c r="J4" s="2536"/>
      <c r="K4" s="2536"/>
      <c r="L4" s="2536"/>
      <c r="M4" s="2536"/>
      <c r="N4" s="2536"/>
      <c r="O4" s="2536"/>
      <c r="P4" s="2536"/>
    </row>
    <row r="5" spans="1:16" ht="31.2">
      <c r="A5" s="2387" t="s">
        <v>2077</v>
      </c>
      <c r="B5" s="2389" t="s">
        <v>2078</v>
      </c>
      <c r="C5" s="1981"/>
      <c r="D5" s="2536"/>
      <c r="E5" s="2390" t="s">
        <v>2079</v>
      </c>
      <c r="F5" s="2536"/>
      <c r="G5" s="2536"/>
      <c r="H5" s="2536"/>
      <c r="I5" s="2536"/>
      <c r="J5" s="2536"/>
      <c r="K5" s="2536"/>
      <c r="L5" s="2536"/>
      <c r="M5" s="2536"/>
      <c r="N5" s="2536"/>
      <c r="O5" s="2536"/>
      <c r="P5" s="2536"/>
    </row>
    <row r="6" spans="1:16" ht="15.6">
      <c r="A6" s="2388" t="s">
        <v>2080</v>
      </c>
      <c r="B6" s="2381" t="e">
        <f ca="1">SUMIF(INDIRECT("'"&amp;A6&amp;"'"&amp;"!A:A"),"总价",INDIRECT("'"&amp;A6&amp;"'"&amp;"!B:B"))</f>
        <v>#REF!</v>
      </c>
      <c r="C6" s="1980" t="s">
        <v>2074</v>
      </c>
      <c r="D6" s="2536"/>
      <c r="E6" s="2391" t="e">
        <f ca="1">SUMIF(INDIRECT("'"&amp;A6&amp;"'"&amp;"!C:C"),"建筑面积",INDIRECT("'"&amp;A6&amp;"'"&amp;"!D:D"))</f>
        <v>#REF!</v>
      </c>
      <c r="F6" s="2536"/>
      <c r="G6" s="2536"/>
      <c r="H6" s="2536"/>
      <c r="I6" s="2536"/>
      <c r="J6" s="2536"/>
      <c r="K6" s="2536"/>
      <c r="L6" s="2536"/>
      <c r="M6" s="2536"/>
      <c r="N6" s="2536"/>
      <c r="O6" s="2536"/>
      <c r="P6" s="2536"/>
    </row>
    <row r="7" spans="1:16" ht="15.6">
      <c r="A7" s="2388"/>
      <c r="B7" s="2381" t="e">
        <f ca="1">SUMIF(INDIRECT("'"&amp;A7&amp;"'"&amp;"!A:A"),"总价",INDIRECT("'"&amp;A7&amp;"'"&amp;"!B:B"))</f>
        <v>#REF!</v>
      </c>
      <c r="C7" s="1980" t="s">
        <v>2074</v>
      </c>
      <c r="D7" s="2536"/>
      <c r="E7" s="2391" t="e">
        <f t="shared" ref="E7:E13" ca="1" si="0">SUMIF(INDIRECT("'"&amp;A7&amp;"'"&amp;"!C:C"),"建筑面积",INDIRECT("'"&amp;A7&amp;"'"&amp;"!D:D"))</f>
        <v>#REF!</v>
      </c>
      <c r="F7" s="2536"/>
      <c r="G7" s="2536"/>
      <c r="H7" s="2536"/>
      <c r="I7" s="2536"/>
      <c r="J7" s="2536"/>
      <c r="K7" s="2536"/>
      <c r="L7" s="2536"/>
      <c r="M7" s="2536"/>
      <c r="N7" s="2536"/>
      <c r="O7" s="2536"/>
      <c r="P7" s="2536"/>
    </row>
    <row r="8" spans="1:16" ht="15.6">
      <c r="A8" s="2388"/>
      <c r="B8" s="2381" t="e">
        <f t="shared" ref="B8:B13" ca="1" si="1">SUMIF(INDIRECT("'"&amp;A8&amp;"'"&amp;"!A:A"),"总价",INDIRECT("'"&amp;A8&amp;"'"&amp;"!B:B"))</f>
        <v>#REF!</v>
      </c>
      <c r="C8" s="1980" t="s">
        <v>2074</v>
      </c>
      <c r="D8" s="2536"/>
      <c r="E8" s="2391" t="e">
        <f t="shared" ca="1" si="0"/>
        <v>#REF!</v>
      </c>
      <c r="F8" s="2536"/>
      <c r="G8" s="2536"/>
      <c r="H8" s="2536"/>
      <c r="I8" s="2536"/>
      <c r="J8" s="2536"/>
      <c r="K8" s="2536"/>
      <c r="L8" s="2536"/>
      <c r="M8" s="2536"/>
      <c r="N8" s="2536"/>
      <c r="O8" s="2536"/>
      <c r="P8" s="2536"/>
    </row>
    <row r="9" spans="1:16" ht="15.6">
      <c r="A9" s="2388"/>
      <c r="B9" s="2381" t="e">
        <f t="shared" ca="1" si="1"/>
        <v>#REF!</v>
      </c>
      <c r="C9" s="1980" t="s">
        <v>2074</v>
      </c>
      <c r="D9" s="2536"/>
      <c r="E9" s="2391" t="e">
        <f t="shared" ca="1" si="0"/>
        <v>#REF!</v>
      </c>
      <c r="F9" s="2536"/>
      <c r="G9" s="2536"/>
      <c r="H9" s="2536"/>
      <c r="I9" s="2536"/>
      <c r="J9" s="2536"/>
      <c r="K9" s="2536"/>
      <c r="L9" s="2536"/>
      <c r="M9" s="2536"/>
      <c r="N9" s="2536"/>
      <c r="O9" s="2536"/>
      <c r="P9" s="2536"/>
    </row>
    <row r="10" spans="1:16" ht="15.6">
      <c r="A10" s="2388"/>
      <c r="B10" s="2381" t="e">
        <f t="shared" ca="1" si="1"/>
        <v>#REF!</v>
      </c>
      <c r="C10" s="1980" t="s">
        <v>2074</v>
      </c>
      <c r="D10" s="2536"/>
      <c r="E10" s="2391" t="e">
        <f t="shared" ca="1" si="0"/>
        <v>#REF!</v>
      </c>
      <c r="F10" s="2536"/>
      <c r="G10" s="2536"/>
      <c r="H10" s="2536"/>
      <c r="I10" s="2536"/>
      <c r="J10" s="2536"/>
      <c r="K10" s="2536"/>
      <c r="L10" s="2536"/>
      <c r="M10" s="2536"/>
      <c r="N10" s="2536"/>
      <c r="O10" s="2536"/>
      <c r="P10" s="2536"/>
    </row>
    <row r="11" spans="1:16" ht="15.6">
      <c r="A11" s="2388"/>
      <c r="B11" s="2381" t="e">
        <f t="shared" ca="1" si="1"/>
        <v>#REF!</v>
      </c>
      <c r="C11" s="1980" t="s">
        <v>2074</v>
      </c>
      <c r="D11" s="2536"/>
      <c r="E11" s="2391" t="e">
        <f t="shared" ca="1" si="0"/>
        <v>#REF!</v>
      </c>
      <c r="F11" s="2536"/>
      <c r="G11" s="2536"/>
      <c r="H11" s="2536"/>
      <c r="I11" s="2536"/>
      <c r="J11" s="2536"/>
      <c r="K11" s="2536"/>
      <c r="L11" s="2536"/>
      <c r="M11" s="2536"/>
      <c r="N11" s="2536"/>
      <c r="O11" s="2536"/>
      <c r="P11" s="2536"/>
    </row>
    <row r="12" spans="1:16" ht="15.6">
      <c r="A12" s="2388"/>
      <c r="B12" s="2381" t="e">
        <f t="shared" ca="1" si="1"/>
        <v>#REF!</v>
      </c>
      <c r="C12" s="1980" t="s">
        <v>2074</v>
      </c>
      <c r="D12" s="2536"/>
      <c r="E12" s="2391" t="e">
        <f t="shared" ca="1" si="0"/>
        <v>#REF!</v>
      </c>
      <c r="F12" s="2536"/>
      <c r="G12" s="2536"/>
      <c r="H12" s="2536"/>
      <c r="I12" s="2536"/>
      <c r="J12" s="2536"/>
      <c r="K12" s="2536"/>
      <c r="L12" s="2536"/>
      <c r="M12" s="2536"/>
      <c r="N12" s="2536"/>
      <c r="O12" s="2536"/>
      <c r="P12" s="2536"/>
    </row>
    <row r="13" spans="1:16" ht="15.6">
      <c r="A13" s="2388"/>
      <c r="B13" s="2381" t="e">
        <f t="shared" ca="1" si="1"/>
        <v>#REF!</v>
      </c>
      <c r="C13" s="1980" t="s">
        <v>2074</v>
      </c>
      <c r="D13" s="2536"/>
      <c r="E13" s="2391"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M49"/>
  <sheetViews>
    <sheetView topLeftCell="A10" zoomScale="90" zoomScaleNormal="90" workbookViewId="0">
      <selection activeCell="H35" sqref="H35:H48"/>
    </sheetView>
  </sheetViews>
  <sheetFormatPr defaultRowHeight="14.4"/>
  <cols>
    <col min="1" max="1" width="19.109375" customWidth="1"/>
    <col min="2" max="2" width="26" customWidth="1"/>
    <col min="5" max="5" width="8.109375" customWidth="1"/>
    <col min="6" max="6" width="7.44140625" style="3148" customWidth="1"/>
    <col min="8" max="8" width="11.44140625" customWidth="1"/>
    <col min="9" max="9" width="10.6640625" customWidth="1"/>
    <col min="10" max="10" width="13.33203125" customWidth="1"/>
    <col min="11" max="11" width="13.88671875" customWidth="1"/>
    <col min="12" max="12" width="14.44140625" customWidth="1"/>
    <col min="18" max="18" width="15.77734375" customWidth="1"/>
  </cols>
  <sheetData>
    <row r="1" spans="1:13">
      <c r="A1" s="1401" t="s">
        <v>3463</v>
      </c>
      <c r="B1" s="1401" t="s">
        <v>3472</v>
      </c>
    </row>
    <row r="2" spans="1:13">
      <c r="A2" s="1401" t="s">
        <v>3464</v>
      </c>
      <c r="B2" s="1401" t="s">
        <v>3473</v>
      </c>
      <c r="C2" s="1401"/>
      <c r="D2" s="1401"/>
      <c r="E2" s="1401"/>
      <c r="F2" s="3147"/>
      <c r="G2" s="1401"/>
      <c r="H2" s="1401"/>
      <c r="I2" s="3156">
        <v>56314</v>
      </c>
    </row>
    <row r="3" spans="1:13">
      <c r="A3" s="1401" t="s">
        <v>3465</v>
      </c>
      <c r="B3" s="1401" t="s">
        <v>3475</v>
      </c>
      <c r="C3" s="1401"/>
      <c r="D3" s="1401"/>
      <c r="E3" s="1401"/>
      <c r="F3" s="3147"/>
      <c r="G3" s="1401"/>
      <c r="H3" s="1401"/>
      <c r="I3" s="1401"/>
      <c r="L3" s="1401" t="s">
        <v>3470</v>
      </c>
    </row>
    <row r="4" spans="1:13">
      <c r="A4" s="1401" t="s">
        <v>3466</v>
      </c>
      <c r="B4" s="1401" t="s">
        <v>3474</v>
      </c>
      <c r="C4" s="1401"/>
      <c r="D4" s="1401"/>
      <c r="E4" s="1401"/>
      <c r="F4" s="3147"/>
      <c r="G4" s="1401"/>
      <c r="H4" s="1401"/>
      <c r="I4" s="1401"/>
      <c r="K4" s="1401" t="s">
        <v>3522</v>
      </c>
      <c r="L4">
        <f>SUM(H25:H34)</f>
        <v>7355.85</v>
      </c>
      <c r="M4" s="1401" t="s">
        <v>3518</v>
      </c>
    </row>
    <row r="5" spans="1:13">
      <c r="A5" s="1401" t="s">
        <v>3467</v>
      </c>
      <c r="B5" s="1401" t="s">
        <v>3476</v>
      </c>
      <c r="C5" s="1401"/>
      <c r="D5" s="1401"/>
      <c r="E5" s="1401"/>
      <c r="F5" s="3147"/>
      <c r="G5" s="1401"/>
      <c r="H5" s="1401"/>
      <c r="I5" s="1401"/>
      <c r="K5" s="1401" t="s">
        <v>3485</v>
      </c>
      <c r="L5">
        <f>H22</f>
        <v>1846.41</v>
      </c>
      <c r="M5" s="1401" t="s">
        <v>3519</v>
      </c>
    </row>
    <row r="6" spans="1:13">
      <c r="A6" s="3147" t="s">
        <v>3468</v>
      </c>
      <c r="B6" s="1401" t="s">
        <v>3477</v>
      </c>
      <c r="C6" s="1401"/>
      <c r="D6" s="1401"/>
      <c r="E6" s="1401"/>
      <c r="F6" s="3147"/>
      <c r="G6" s="1401"/>
      <c r="H6" s="1401"/>
      <c r="I6" s="1401"/>
      <c r="K6" s="1401" t="s">
        <v>3489</v>
      </c>
      <c r="L6">
        <f>SUM(H35:H48)</f>
        <v>33765.460000000006</v>
      </c>
      <c r="M6" s="1401" t="s">
        <v>3520</v>
      </c>
    </row>
    <row r="7" spans="1:13">
      <c r="A7" s="1401" t="s">
        <v>3469</v>
      </c>
      <c r="B7" s="1401" t="s">
        <v>3478</v>
      </c>
      <c r="C7" s="1401"/>
      <c r="D7" s="1401"/>
      <c r="E7" s="1401"/>
      <c r="F7" s="3147"/>
      <c r="G7" s="1401"/>
      <c r="H7" s="1401"/>
      <c r="I7" s="1401"/>
      <c r="K7" s="1401" t="s">
        <v>3483</v>
      </c>
      <c r="L7">
        <f>H18+H20+H23</f>
        <v>7827.03</v>
      </c>
    </row>
    <row r="8" spans="1:13">
      <c r="A8" s="1401" t="s">
        <v>3470</v>
      </c>
      <c r="B8" s="1401" t="s">
        <v>3479</v>
      </c>
      <c r="C8" s="1401"/>
      <c r="D8" s="1401"/>
      <c r="E8" s="1401"/>
      <c r="F8" s="3147"/>
      <c r="G8" s="1401"/>
      <c r="H8" s="1401"/>
      <c r="I8" s="1401"/>
      <c r="K8" s="1401" t="s">
        <v>3434</v>
      </c>
      <c r="L8">
        <f>H15+H16+H17+H19+H21+H24</f>
        <v>411.78000000000003</v>
      </c>
    </row>
    <row r="9" spans="1:13">
      <c r="A9" s="1401" t="s">
        <v>3471</v>
      </c>
      <c r="B9" s="1401" t="s">
        <v>3480</v>
      </c>
      <c r="C9" s="1401"/>
      <c r="D9" s="1401"/>
      <c r="E9" s="1401"/>
      <c r="F9" s="3147"/>
      <c r="G9" s="1401"/>
      <c r="H9" s="1401"/>
      <c r="I9" s="1401"/>
      <c r="K9" s="1401" t="s">
        <v>3462</v>
      </c>
      <c r="L9">
        <f>L4+L5+L6+L7+L8</f>
        <v>51206.530000000006</v>
      </c>
    </row>
    <row r="10" spans="1:13">
      <c r="M10" s="1401" t="s">
        <v>3587</v>
      </c>
    </row>
    <row r="11" spans="1:13">
      <c r="A11" s="1401" t="s">
        <v>3490</v>
      </c>
      <c r="B11">
        <v>6088.55</v>
      </c>
      <c r="K11" s="1401" t="s">
        <v>3586</v>
      </c>
      <c r="L11">
        <f>L4+L6</f>
        <v>41121.310000000005</v>
      </c>
      <c r="M11">
        <f>ROUND(L11/L9,2)</f>
        <v>0.8</v>
      </c>
    </row>
    <row r="12" spans="1:13">
      <c r="A12" s="1401" t="s">
        <v>3491</v>
      </c>
      <c r="B12" s="1401" t="s">
        <v>3492</v>
      </c>
      <c r="K12" s="1401" t="s">
        <v>3585</v>
      </c>
      <c r="L12">
        <f>L5+L7+L8</f>
        <v>10085.220000000001</v>
      </c>
      <c r="M12">
        <f>ROUND(L12/L9,2)</f>
        <v>0.2</v>
      </c>
    </row>
    <row r="14" spans="1:13" ht="28.8">
      <c r="A14" s="3149" t="s">
        <v>3412</v>
      </c>
      <c r="B14" s="3149" t="s">
        <v>3413</v>
      </c>
      <c r="C14" s="3149" t="s">
        <v>3414</v>
      </c>
      <c r="D14" s="3149" t="s">
        <v>3425</v>
      </c>
      <c r="E14" s="3149" t="s">
        <v>3416</v>
      </c>
      <c r="F14" s="3150" t="s">
        <v>3417</v>
      </c>
      <c r="G14" s="3149" t="s">
        <v>3424</v>
      </c>
      <c r="H14" s="3149" t="s">
        <v>3390</v>
      </c>
      <c r="I14" s="3149" t="s">
        <v>2541</v>
      </c>
      <c r="J14" s="3149" t="s">
        <v>3415</v>
      </c>
      <c r="K14" s="3149" t="s">
        <v>3422</v>
      </c>
      <c r="L14" s="3149" t="s">
        <v>3418</v>
      </c>
    </row>
    <row r="15" spans="1:13" ht="28.8">
      <c r="A15" s="3596" t="s">
        <v>3419</v>
      </c>
      <c r="B15" s="3149" t="s">
        <v>3459</v>
      </c>
      <c r="C15" s="3149" t="s">
        <v>3420</v>
      </c>
      <c r="D15" s="3149" t="s">
        <v>3426</v>
      </c>
      <c r="E15" s="3149" t="s">
        <v>3430</v>
      </c>
      <c r="F15" s="3150" t="s">
        <v>3431</v>
      </c>
      <c r="G15" s="3149">
        <v>-302</v>
      </c>
      <c r="H15" s="3151">
        <v>74.58</v>
      </c>
      <c r="I15" s="3149" t="s">
        <v>3421</v>
      </c>
      <c r="J15" s="3152">
        <v>56314</v>
      </c>
      <c r="K15" s="3149" t="s">
        <v>3423</v>
      </c>
      <c r="L15" s="3152">
        <v>39191</v>
      </c>
    </row>
    <row r="16" spans="1:13">
      <c r="A16" s="3596"/>
      <c r="B16" s="3597" t="s">
        <v>3460</v>
      </c>
      <c r="C16" s="3151"/>
      <c r="D16" s="3596" t="s">
        <v>3427</v>
      </c>
      <c r="E16" s="3596" t="s">
        <v>3432</v>
      </c>
      <c r="F16" s="3150" t="s">
        <v>3431</v>
      </c>
      <c r="G16" s="3151">
        <v>-302</v>
      </c>
      <c r="H16" s="3151">
        <v>57.05</v>
      </c>
      <c r="I16" s="3149" t="s">
        <v>3421</v>
      </c>
      <c r="J16" s="3151"/>
      <c r="K16" s="3151"/>
      <c r="L16" s="3151"/>
    </row>
    <row r="17" spans="1:12">
      <c r="A17" s="3596"/>
      <c r="B17" s="3597"/>
      <c r="C17" s="3151"/>
      <c r="D17" s="3596"/>
      <c r="E17" s="3596"/>
      <c r="F17" s="3150" t="s">
        <v>3433</v>
      </c>
      <c r="G17" s="3151">
        <v>-202</v>
      </c>
      <c r="H17" s="3151">
        <v>192.48</v>
      </c>
      <c r="I17" s="3149" t="s">
        <v>3421</v>
      </c>
      <c r="J17" s="3151"/>
      <c r="K17" s="3151"/>
      <c r="L17" s="3151"/>
    </row>
    <row r="18" spans="1:12">
      <c r="A18" s="3596"/>
      <c r="B18" s="3597" t="s">
        <v>3461</v>
      </c>
      <c r="C18" s="3151"/>
      <c r="D18" s="3596" t="s">
        <v>3428</v>
      </c>
      <c r="E18" s="3596" t="s">
        <v>3432</v>
      </c>
      <c r="F18" s="3150" t="s">
        <v>3431</v>
      </c>
      <c r="G18" s="3151">
        <v>-301</v>
      </c>
      <c r="H18" s="3151">
        <v>6281.69</v>
      </c>
      <c r="I18" s="3149" t="s">
        <v>3429</v>
      </c>
      <c r="J18" s="3151"/>
      <c r="K18" s="3151"/>
      <c r="L18" s="3151"/>
    </row>
    <row r="19" spans="1:12">
      <c r="A19" s="3596"/>
      <c r="B19" s="3598"/>
      <c r="C19" s="3151"/>
      <c r="D19" s="3596"/>
      <c r="E19" s="3596"/>
      <c r="F19" s="3150" t="s">
        <v>3431</v>
      </c>
      <c r="G19" s="3151">
        <v>-302</v>
      </c>
      <c r="H19" s="3151">
        <v>16.96</v>
      </c>
      <c r="I19" s="3149" t="s">
        <v>3434</v>
      </c>
      <c r="J19" s="3151"/>
      <c r="K19" s="3151"/>
      <c r="L19" s="3151"/>
    </row>
    <row r="20" spans="1:12">
      <c r="A20" s="3596"/>
      <c r="B20" s="3598"/>
      <c r="C20" s="3151"/>
      <c r="D20" s="3596"/>
      <c r="E20" s="3596"/>
      <c r="F20" s="3150" t="s">
        <v>3433</v>
      </c>
      <c r="G20" s="3151">
        <v>-201</v>
      </c>
      <c r="H20" s="3151">
        <v>1235.9100000000001</v>
      </c>
      <c r="I20" s="3149" t="s">
        <v>3429</v>
      </c>
      <c r="J20" s="3151"/>
      <c r="K20" s="3151"/>
      <c r="L20" s="3151"/>
    </row>
    <row r="21" spans="1:12">
      <c r="A21" s="3596"/>
      <c r="B21" s="3598"/>
      <c r="C21" s="3151"/>
      <c r="D21" s="3596"/>
      <c r="E21" s="3596"/>
      <c r="F21" s="3150" t="s">
        <v>3433</v>
      </c>
      <c r="G21" s="3151">
        <v>-202</v>
      </c>
      <c r="H21" s="3151">
        <v>56.8</v>
      </c>
      <c r="I21" s="3149" t="s">
        <v>3434</v>
      </c>
      <c r="J21" s="3151"/>
      <c r="K21" s="3151"/>
      <c r="L21" s="3151"/>
    </row>
    <row r="22" spans="1:12">
      <c r="A22" s="3596"/>
      <c r="B22" s="3598"/>
      <c r="C22" s="3151"/>
      <c r="D22" s="3596"/>
      <c r="E22" s="3596"/>
      <c r="F22" s="3150" t="s">
        <v>3433</v>
      </c>
      <c r="G22" s="3151">
        <v>-203</v>
      </c>
      <c r="H22" s="3151">
        <v>1846.41</v>
      </c>
      <c r="I22" s="3149" t="s">
        <v>3439</v>
      </c>
      <c r="J22" s="3151"/>
      <c r="K22" s="3151"/>
      <c r="L22" s="3151"/>
    </row>
    <row r="23" spans="1:12">
      <c r="A23" s="3596"/>
      <c r="B23" s="3598"/>
      <c r="C23" s="3151"/>
      <c r="D23" s="3596"/>
      <c r="E23" s="3596"/>
      <c r="F23" s="3150" t="s">
        <v>3435</v>
      </c>
      <c r="G23" s="3151">
        <v>-101</v>
      </c>
      <c r="H23" s="3151">
        <v>309.43</v>
      </c>
      <c r="I23" s="3149" t="s">
        <v>3429</v>
      </c>
      <c r="J23" s="3151"/>
      <c r="K23" s="3151"/>
      <c r="L23" s="3151"/>
    </row>
    <row r="24" spans="1:12">
      <c r="A24" s="3596"/>
      <c r="B24" s="3598"/>
      <c r="C24" s="3151"/>
      <c r="D24" s="3596"/>
      <c r="E24" s="3596"/>
      <c r="F24" s="3150" t="s">
        <v>3435</v>
      </c>
      <c r="G24" s="3151">
        <v>-102</v>
      </c>
      <c r="H24" s="3151">
        <v>13.91</v>
      </c>
      <c r="I24" s="3149" t="s">
        <v>3434</v>
      </c>
      <c r="J24" s="3151"/>
      <c r="K24" s="3151"/>
      <c r="L24" s="3151"/>
    </row>
    <row r="25" spans="1:12">
      <c r="A25" s="3596"/>
      <c r="B25" s="3598"/>
      <c r="C25" s="3151"/>
      <c r="D25" s="3596"/>
      <c r="E25" s="3596"/>
      <c r="F25" s="3150" t="s">
        <v>3436</v>
      </c>
      <c r="G25" s="3151">
        <v>101</v>
      </c>
      <c r="H25" s="3151">
        <v>375.24</v>
      </c>
      <c r="I25" s="3149" t="s">
        <v>3440</v>
      </c>
      <c r="J25" s="3151"/>
      <c r="K25" s="3151"/>
      <c r="L25" s="3151"/>
    </row>
    <row r="26" spans="1:12">
      <c r="A26" s="3596"/>
      <c r="B26" s="3598"/>
      <c r="C26" s="3151"/>
      <c r="D26" s="3596"/>
      <c r="E26" s="3596"/>
      <c r="F26" s="3150" t="s">
        <v>3436</v>
      </c>
      <c r="G26" s="3151">
        <v>102</v>
      </c>
      <c r="H26" s="3151">
        <v>1545.63</v>
      </c>
      <c r="I26" s="3149" t="s">
        <v>3441</v>
      </c>
      <c r="J26" s="3151"/>
      <c r="K26" s="3151"/>
      <c r="L26" s="3151"/>
    </row>
    <row r="27" spans="1:12">
      <c r="A27" s="3596"/>
      <c r="B27" s="3598"/>
      <c r="C27" s="3151"/>
      <c r="D27" s="3596"/>
      <c r="E27" s="3596"/>
      <c r="F27" s="3150" t="s">
        <v>3437</v>
      </c>
      <c r="G27" s="3151">
        <v>201</v>
      </c>
      <c r="H27" s="3151">
        <v>338.11</v>
      </c>
      <c r="I27" s="3149" t="s">
        <v>3442</v>
      </c>
      <c r="J27" s="3151"/>
      <c r="K27" s="3151"/>
      <c r="L27" s="3151"/>
    </row>
    <row r="28" spans="1:12">
      <c r="A28" s="3596"/>
      <c r="B28" s="3598"/>
      <c r="C28" s="3151"/>
      <c r="D28" s="3596"/>
      <c r="E28" s="3596"/>
      <c r="F28" s="3150" t="s">
        <v>3437</v>
      </c>
      <c r="G28" s="3151">
        <v>202</v>
      </c>
      <c r="H28" s="3151">
        <v>437.81</v>
      </c>
      <c r="I28" s="3149" t="s">
        <v>3443</v>
      </c>
      <c r="J28" s="3151"/>
      <c r="K28" s="3151"/>
      <c r="L28" s="3151"/>
    </row>
    <row r="29" spans="1:12">
      <c r="A29" s="3596"/>
      <c r="B29" s="3598"/>
      <c r="C29" s="3151"/>
      <c r="D29" s="3596"/>
      <c r="E29" s="3596"/>
      <c r="F29" s="3150" t="s">
        <v>3437</v>
      </c>
      <c r="G29" s="3151">
        <v>203</v>
      </c>
      <c r="H29" s="3151">
        <v>544.19000000000005</v>
      </c>
      <c r="I29" s="3149" t="s">
        <v>3439</v>
      </c>
      <c r="J29" s="3151"/>
      <c r="K29" s="3151"/>
      <c r="L29" s="3151"/>
    </row>
    <row r="30" spans="1:12">
      <c r="A30" s="3596"/>
      <c r="B30" s="3598"/>
      <c r="C30" s="3151"/>
      <c r="D30" s="3596"/>
      <c r="E30" s="3596"/>
      <c r="F30" s="3150" t="s">
        <v>3437</v>
      </c>
      <c r="G30" s="3151">
        <v>204</v>
      </c>
      <c r="H30" s="3151">
        <v>1245.76</v>
      </c>
      <c r="I30" s="3149" t="s">
        <v>3441</v>
      </c>
      <c r="J30" s="3151"/>
      <c r="K30" s="3151"/>
      <c r="L30" s="3151"/>
    </row>
    <row r="31" spans="1:12">
      <c r="A31" s="3596"/>
      <c r="B31" s="3598"/>
      <c r="C31" s="3151"/>
      <c r="D31" s="3596"/>
      <c r="E31" s="3596"/>
      <c r="F31" s="3150" t="s">
        <v>3438</v>
      </c>
      <c r="G31" s="3151">
        <v>301</v>
      </c>
      <c r="H31" s="3151">
        <v>429.86</v>
      </c>
      <c r="I31" s="3149" t="s">
        <v>3442</v>
      </c>
      <c r="J31" s="3151"/>
      <c r="K31" s="3151"/>
      <c r="L31" s="3151"/>
    </row>
    <row r="32" spans="1:12">
      <c r="A32" s="3596"/>
      <c r="B32" s="3598"/>
      <c r="C32" s="3151"/>
      <c r="D32" s="3596"/>
      <c r="E32" s="3596"/>
      <c r="F32" s="3150" t="s">
        <v>3438</v>
      </c>
      <c r="G32" s="3151">
        <v>302</v>
      </c>
      <c r="H32" s="3151">
        <v>503.72</v>
      </c>
      <c r="I32" s="3149" t="s">
        <v>3443</v>
      </c>
      <c r="J32" s="3151"/>
      <c r="K32" s="3151"/>
      <c r="L32" s="3151"/>
    </row>
    <row r="33" spans="1:12">
      <c r="A33" s="3596"/>
      <c r="B33" s="3598"/>
      <c r="C33" s="3151"/>
      <c r="D33" s="3596"/>
      <c r="E33" s="3596"/>
      <c r="F33" s="3150" t="s">
        <v>3438</v>
      </c>
      <c r="G33" s="3151">
        <v>303</v>
      </c>
      <c r="H33" s="3151">
        <v>541.92999999999995</v>
      </c>
      <c r="I33" s="3149" t="s">
        <v>3439</v>
      </c>
      <c r="J33" s="3151"/>
      <c r="K33" s="3151"/>
      <c r="L33" s="3151"/>
    </row>
    <row r="34" spans="1:12">
      <c r="A34" s="3596"/>
      <c r="B34" s="3598"/>
      <c r="C34" s="3151"/>
      <c r="D34" s="3596"/>
      <c r="E34" s="3596"/>
      <c r="F34" s="3150" t="s">
        <v>3438</v>
      </c>
      <c r="G34" s="3151">
        <v>304</v>
      </c>
      <c r="H34" s="3151">
        <v>1393.6</v>
      </c>
      <c r="I34" s="3149" t="s">
        <v>3441</v>
      </c>
      <c r="J34" s="3151"/>
      <c r="K34" s="3151"/>
      <c r="L34" s="3151"/>
    </row>
    <row r="35" spans="1:12">
      <c r="A35" s="3596"/>
      <c r="B35" s="3598"/>
      <c r="C35" s="3151"/>
      <c r="D35" s="3596"/>
      <c r="E35" s="3596"/>
      <c r="F35" s="3150" t="s">
        <v>3444</v>
      </c>
      <c r="G35" s="3151">
        <v>401</v>
      </c>
      <c r="H35" s="3151">
        <v>2404.88</v>
      </c>
      <c r="I35" s="3149" t="s">
        <v>3453</v>
      </c>
      <c r="J35" s="3151"/>
      <c r="K35" s="3151"/>
      <c r="L35" s="3151"/>
    </row>
    <row r="36" spans="1:12">
      <c r="A36" s="3596"/>
      <c r="B36" s="3598"/>
      <c r="C36" s="3151"/>
      <c r="D36" s="3596"/>
      <c r="E36" s="3596"/>
      <c r="F36" s="3150" t="s">
        <v>3445</v>
      </c>
      <c r="G36" s="3151">
        <v>501</v>
      </c>
      <c r="H36" s="3151">
        <v>2429.11</v>
      </c>
      <c r="I36" s="3149" t="s">
        <v>3453</v>
      </c>
      <c r="J36" s="3151"/>
      <c r="K36" s="3151"/>
      <c r="L36" s="3151"/>
    </row>
    <row r="37" spans="1:12">
      <c r="A37" s="3596"/>
      <c r="B37" s="3598"/>
      <c r="C37" s="3151"/>
      <c r="D37" s="3596"/>
      <c r="E37" s="3596"/>
      <c r="F37" s="3150" t="s">
        <v>3446</v>
      </c>
      <c r="G37" s="3151">
        <v>601</v>
      </c>
      <c r="H37" s="3151">
        <v>2429.11</v>
      </c>
      <c r="I37" s="3149" t="s">
        <v>3453</v>
      </c>
      <c r="J37" s="3151"/>
      <c r="K37" s="3151"/>
      <c r="L37" s="3151"/>
    </row>
    <row r="38" spans="1:12">
      <c r="A38" s="3596"/>
      <c r="B38" s="3598"/>
      <c r="C38" s="3151"/>
      <c r="D38" s="3596"/>
      <c r="E38" s="3596"/>
      <c r="F38" s="3150" t="s">
        <v>3447</v>
      </c>
      <c r="G38" s="3151">
        <v>701</v>
      </c>
      <c r="H38" s="3151">
        <v>2429.11</v>
      </c>
      <c r="I38" s="3149" t="s">
        <v>3453</v>
      </c>
      <c r="J38" s="3151"/>
      <c r="K38" s="3151"/>
      <c r="L38" s="3151"/>
    </row>
    <row r="39" spans="1:12">
      <c r="A39" s="3596"/>
      <c r="B39" s="3598"/>
      <c r="C39" s="3151"/>
      <c r="D39" s="3596"/>
      <c r="E39" s="3596"/>
      <c r="F39" s="3150" t="s">
        <v>3448</v>
      </c>
      <c r="G39" s="3151">
        <v>801</v>
      </c>
      <c r="H39" s="3151">
        <v>2429.11</v>
      </c>
      <c r="I39" s="3149" t="s">
        <v>3453</v>
      </c>
      <c r="J39" s="3151"/>
      <c r="K39" s="3151"/>
      <c r="L39" s="3151"/>
    </row>
    <row r="40" spans="1:12">
      <c r="A40" s="3596"/>
      <c r="B40" s="3598"/>
      <c r="C40" s="3151"/>
      <c r="D40" s="3596"/>
      <c r="E40" s="3596"/>
      <c r="F40" s="3150" t="s">
        <v>3449</v>
      </c>
      <c r="G40" s="3151">
        <v>901</v>
      </c>
      <c r="H40" s="3151">
        <v>2429.11</v>
      </c>
      <c r="I40" s="3149" t="s">
        <v>3453</v>
      </c>
      <c r="J40" s="3151"/>
      <c r="K40" s="3151"/>
      <c r="L40" s="3151"/>
    </row>
    <row r="41" spans="1:12">
      <c r="A41" s="3596"/>
      <c r="B41" s="3598"/>
      <c r="C41" s="3151"/>
      <c r="D41" s="3596"/>
      <c r="E41" s="3596"/>
      <c r="F41" s="3150" t="s">
        <v>3450</v>
      </c>
      <c r="G41" s="3151">
        <v>1001</v>
      </c>
      <c r="H41" s="3151">
        <v>2429.11</v>
      </c>
      <c r="I41" s="3149" t="s">
        <v>3453</v>
      </c>
      <c r="J41" s="3151"/>
      <c r="K41" s="3151"/>
      <c r="L41" s="3151"/>
    </row>
    <row r="42" spans="1:12">
      <c r="A42" s="3596"/>
      <c r="B42" s="3598"/>
      <c r="C42" s="3151"/>
      <c r="D42" s="3596"/>
      <c r="E42" s="3596"/>
      <c r="F42" s="3150" t="s">
        <v>3451</v>
      </c>
      <c r="G42" s="3151">
        <v>1101</v>
      </c>
      <c r="H42" s="3151">
        <v>2429.11</v>
      </c>
      <c r="I42" s="3149" t="s">
        <v>3453</v>
      </c>
      <c r="J42" s="3151"/>
      <c r="K42" s="3151"/>
      <c r="L42" s="3151"/>
    </row>
    <row r="43" spans="1:12">
      <c r="A43" s="3596"/>
      <c r="B43" s="3598"/>
      <c r="C43" s="3151"/>
      <c r="D43" s="3596"/>
      <c r="E43" s="3596"/>
      <c r="F43" s="3150" t="s">
        <v>3452</v>
      </c>
      <c r="G43" s="3151">
        <v>1201</v>
      </c>
      <c r="H43" s="3151">
        <v>2429.11</v>
      </c>
      <c r="I43" s="3149" t="s">
        <v>3453</v>
      </c>
      <c r="J43" s="3151"/>
      <c r="K43" s="3151"/>
      <c r="L43" s="3151"/>
    </row>
    <row r="44" spans="1:12">
      <c r="A44" s="3596"/>
      <c r="B44" s="3598"/>
      <c r="C44" s="3151"/>
      <c r="D44" s="3596"/>
      <c r="E44" s="3596"/>
      <c r="F44" s="3150" t="s">
        <v>3454</v>
      </c>
      <c r="G44" s="3151">
        <v>1401</v>
      </c>
      <c r="H44" s="3151">
        <v>2429.11</v>
      </c>
      <c r="I44" s="3149" t="s">
        <v>3453</v>
      </c>
      <c r="J44" s="3151"/>
      <c r="K44" s="3151"/>
      <c r="L44" s="3151"/>
    </row>
    <row r="45" spans="1:12">
      <c r="A45" s="3596"/>
      <c r="B45" s="3598"/>
      <c r="C45" s="3151"/>
      <c r="D45" s="3596"/>
      <c r="E45" s="3596"/>
      <c r="F45" s="3150" t="s">
        <v>3455</v>
      </c>
      <c r="G45" s="3151">
        <v>1601</v>
      </c>
      <c r="H45" s="3151">
        <v>2376.2199999999998</v>
      </c>
      <c r="I45" s="3149" t="s">
        <v>3453</v>
      </c>
      <c r="J45" s="3151"/>
      <c r="K45" s="3151"/>
      <c r="L45" s="3151"/>
    </row>
    <row r="46" spans="1:12">
      <c r="A46" s="3596"/>
      <c r="B46" s="3598"/>
      <c r="C46" s="3151"/>
      <c r="D46" s="3596"/>
      <c r="E46" s="3596"/>
      <c r="F46" s="3150" t="s">
        <v>3456</v>
      </c>
      <c r="G46" s="3151">
        <v>1801</v>
      </c>
      <c r="H46" s="3151">
        <v>2457.92</v>
      </c>
      <c r="I46" s="3149" t="s">
        <v>3453</v>
      </c>
      <c r="J46" s="3151"/>
      <c r="K46" s="3151"/>
      <c r="L46" s="3151"/>
    </row>
    <row r="47" spans="1:12">
      <c r="A47" s="3596"/>
      <c r="B47" s="3598"/>
      <c r="C47" s="3151"/>
      <c r="D47" s="3596"/>
      <c r="E47" s="3596"/>
      <c r="F47" s="3150" t="s">
        <v>3457</v>
      </c>
      <c r="G47" s="3151">
        <v>1901</v>
      </c>
      <c r="H47" s="3151">
        <v>2355.2199999999998</v>
      </c>
      <c r="I47" s="3149" t="s">
        <v>3453</v>
      </c>
      <c r="J47" s="3151"/>
      <c r="K47" s="3151"/>
      <c r="L47" s="3151"/>
    </row>
    <row r="48" spans="1:12">
      <c r="A48" s="3596"/>
      <c r="B48" s="3598"/>
      <c r="C48" s="3151"/>
      <c r="D48" s="3596"/>
      <c r="E48" s="3596"/>
      <c r="F48" s="3150" t="s">
        <v>3458</v>
      </c>
      <c r="G48" s="3151">
        <v>2001</v>
      </c>
      <c r="H48" s="3151">
        <v>2309.23</v>
      </c>
      <c r="I48" s="3149" t="s">
        <v>3453</v>
      </c>
      <c r="J48" s="3151"/>
      <c r="K48" s="3151"/>
      <c r="L48" s="3151"/>
    </row>
    <row r="49" spans="1:12">
      <c r="A49" s="3153"/>
      <c r="B49" s="3153"/>
      <c r="C49" s="3153"/>
      <c r="D49" s="3154" t="s">
        <v>3462</v>
      </c>
      <c r="E49" s="3153"/>
      <c r="F49" s="3155"/>
      <c r="G49" s="3153"/>
      <c r="H49" s="3153">
        <f>SUM(H15:H48)</f>
        <v>51206.530000000006</v>
      </c>
      <c r="I49" s="3153"/>
      <c r="J49" s="3153"/>
      <c r="K49" s="3153"/>
      <c r="L49" s="3153"/>
    </row>
  </sheetData>
  <mergeCells count="7">
    <mergeCell ref="A15:A48"/>
    <mergeCell ref="E18:E48"/>
    <mergeCell ref="D18:D48"/>
    <mergeCell ref="B16:B17"/>
    <mergeCell ref="D16:D17"/>
    <mergeCell ref="E16:E17"/>
    <mergeCell ref="B18:B48"/>
  </mergeCells>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908</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7.399999999999999">
      <c r="A3" s="3306" t="str">
        <f>IF(项目基本情况!B9="房地产市场价值","估价结果一览表（市场价值不需“结果表-1”）","估价结果一览表")</f>
        <v>估价结果一览表</v>
      </c>
      <c r="B3" s="3306"/>
      <c r="C3" s="3306"/>
      <c r="D3" s="3306"/>
      <c r="E3" s="3306"/>
    </row>
    <row r="4" spans="1:5" ht="18" thickBot="1">
      <c r="A4" s="1387"/>
      <c r="B4" s="3304" t="s">
        <v>917</v>
      </c>
      <c r="C4" s="3304"/>
      <c r="D4" s="3304"/>
      <c r="E4" s="1387"/>
    </row>
    <row r="5" spans="1:5" ht="16.2" thickTop="1">
      <c r="B5" s="3302" t="s">
        <v>909</v>
      </c>
      <c r="C5" s="1388" t="s">
        <v>910</v>
      </c>
      <c r="D5" s="794">
        <f ca="1">结果表!H101</f>
        <v>330646</v>
      </c>
    </row>
    <row r="6" spans="1:5" ht="15.6">
      <c r="B6" s="3302"/>
      <c r="C6" s="1388" t="s">
        <v>911</v>
      </c>
      <c r="D6" s="794" t="str">
        <f ca="1">NUMBERSTRING(INT(D5*10000),2)&amp;"元整"</f>
        <v>叁拾叁亿零陆佰肆拾陆万元整</v>
      </c>
    </row>
    <row r="7" spans="1:5" ht="15.6">
      <c r="B7" s="3307"/>
      <c r="C7" s="1389" t="s">
        <v>912</v>
      </c>
      <c r="D7" s="795">
        <f ca="1">结果表!H102</f>
        <v>64571</v>
      </c>
    </row>
    <row r="8" spans="1:5" ht="15.6">
      <c r="B8" s="3308" t="str">
        <f>结果表!E103</f>
        <v>2.估价师知悉的法定优先受偿款</v>
      </c>
      <c r="C8" s="1390" t="s">
        <v>913</v>
      </c>
      <c r="D8" s="795">
        <f>结果表!H103</f>
        <v>0</v>
      </c>
    </row>
    <row r="9" spans="1:5" ht="15.6">
      <c r="B9" s="3310"/>
      <c r="C9" s="1388" t="s">
        <v>911</v>
      </c>
      <c r="D9" s="794" t="str">
        <f>NUMBERSTRING(INT(D8*10000),2)&amp;"元整"</f>
        <v>零元整</v>
      </c>
    </row>
    <row r="10" spans="1:5" ht="15.6">
      <c r="B10" s="1391" t="s">
        <v>916</v>
      </c>
      <c r="C10" s="1392" t="s">
        <v>914</v>
      </c>
      <c r="D10" s="796">
        <f>结果表!H104</f>
        <v>0</v>
      </c>
    </row>
    <row r="11" spans="1:5" ht="15.6">
      <c r="B11" s="1391" t="s">
        <v>918</v>
      </c>
      <c r="C11" s="1392" t="s">
        <v>919</v>
      </c>
      <c r="D11" s="796">
        <f>结果表!H105</f>
        <v>0</v>
      </c>
    </row>
    <row r="12" spans="1:5" ht="15.6">
      <c r="B12" s="1391" t="s">
        <v>920</v>
      </c>
      <c r="C12" s="1392" t="s">
        <v>919</v>
      </c>
      <c r="D12" s="796">
        <f>结果表!H106</f>
        <v>0</v>
      </c>
    </row>
    <row r="13" spans="1:5" ht="15.6">
      <c r="B13" s="3301" t="str">
        <f>结果表!E107</f>
        <v>3.房地产抵押价值</v>
      </c>
      <c r="C13" s="1393" t="s">
        <v>910</v>
      </c>
      <c r="D13" s="797">
        <f ca="1">结果表!H107</f>
        <v>330646</v>
      </c>
    </row>
    <row r="14" spans="1:5" ht="15.6">
      <c r="B14" s="3302"/>
      <c r="C14" s="1388" t="s">
        <v>911</v>
      </c>
      <c r="D14" s="794" t="str">
        <f ca="1">NUMBERSTRING(INT(D13*10000),2)&amp;"元整"</f>
        <v>叁拾叁亿零陆佰肆拾陆万元整</v>
      </c>
    </row>
    <row r="15" spans="1:5" ht="15.6">
      <c r="B15" s="3307"/>
      <c r="C15" s="1389" t="s">
        <v>921</v>
      </c>
      <c r="D15" s="803">
        <f ca="1">结果表!H108</f>
        <v>64571</v>
      </c>
    </row>
    <row r="16" spans="1:5" ht="15.6">
      <c r="B16" s="3308" t="str">
        <f>结果表!E109</f>
        <v>——</v>
      </c>
      <c r="C16" s="1393" t="s">
        <v>922</v>
      </c>
      <c r="D16" s="1394" t="str">
        <f>结果表!H109</f>
        <v>——</v>
      </c>
    </row>
    <row r="17" spans="1:5" ht="15.6">
      <c r="B17" s="3309"/>
      <c r="C17" s="1388" t="s">
        <v>923</v>
      </c>
      <c r="D17" s="794" t="e">
        <f>NUMBERSTRING(INT(D16*10000),2)&amp;"元整"</f>
        <v>#VALUE!</v>
      </c>
    </row>
    <row r="18" spans="1:5" ht="15.6">
      <c r="B18" s="3310"/>
      <c r="C18" s="1389" t="s">
        <v>912</v>
      </c>
      <c r="D18" s="803" t="str">
        <f>结果表!H110</f>
        <v>——</v>
      </c>
    </row>
    <row r="19" spans="1:5" ht="15.6">
      <c r="B19" s="3301" t="str">
        <f>结果表!E111</f>
        <v>4.抵押净值</v>
      </c>
      <c r="C19" s="1393" t="s">
        <v>910</v>
      </c>
      <c r="D19" s="795">
        <f ca="1">结果表!H111</f>
        <v>125701</v>
      </c>
    </row>
    <row r="20" spans="1:5" ht="31.2">
      <c r="B20" s="3302"/>
      <c r="C20" s="1388" t="s">
        <v>923</v>
      </c>
      <c r="D20" s="794" t="str">
        <f ca="1">NUMBERSTRING(INT(D19*10000),2)&amp;"元整"</f>
        <v>壹拾贰亿伍仟柒佰零壹万元整</v>
      </c>
    </row>
    <row r="21" spans="1:5" ht="16.2" thickBot="1">
      <c r="B21" s="3303"/>
      <c r="C21" s="1395" t="s">
        <v>921</v>
      </c>
      <c r="D21" s="804">
        <f ca="1">结果表!H112</f>
        <v>24548</v>
      </c>
    </row>
    <row r="22" spans="1:5" ht="14.4" thickTop="1">
      <c r="B22" s="1396" t="s">
        <v>924</v>
      </c>
    </row>
    <row r="24" spans="1:5" ht="17.399999999999999">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topLeftCell="D1" workbookViewId="0">
      <selection activeCell="I134" sqref="I134"/>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Q32"/>
  <sheetViews>
    <sheetView zoomScale="90" zoomScaleNormal="90" workbookViewId="0">
      <selection activeCell="O5" sqref="O5"/>
    </sheetView>
  </sheetViews>
  <sheetFormatPr defaultRowHeight="31.95" customHeight="1"/>
  <cols>
    <col min="1" max="1" width="17.21875" customWidth="1"/>
    <col min="2" max="2" width="15.109375" customWidth="1"/>
    <col min="3" max="3" width="13.33203125" customWidth="1"/>
    <col min="4" max="4" width="16.109375" customWidth="1"/>
    <col min="5" max="5" width="14.44140625" customWidth="1"/>
    <col min="6" max="6" width="18.21875" customWidth="1"/>
    <col min="7" max="7" width="13" customWidth="1"/>
    <col min="8" max="8" width="14.88671875" customWidth="1"/>
    <col min="11" max="11" width="3" customWidth="1"/>
    <col min="12" max="12" width="12.6640625" customWidth="1"/>
    <col min="13" max="13" width="15.33203125" customWidth="1"/>
    <col min="14" max="14" width="19.44140625" customWidth="1"/>
    <col min="15" max="15" width="11.6640625" bestFit="1" customWidth="1"/>
  </cols>
  <sheetData>
    <row r="1" spans="1:17" ht="27" customHeight="1">
      <c r="A1" s="3599" t="s">
        <v>3862</v>
      </c>
      <c r="B1" s="3600"/>
      <c r="C1" s="3601"/>
      <c r="D1" s="3600"/>
      <c r="E1" s="3600"/>
      <c r="F1" s="3600"/>
      <c r="G1" s="3600"/>
      <c r="H1" s="3600"/>
    </row>
    <row r="2" spans="1:17" ht="52.2" customHeight="1">
      <c r="A2" s="3602" t="s">
        <v>3863</v>
      </c>
      <c r="B2" s="3602"/>
      <c r="C2" s="3602"/>
      <c r="D2" s="3602"/>
      <c r="E2" s="3602"/>
      <c r="F2" s="3602"/>
      <c r="G2" s="3602"/>
      <c r="H2" s="3602"/>
      <c r="L2" s="3284"/>
      <c r="M2" s="3285" t="s">
        <v>3390</v>
      </c>
      <c r="N2" s="3285" t="s">
        <v>654</v>
      </c>
      <c r="O2" s="3285" t="s">
        <v>3901</v>
      </c>
    </row>
    <row r="3" spans="1:17" ht="31.95" customHeight="1">
      <c r="A3" s="3253" t="s">
        <v>3788</v>
      </c>
      <c r="B3" s="3253" t="s">
        <v>3864</v>
      </c>
      <c r="C3" s="3254" t="s">
        <v>3865</v>
      </c>
      <c r="D3" s="3254" t="s">
        <v>3866</v>
      </c>
      <c r="E3" s="3254" t="s">
        <v>3867</v>
      </c>
      <c r="F3" s="3254" t="s">
        <v>3868</v>
      </c>
      <c r="G3" s="3254" t="s">
        <v>3869</v>
      </c>
      <c r="H3" s="3253" t="s">
        <v>3870</v>
      </c>
      <c r="I3" s="3278" t="s">
        <v>3901</v>
      </c>
      <c r="L3" s="3285" t="s">
        <v>3903</v>
      </c>
      <c r="M3" s="3286">
        <f>SUM(C4:C9)</f>
        <v>1542.56</v>
      </c>
      <c r="N3" s="3286">
        <f>SUM(F4:F9)</f>
        <v>7977727.1519999988</v>
      </c>
      <c r="O3" s="3284">
        <f>ROUND(N3/M3/365,2)</f>
        <v>14.17</v>
      </c>
      <c r="Q3">
        <f>N3/(面积!H25+面积!H26)/365</f>
        <v>11.378587159884955</v>
      </c>
    </row>
    <row r="4" spans="1:17" ht="31.95" customHeight="1">
      <c r="A4" s="3255" t="s">
        <v>3871</v>
      </c>
      <c r="B4" s="3256" t="s">
        <v>3796</v>
      </c>
      <c r="C4" s="3257">
        <v>655.43</v>
      </c>
      <c r="D4" s="3257">
        <f>E4/C4</f>
        <v>693</v>
      </c>
      <c r="E4" s="3257">
        <v>454212.99</v>
      </c>
      <c r="F4" s="3257">
        <f>E4*12</f>
        <v>5450555.8799999999</v>
      </c>
      <c r="G4" s="3258">
        <v>44915</v>
      </c>
      <c r="H4" s="3259">
        <v>46740</v>
      </c>
      <c r="I4">
        <f>ROUND(F4/365/C4,2)</f>
        <v>22.78</v>
      </c>
      <c r="J4" s="1401" t="s">
        <v>3903</v>
      </c>
      <c r="L4" s="3285" t="s">
        <v>3518</v>
      </c>
      <c r="M4" s="3286">
        <f>SUM(C4:C10)</f>
        <v>6756.7899999999991</v>
      </c>
      <c r="N4" s="3286">
        <f>SUM(F4:F10)</f>
        <v>18452847.311999999</v>
      </c>
      <c r="O4" s="3284">
        <f>ROUND(N4/'数据-汇总表'!E19/365,2)</f>
        <v>6.87</v>
      </c>
    </row>
    <row r="5" spans="1:17" ht="31.95" customHeight="1">
      <c r="A5" s="3255" t="s">
        <v>3872</v>
      </c>
      <c r="B5" s="3256" t="s">
        <v>3797</v>
      </c>
      <c r="C5" s="3257">
        <v>342.1</v>
      </c>
      <c r="D5" s="3257">
        <f>E5/C5</f>
        <v>243.59000292312189</v>
      </c>
      <c r="E5" s="3257">
        <v>83332.14</v>
      </c>
      <c r="F5" s="3257">
        <f t="shared" ref="F5:F27" si="0">E5*12</f>
        <v>999985.67999999993</v>
      </c>
      <c r="G5" s="3260">
        <v>45536</v>
      </c>
      <c r="H5" s="3259">
        <v>46645</v>
      </c>
      <c r="I5">
        <f t="shared" ref="I5:I30" si="1">ROUND(F5/365/C5,2)</f>
        <v>8.01</v>
      </c>
      <c r="J5" s="1401" t="s">
        <v>3903</v>
      </c>
      <c r="L5" s="3285" t="s">
        <v>3906</v>
      </c>
      <c r="M5" s="3287">
        <f>SUM(C11:C30)</f>
        <v>29154.020000000004</v>
      </c>
      <c r="N5" s="3286">
        <f>SUM(F11:F30)</f>
        <v>141829521.3504</v>
      </c>
      <c r="O5" s="3284">
        <f>ROUND(N5/M5/365,2)</f>
        <v>13.33</v>
      </c>
      <c r="Q5" s="3299"/>
    </row>
    <row r="6" spans="1:17" ht="31.95" customHeight="1">
      <c r="A6" s="3255" t="s">
        <v>3873</v>
      </c>
      <c r="B6" s="3256" t="s">
        <v>3799</v>
      </c>
      <c r="C6" s="3257">
        <v>222.02</v>
      </c>
      <c r="D6" s="3257">
        <f>E6/C6</f>
        <v>281.13998738852354</v>
      </c>
      <c r="E6" s="3257">
        <v>62418.7</v>
      </c>
      <c r="F6" s="3257">
        <f t="shared" si="0"/>
        <v>749024.39999999991</v>
      </c>
      <c r="G6" s="3260">
        <v>45689</v>
      </c>
      <c r="H6" s="3259">
        <v>46783</v>
      </c>
      <c r="I6">
        <f t="shared" si="1"/>
        <v>9.24</v>
      </c>
      <c r="J6" s="1401" t="s">
        <v>3903</v>
      </c>
      <c r="L6" s="3285" t="s">
        <v>3905</v>
      </c>
      <c r="M6" s="3286">
        <f>M5-C24</f>
        <v>27906.100000000006</v>
      </c>
      <c r="N6" s="3286">
        <f>N5-F24</f>
        <v>135626557.43040001</v>
      </c>
      <c r="O6" s="3284">
        <f t="shared" ref="O6" si="2">ROUND(N6/M6/365,2)</f>
        <v>13.32</v>
      </c>
    </row>
    <row r="7" spans="1:17" ht="31.95" customHeight="1">
      <c r="A7" s="3255" t="s">
        <v>3874</v>
      </c>
      <c r="B7" s="3256" t="s">
        <v>3801</v>
      </c>
      <c r="C7" s="3257">
        <v>251.58</v>
      </c>
      <c r="D7" s="3257">
        <f>E7/C7</f>
        <v>152.10000794975753</v>
      </c>
      <c r="E7" s="3257">
        <v>38265.32</v>
      </c>
      <c r="F7" s="3257">
        <f t="shared" si="0"/>
        <v>459183.83999999997</v>
      </c>
      <c r="G7" s="3261">
        <v>45287</v>
      </c>
      <c r="H7" s="3259">
        <v>47113</v>
      </c>
      <c r="I7">
        <f t="shared" si="1"/>
        <v>5</v>
      </c>
      <c r="J7" s="1401" t="s">
        <v>3903</v>
      </c>
    </row>
    <row r="8" spans="1:17" ht="31.95" customHeight="1">
      <c r="A8" s="3255" t="s">
        <v>3875</v>
      </c>
      <c r="B8" s="3262" t="s">
        <v>3876</v>
      </c>
      <c r="C8" s="3257">
        <v>43.63</v>
      </c>
      <c r="D8" s="3257">
        <v>241.01</v>
      </c>
      <c r="E8" s="3257">
        <v>10515.27</v>
      </c>
      <c r="F8" s="3257">
        <f t="shared" si="0"/>
        <v>126183.24</v>
      </c>
      <c r="G8" s="3260">
        <v>45627</v>
      </c>
      <c r="H8" s="3259">
        <v>46721</v>
      </c>
      <c r="I8">
        <f t="shared" si="1"/>
        <v>7.92</v>
      </c>
      <c r="J8" s="1401" t="s">
        <v>3903</v>
      </c>
      <c r="L8" s="3285" t="s">
        <v>3922</v>
      </c>
      <c r="M8" s="3299">
        <f>SUM(C10)</f>
        <v>5214.2299999999996</v>
      </c>
      <c r="N8" s="3299">
        <f>F10</f>
        <v>10475120.16</v>
      </c>
      <c r="O8">
        <f>ROUND(N8/M8/365,2)</f>
        <v>5.5</v>
      </c>
    </row>
    <row r="9" spans="1:17" ht="31.95" customHeight="1">
      <c r="A9" s="3255">
        <v>109</v>
      </c>
      <c r="B9" s="3263" t="s">
        <v>3803</v>
      </c>
      <c r="C9" s="3257">
        <v>27.8</v>
      </c>
      <c r="D9" s="3257">
        <v>577.91999999999996</v>
      </c>
      <c r="E9" s="3257">
        <f>C9*D9</f>
        <v>16066.175999999999</v>
      </c>
      <c r="F9" s="3257">
        <f t="shared" si="0"/>
        <v>192794.11199999999</v>
      </c>
      <c r="G9" s="3260">
        <v>45432</v>
      </c>
      <c r="H9" s="3264">
        <v>46526</v>
      </c>
      <c r="I9">
        <f t="shared" si="1"/>
        <v>19</v>
      </c>
      <c r="J9" s="1401" t="s">
        <v>3903</v>
      </c>
      <c r="L9" s="1401"/>
      <c r="N9" s="3299"/>
      <c r="O9" s="3299"/>
    </row>
    <row r="10" spans="1:17" ht="31.95" customHeight="1">
      <c r="A10" s="3265" t="s">
        <v>3877</v>
      </c>
      <c r="B10" s="3256" t="s">
        <v>3805</v>
      </c>
      <c r="C10" s="3257">
        <v>5214.2299999999996</v>
      </c>
      <c r="D10" s="3257">
        <f>E10/C10</f>
        <v>167.41238495425023</v>
      </c>
      <c r="E10" s="3257">
        <v>872926.68</v>
      </c>
      <c r="F10" s="3257">
        <f t="shared" si="0"/>
        <v>10475120.16</v>
      </c>
      <c r="G10" s="3260">
        <v>44866</v>
      </c>
      <c r="H10" s="3259">
        <v>46752</v>
      </c>
      <c r="I10">
        <f t="shared" si="1"/>
        <v>5.5</v>
      </c>
      <c r="J10" s="1401" t="s">
        <v>3904</v>
      </c>
      <c r="L10" s="1401"/>
    </row>
    <row r="11" spans="1:17" ht="31.95" customHeight="1">
      <c r="A11" s="3255" t="s">
        <v>3878</v>
      </c>
      <c r="B11" s="3256" t="s">
        <v>3807</v>
      </c>
      <c r="C11" s="3257">
        <v>1176.06</v>
      </c>
      <c r="D11" s="3257">
        <f>E11/C11</f>
        <v>412.29358196010406</v>
      </c>
      <c r="E11" s="3257">
        <v>484881.99</v>
      </c>
      <c r="F11" s="3257">
        <f t="shared" si="0"/>
        <v>5818583.8799999999</v>
      </c>
      <c r="G11" s="3266">
        <v>45017</v>
      </c>
      <c r="H11" s="3259">
        <v>46112</v>
      </c>
      <c r="I11">
        <f t="shared" si="1"/>
        <v>13.55</v>
      </c>
      <c r="M11">
        <f ca="1">'收益法（地上1-3层商业）'!C5*(1+2%)^项目基本情况!C15</f>
        <v>1990.1671021161919</v>
      </c>
      <c r="N11">
        <f ca="1">'收益法（地上办公）'!C5*(1+2%)^4.12</f>
        <v>16025.559573873563</v>
      </c>
    </row>
    <row r="12" spans="1:17" ht="31.95" customHeight="1">
      <c r="A12" s="3255" t="s">
        <v>3879</v>
      </c>
      <c r="B12" s="3256" t="s">
        <v>3808</v>
      </c>
      <c r="C12" s="3257">
        <v>1228.82</v>
      </c>
      <c r="D12" s="3257">
        <v>368</v>
      </c>
      <c r="E12" s="3257">
        <v>452205.76</v>
      </c>
      <c r="F12" s="3257">
        <f t="shared" si="0"/>
        <v>5426469.1200000001</v>
      </c>
      <c r="G12" s="3266">
        <v>45551</v>
      </c>
      <c r="H12" s="3259">
        <v>46645</v>
      </c>
      <c r="I12">
        <f t="shared" si="1"/>
        <v>12.1</v>
      </c>
    </row>
    <row r="13" spans="1:17" ht="31.95" customHeight="1">
      <c r="A13" s="3255" t="s">
        <v>3880</v>
      </c>
      <c r="B13" s="3256" t="s">
        <v>3810</v>
      </c>
      <c r="C13" s="3257">
        <v>902.26</v>
      </c>
      <c r="D13" s="3257">
        <f>E13/C13</f>
        <v>370</v>
      </c>
      <c r="E13" s="3257">
        <v>333836.2</v>
      </c>
      <c r="F13" s="3257">
        <f t="shared" si="0"/>
        <v>4006034.4000000004</v>
      </c>
      <c r="G13" s="3258">
        <v>45413</v>
      </c>
      <c r="H13" s="3259">
        <v>47238</v>
      </c>
      <c r="I13">
        <f t="shared" si="1"/>
        <v>12.16</v>
      </c>
    </row>
    <row r="14" spans="1:17" ht="31.95" customHeight="1">
      <c r="A14" s="3255" t="s">
        <v>3881</v>
      </c>
      <c r="B14" s="3262" t="s">
        <v>3882</v>
      </c>
      <c r="C14" s="3267">
        <v>219.24</v>
      </c>
      <c r="D14" s="3267">
        <v>334.62</v>
      </c>
      <c r="E14" s="3267">
        <v>73362.09</v>
      </c>
      <c r="F14" s="3257">
        <f t="shared" si="0"/>
        <v>880345.08</v>
      </c>
      <c r="G14" s="3259">
        <v>45627</v>
      </c>
      <c r="H14" s="3259">
        <v>46660</v>
      </c>
      <c r="I14">
        <f t="shared" si="1"/>
        <v>11</v>
      </c>
    </row>
    <row r="15" spans="1:17" ht="31.95" customHeight="1">
      <c r="A15" s="3255" t="s">
        <v>3883</v>
      </c>
      <c r="B15" s="3262" t="s">
        <v>3884</v>
      </c>
      <c r="C15" s="3267">
        <v>191.84</v>
      </c>
      <c r="D15" s="3267">
        <v>334.62</v>
      </c>
      <c r="E15" s="3267">
        <v>64193.5</v>
      </c>
      <c r="F15" s="3257">
        <f t="shared" si="0"/>
        <v>770322</v>
      </c>
      <c r="G15" s="3259">
        <v>45627</v>
      </c>
      <c r="H15" s="3259">
        <v>46660</v>
      </c>
      <c r="I15">
        <f t="shared" si="1"/>
        <v>11</v>
      </c>
    </row>
    <row r="16" spans="1:17" ht="31.95" customHeight="1">
      <c r="A16" s="3255" t="s">
        <v>3885</v>
      </c>
      <c r="B16" s="3262" t="s">
        <v>3886</v>
      </c>
      <c r="C16" s="3267">
        <v>137.02000000000001</v>
      </c>
      <c r="D16" s="3267">
        <v>334.62</v>
      </c>
      <c r="E16" s="3267">
        <v>45849.63</v>
      </c>
      <c r="F16" s="3257">
        <f t="shared" si="0"/>
        <v>550195.55999999994</v>
      </c>
      <c r="G16" s="3259">
        <v>45627</v>
      </c>
      <c r="H16" s="3259">
        <v>46660</v>
      </c>
      <c r="I16">
        <f t="shared" si="1"/>
        <v>11</v>
      </c>
    </row>
    <row r="17" spans="1:10" ht="31.95" customHeight="1">
      <c r="A17" s="3255" t="s">
        <v>3887</v>
      </c>
      <c r="B17" s="3256" t="s">
        <v>3817</v>
      </c>
      <c r="C17" s="3257">
        <v>1782.35</v>
      </c>
      <c r="D17" s="3257">
        <f>E17/C17</f>
        <v>410</v>
      </c>
      <c r="E17" s="3257">
        <v>730763.5</v>
      </c>
      <c r="F17" s="3257">
        <f t="shared" si="0"/>
        <v>8769162</v>
      </c>
      <c r="G17" s="3258">
        <v>45017</v>
      </c>
      <c r="H17" s="3259">
        <v>46112</v>
      </c>
      <c r="I17">
        <f t="shared" si="1"/>
        <v>13.48</v>
      </c>
    </row>
    <row r="18" spans="1:10" ht="31.95" customHeight="1">
      <c r="A18" s="3255" t="s">
        <v>3888</v>
      </c>
      <c r="B18" s="3256" t="s">
        <v>3821</v>
      </c>
      <c r="C18" s="3257">
        <v>1181</v>
      </c>
      <c r="D18" s="3257">
        <f>E18/C18</f>
        <v>435</v>
      </c>
      <c r="E18" s="3257">
        <v>513735</v>
      </c>
      <c r="F18" s="3257">
        <f t="shared" si="0"/>
        <v>6164820</v>
      </c>
      <c r="G18" s="3258">
        <v>44991</v>
      </c>
      <c r="H18" s="3259">
        <v>46086</v>
      </c>
      <c r="I18">
        <f t="shared" si="1"/>
        <v>14.3</v>
      </c>
    </row>
    <row r="19" spans="1:10" ht="31.95" customHeight="1">
      <c r="A19" s="3255" t="s">
        <v>3889</v>
      </c>
      <c r="B19" s="3256" t="s">
        <v>3823</v>
      </c>
      <c r="C19" s="3257">
        <v>646.77</v>
      </c>
      <c r="D19" s="3257">
        <f>E19/C19</f>
        <v>423.84999304234896</v>
      </c>
      <c r="E19" s="3257">
        <v>274133.46000000002</v>
      </c>
      <c r="F19" s="3257">
        <f t="shared" si="0"/>
        <v>3289601.5200000005</v>
      </c>
      <c r="G19" s="3258">
        <v>45026</v>
      </c>
      <c r="H19" s="3259">
        <v>46783</v>
      </c>
      <c r="I19">
        <f t="shared" si="1"/>
        <v>13.93</v>
      </c>
    </row>
    <row r="20" spans="1:10" ht="31.95" customHeight="1">
      <c r="A20" s="3255">
        <v>1102</v>
      </c>
      <c r="B20" s="3263" t="s">
        <v>3824</v>
      </c>
      <c r="C20" s="3257">
        <v>355.27</v>
      </c>
      <c r="D20" s="3257">
        <v>395</v>
      </c>
      <c r="E20" s="3257">
        <f>C20*D20</f>
        <v>140331.65</v>
      </c>
      <c r="F20" s="3257">
        <f t="shared" si="0"/>
        <v>1683979.7999999998</v>
      </c>
      <c r="G20" s="3258">
        <v>45352</v>
      </c>
      <c r="H20" s="3259">
        <v>46387</v>
      </c>
      <c r="I20">
        <f t="shared" si="1"/>
        <v>12.99</v>
      </c>
    </row>
    <row r="21" spans="1:10" ht="31.95" customHeight="1">
      <c r="A21" s="3255" t="s">
        <v>3890</v>
      </c>
      <c r="B21" s="3256" t="s">
        <v>3826</v>
      </c>
      <c r="C21" s="3257">
        <v>548.11</v>
      </c>
      <c r="D21" s="3257">
        <f t="shared" ref="D21:D27" si="3">E21/C21</f>
        <v>395</v>
      </c>
      <c r="E21" s="3257">
        <v>216503.45</v>
      </c>
      <c r="F21" s="3257">
        <f t="shared" si="0"/>
        <v>2598041.4000000004</v>
      </c>
      <c r="G21" s="3258">
        <v>45407</v>
      </c>
      <c r="H21" s="3259">
        <v>46501</v>
      </c>
      <c r="I21">
        <f t="shared" si="1"/>
        <v>12.99</v>
      </c>
    </row>
    <row r="22" spans="1:10" ht="31.95" customHeight="1">
      <c r="A22" s="3255" t="s">
        <v>3891</v>
      </c>
      <c r="B22" s="3256" t="s">
        <v>3828</v>
      </c>
      <c r="C22" s="3257">
        <v>1247.92</v>
      </c>
      <c r="D22" s="3257">
        <f t="shared" si="3"/>
        <v>423.85321174434256</v>
      </c>
      <c r="E22" s="3257">
        <v>528934.9</v>
      </c>
      <c r="F22" s="3257">
        <f t="shared" si="0"/>
        <v>6347218.8000000007</v>
      </c>
      <c r="G22" s="3258">
        <v>44701</v>
      </c>
      <c r="H22" s="3259">
        <v>46752</v>
      </c>
      <c r="I22">
        <f t="shared" si="1"/>
        <v>13.93</v>
      </c>
    </row>
    <row r="23" spans="1:10" ht="31.95" customHeight="1">
      <c r="A23" s="3255" t="s">
        <v>3892</v>
      </c>
      <c r="B23" s="3256" t="s">
        <v>3828</v>
      </c>
      <c r="C23" s="3257">
        <v>1181.19</v>
      </c>
      <c r="D23" s="3257">
        <f t="shared" si="3"/>
        <v>439.99999999999994</v>
      </c>
      <c r="E23" s="3257">
        <v>519723.6</v>
      </c>
      <c r="F23" s="3257">
        <f t="shared" si="0"/>
        <v>6236683.1999999993</v>
      </c>
      <c r="G23" s="3258">
        <v>44701</v>
      </c>
      <c r="H23" s="3259">
        <v>46752</v>
      </c>
      <c r="I23">
        <f t="shared" si="1"/>
        <v>14.47</v>
      </c>
    </row>
    <row r="24" spans="1:10" ht="31.95" customHeight="1">
      <c r="A24" s="3279" t="s">
        <v>3893</v>
      </c>
      <c r="B24" s="3280" t="s">
        <v>3831</v>
      </c>
      <c r="C24" s="3281">
        <v>1247.92</v>
      </c>
      <c r="D24" s="3281">
        <f t="shared" si="3"/>
        <v>414.22019039682027</v>
      </c>
      <c r="E24" s="3281">
        <v>516913.66</v>
      </c>
      <c r="F24" s="3281">
        <f t="shared" si="0"/>
        <v>6202963.9199999999</v>
      </c>
      <c r="G24" s="3282">
        <v>44636</v>
      </c>
      <c r="H24" s="3283">
        <v>45731</v>
      </c>
      <c r="I24" s="3284">
        <f t="shared" si="1"/>
        <v>13.62</v>
      </c>
      <c r="J24" s="3285" t="s">
        <v>3902</v>
      </c>
    </row>
    <row r="25" spans="1:10" ht="31.95" customHeight="1">
      <c r="A25" s="3265" t="s">
        <v>3894</v>
      </c>
      <c r="B25" s="3256" t="s">
        <v>3833</v>
      </c>
      <c r="C25" s="3257">
        <v>3610.3</v>
      </c>
      <c r="D25" s="3257">
        <f t="shared" si="3"/>
        <v>436.63999944602938</v>
      </c>
      <c r="E25" s="3257">
        <v>1576401.39</v>
      </c>
      <c r="F25" s="3257">
        <f t="shared" si="0"/>
        <v>18916816.68</v>
      </c>
      <c r="G25" s="3258">
        <v>45170</v>
      </c>
      <c r="H25" s="3259">
        <v>46265</v>
      </c>
      <c r="I25">
        <f t="shared" si="1"/>
        <v>14.36</v>
      </c>
    </row>
    <row r="26" spans="1:10" ht="31.95" customHeight="1">
      <c r="A26" s="3265">
        <v>1701</v>
      </c>
      <c r="B26" s="3256" t="s">
        <v>3895</v>
      </c>
      <c r="C26" s="3257">
        <v>2429.11</v>
      </c>
      <c r="D26" s="3257">
        <f t="shared" si="3"/>
        <v>548.2099987238123</v>
      </c>
      <c r="E26" s="3257">
        <v>1331662.3899999999</v>
      </c>
      <c r="F26" s="3257">
        <f t="shared" si="0"/>
        <v>15979948.68</v>
      </c>
      <c r="G26" s="3258">
        <v>44348</v>
      </c>
      <c r="H26" s="3259">
        <v>45808</v>
      </c>
      <c r="I26">
        <f t="shared" si="1"/>
        <v>18.02</v>
      </c>
    </row>
    <row r="27" spans="1:10" ht="31.95" customHeight="1">
      <c r="A27" s="3265" t="s">
        <v>3896</v>
      </c>
      <c r="B27" s="3256" t="s">
        <v>3823</v>
      </c>
      <c r="C27" s="3257">
        <v>3826.58</v>
      </c>
      <c r="D27" s="3257">
        <f t="shared" si="3"/>
        <v>423.84999921601013</v>
      </c>
      <c r="E27" s="3257">
        <v>1621895.93</v>
      </c>
      <c r="F27" s="3257">
        <f t="shared" si="0"/>
        <v>19462751.16</v>
      </c>
      <c r="G27" s="3260">
        <v>44866</v>
      </c>
      <c r="H27" s="3259">
        <v>46783</v>
      </c>
      <c r="I27">
        <f t="shared" si="1"/>
        <v>13.93</v>
      </c>
    </row>
    <row r="28" spans="1:10" ht="31.95" customHeight="1">
      <c r="A28" s="3265" t="s">
        <v>3897</v>
      </c>
      <c r="B28" s="3256" t="s">
        <v>3831</v>
      </c>
      <c r="C28" s="3257">
        <v>3705.84</v>
      </c>
      <c r="D28" s="3257">
        <v>338.13</v>
      </c>
      <c r="E28" s="3257">
        <f>C28*D28</f>
        <v>1253055.6792000001</v>
      </c>
      <c r="F28" s="3257">
        <f>E28*12</f>
        <v>15036668.150400002</v>
      </c>
      <c r="G28" s="3260">
        <v>45732</v>
      </c>
      <c r="H28" s="3259">
        <v>46827</v>
      </c>
      <c r="I28">
        <f t="shared" si="1"/>
        <v>11.12</v>
      </c>
    </row>
    <row r="29" spans="1:10" ht="31.95" customHeight="1">
      <c r="A29" s="3255" t="s">
        <v>3898</v>
      </c>
      <c r="B29" s="3256" t="s">
        <v>3835</v>
      </c>
      <c r="C29" s="3257">
        <v>2355.2199999999998</v>
      </c>
      <c r="D29" s="3257">
        <f>E29/C29</f>
        <v>322.57000195310843</v>
      </c>
      <c r="E29" s="3257">
        <v>759723.32</v>
      </c>
      <c r="F29" s="3257">
        <f>E29*12</f>
        <v>9116679.8399999999</v>
      </c>
      <c r="G29" s="3266">
        <v>45292</v>
      </c>
      <c r="H29" s="3259">
        <v>46387</v>
      </c>
      <c r="I29">
        <f t="shared" si="1"/>
        <v>10.61</v>
      </c>
    </row>
    <row r="30" spans="1:10" ht="31.95" customHeight="1">
      <c r="A30" s="3255" t="s">
        <v>3899</v>
      </c>
      <c r="B30" s="3256" t="s">
        <v>3836</v>
      </c>
      <c r="C30" s="3257">
        <v>1181.2</v>
      </c>
      <c r="D30" s="3257">
        <f>E30/C30</f>
        <v>322.56999661361328</v>
      </c>
      <c r="E30" s="3257">
        <v>381019.68</v>
      </c>
      <c r="F30" s="3257">
        <f>E30*12</f>
        <v>4572236.16</v>
      </c>
      <c r="G30" s="3266">
        <v>45292</v>
      </c>
      <c r="H30" s="3259">
        <v>46387</v>
      </c>
      <c r="I30">
        <f t="shared" si="1"/>
        <v>10.61</v>
      </c>
    </row>
    <row r="31" spans="1:10" ht="31.95" customHeight="1">
      <c r="A31" s="3268" t="s">
        <v>3837</v>
      </c>
      <c r="B31" s="3269"/>
      <c r="C31" s="3270">
        <f>SUM(C4:C30)</f>
        <v>35910.80999999999</v>
      </c>
      <c r="D31" s="3270"/>
      <c r="E31" s="3270">
        <f>SUM(E4:E30)</f>
        <v>13356864.055199999</v>
      </c>
      <c r="F31" s="3271">
        <f>E31*12</f>
        <v>160282368.66240001</v>
      </c>
      <c r="G31" s="3272"/>
      <c r="H31" s="3273"/>
    </row>
    <row r="32" spans="1:10" ht="31.95" customHeight="1">
      <c r="A32" s="3274"/>
      <c r="B32" s="3274"/>
      <c r="C32" s="3275"/>
      <c r="D32" s="3274"/>
      <c r="E32" s="3276" t="s">
        <v>3900</v>
      </c>
      <c r="F32" s="3277">
        <f>F31*14</f>
        <v>2243953161.2736001</v>
      </c>
      <c r="G32" s="3274"/>
      <c r="H32" s="3274"/>
    </row>
  </sheetData>
  <mergeCells count="2">
    <mergeCell ref="A1:H1"/>
    <mergeCell ref="A2:H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K79"/>
  <sheetViews>
    <sheetView workbookViewId="0">
      <selection activeCell="K83" sqref="K83"/>
    </sheetView>
  </sheetViews>
  <sheetFormatPr defaultRowHeight="14.4"/>
  <cols>
    <col min="1" max="1" width="15" customWidth="1"/>
    <col min="2" max="2" width="13.44140625" customWidth="1"/>
    <col min="4" max="4" width="13" customWidth="1"/>
    <col min="5" max="5" width="18.88671875" customWidth="1"/>
    <col min="6" max="6" width="23" customWidth="1"/>
    <col min="7" max="7" width="13.109375" customWidth="1"/>
  </cols>
  <sheetData>
    <row r="1" spans="1:11" ht="20.399999999999999">
      <c r="A1" s="3603" t="s">
        <v>3786</v>
      </c>
      <c r="B1" s="3603"/>
      <c r="C1" s="3603"/>
      <c r="D1" s="3603"/>
      <c r="E1" s="3603"/>
      <c r="F1" s="3603"/>
      <c r="G1" s="3603"/>
    </row>
    <row r="2" spans="1:11" ht="40.950000000000003" customHeight="1">
      <c r="A2" s="3602" t="s">
        <v>3787</v>
      </c>
      <c r="B2" s="3602"/>
      <c r="C2" s="3602"/>
      <c r="D2" s="3602"/>
      <c r="E2" s="3602"/>
      <c r="F2" s="3602"/>
      <c r="G2" s="3602"/>
    </row>
    <row r="3" spans="1:11" ht="24.6" thickBot="1">
      <c r="A3" s="3223" t="s">
        <v>3788</v>
      </c>
      <c r="B3" s="3224" t="s">
        <v>3789</v>
      </c>
      <c r="C3" s="3224" t="s">
        <v>3790</v>
      </c>
      <c r="D3" s="3224" t="s">
        <v>3791</v>
      </c>
      <c r="E3" s="3225" t="s">
        <v>3792</v>
      </c>
      <c r="F3" s="3225" t="s">
        <v>3793</v>
      </c>
      <c r="G3" s="3224" t="s">
        <v>3794</v>
      </c>
      <c r="H3" s="3226" t="s">
        <v>3795</v>
      </c>
    </row>
    <row r="4" spans="1:11" ht="36.6" thickBot="1">
      <c r="A4" s="3223">
        <v>101</v>
      </c>
      <c r="B4" s="3224" t="s">
        <v>3796</v>
      </c>
      <c r="C4" s="3224">
        <v>655.43</v>
      </c>
      <c r="D4" s="3224">
        <v>693</v>
      </c>
      <c r="E4" s="3225">
        <v>454212.99</v>
      </c>
      <c r="F4" s="3225">
        <v>5450555.8799999999</v>
      </c>
      <c r="G4" s="3227">
        <v>46740</v>
      </c>
      <c r="H4">
        <f>ROUND(F4/C4/365,2)</f>
        <v>22.78</v>
      </c>
      <c r="J4" s="1401" t="s">
        <v>3841</v>
      </c>
      <c r="K4">
        <f>ROUND((F4+F5+F6+F7+F8+F9)/(D4+D5+D6+D7+D8+D9)/365,2)</f>
        <v>10.039999999999999</v>
      </c>
    </row>
    <row r="5" spans="1:11" ht="48.6" thickBot="1">
      <c r="A5" s="3223">
        <v>102</v>
      </c>
      <c r="B5" s="3224" t="s">
        <v>3797</v>
      </c>
      <c r="C5" s="3224">
        <v>342.1</v>
      </c>
      <c r="D5" s="3224">
        <v>243.59</v>
      </c>
      <c r="E5" s="3225">
        <v>83332.14</v>
      </c>
      <c r="F5" s="3225">
        <v>999985.68</v>
      </c>
      <c r="G5" s="3228">
        <v>46645</v>
      </c>
      <c r="H5">
        <f t="shared" ref="H5:H31" si="0">ROUND(F5/C5/365,2)</f>
        <v>8.01</v>
      </c>
      <c r="J5" s="1401" t="s">
        <v>3842</v>
      </c>
      <c r="K5">
        <f>H10</f>
        <v>5.5</v>
      </c>
    </row>
    <row r="6" spans="1:11" ht="24.6" thickBot="1">
      <c r="A6" s="3223" t="s">
        <v>3798</v>
      </c>
      <c r="B6" s="3224" t="s">
        <v>3799</v>
      </c>
      <c r="C6" s="3224">
        <v>222.02</v>
      </c>
      <c r="D6" s="3224">
        <v>281.14</v>
      </c>
      <c r="E6" s="3225">
        <v>62418.7</v>
      </c>
      <c r="F6" s="3229">
        <f>E6*12</f>
        <v>749024.39999999991</v>
      </c>
      <c r="G6" s="3230">
        <v>45688</v>
      </c>
      <c r="H6">
        <f t="shared" si="0"/>
        <v>9.24</v>
      </c>
      <c r="J6" s="1401" t="s">
        <v>3843</v>
      </c>
      <c r="K6">
        <f>ROUND(SUM(F11:F31)/SUM(C11:C31)/365,2)</f>
        <v>13.74</v>
      </c>
    </row>
    <row r="7" spans="1:11" ht="24.6" thickBot="1">
      <c r="A7" s="3223" t="s">
        <v>3800</v>
      </c>
      <c r="B7" s="3224" t="s">
        <v>3801</v>
      </c>
      <c r="C7" s="3224">
        <v>251.58</v>
      </c>
      <c r="D7" s="3224">
        <v>152.1</v>
      </c>
      <c r="E7" s="3225">
        <v>38265.32</v>
      </c>
      <c r="F7" s="3229">
        <v>459183.84</v>
      </c>
      <c r="G7" s="3230">
        <v>47113</v>
      </c>
      <c r="H7">
        <f t="shared" si="0"/>
        <v>5</v>
      </c>
    </row>
    <row r="8" spans="1:11" ht="24.6" thickBot="1">
      <c r="A8" s="3223">
        <v>108</v>
      </c>
      <c r="B8" s="3224" t="s">
        <v>3802</v>
      </c>
      <c r="C8" s="3224">
        <v>43.63</v>
      </c>
      <c r="D8" s="3224">
        <v>227.37</v>
      </c>
      <c r="E8" s="3225">
        <v>9920.15</v>
      </c>
      <c r="F8" s="3229">
        <v>119041.8</v>
      </c>
      <c r="G8" s="3230">
        <v>45626</v>
      </c>
      <c r="H8">
        <f t="shared" si="0"/>
        <v>7.48</v>
      </c>
    </row>
    <row r="9" spans="1:11" ht="36.6" thickBot="1">
      <c r="A9" s="3231">
        <v>109</v>
      </c>
      <c r="B9" s="3232" t="s">
        <v>3803</v>
      </c>
      <c r="C9" s="3232">
        <v>27.8</v>
      </c>
      <c r="D9" s="3232">
        <v>577.91999999999996</v>
      </c>
      <c r="E9" s="3233">
        <v>16066.18</v>
      </c>
      <c r="F9" s="3233">
        <v>192794.16</v>
      </c>
      <c r="G9" s="3234">
        <v>46526</v>
      </c>
      <c r="H9">
        <f t="shared" si="0"/>
        <v>19</v>
      </c>
    </row>
    <row r="10" spans="1:11" ht="36.6" thickBot="1">
      <c r="A10" s="3223" t="s">
        <v>3804</v>
      </c>
      <c r="B10" s="3224" t="s">
        <v>3805</v>
      </c>
      <c r="C10" s="3235">
        <v>5214.2299999999996</v>
      </c>
      <c r="D10" s="3224">
        <v>167.41</v>
      </c>
      <c r="E10" s="3225">
        <v>872926.68</v>
      </c>
      <c r="F10" s="3229">
        <v>10475120.16</v>
      </c>
      <c r="G10" s="3230">
        <v>46752</v>
      </c>
      <c r="H10">
        <f t="shared" si="0"/>
        <v>5.5</v>
      </c>
    </row>
    <row r="11" spans="1:11" ht="24.6" thickBot="1">
      <c r="A11" s="3223" t="s">
        <v>3806</v>
      </c>
      <c r="B11" s="3224" t="s">
        <v>3807</v>
      </c>
      <c r="C11" s="3235">
        <v>1176.06</v>
      </c>
      <c r="D11" s="3224">
        <v>412.29</v>
      </c>
      <c r="E11" s="3225">
        <v>484881.99</v>
      </c>
      <c r="F11" s="3229">
        <v>5818583.8799999999</v>
      </c>
      <c r="G11" s="3230">
        <v>46112</v>
      </c>
      <c r="H11">
        <f t="shared" si="0"/>
        <v>13.55</v>
      </c>
    </row>
    <row r="12" spans="1:11" ht="36.6" thickBot="1">
      <c r="A12" s="3231" t="s">
        <v>3806</v>
      </c>
      <c r="B12" s="3232" t="s">
        <v>3808</v>
      </c>
      <c r="C12" s="3232">
        <v>1228.82</v>
      </c>
      <c r="D12" s="3232">
        <v>368</v>
      </c>
      <c r="E12" s="3233">
        <v>452205.76</v>
      </c>
      <c r="F12" s="3241">
        <v>5426469.1200000001</v>
      </c>
      <c r="G12" s="3236" t="s">
        <v>3839</v>
      </c>
      <c r="H12">
        <f t="shared" si="0"/>
        <v>12.1</v>
      </c>
    </row>
    <row r="13" spans="1:11" ht="36.6" thickBot="1">
      <c r="A13" s="3231" t="s">
        <v>3809</v>
      </c>
      <c r="B13" s="3232" t="s">
        <v>3810</v>
      </c>
      <c r="C13" s="3232">
        <v>902.26</v>
      </c>
      <c r="D13" s="3232">
        <v>370</v>
      </c>
      <c r="E13" s="3233">
        <v>333836.2</v>
      </c>
      <c r="F13" s="3233">
        <v>4006034.4</v>
      </c>
      <c r="G13" s="3234">
        <v>47238</v>
      </c>
      <c r="H13">
        <f t="shared" si="0"/>
        <v>12.16</v>
      </c>
    </row>
    <row r="14" spans="1:11" ht="24.6" thickBot="1">
      <c r="A14" s="3223">
        <v>607</v>
      </c>
      <c r="B14" s="3224" t="s">
        <v>3811</v>
      </c>
      <c r="C14" s="3224">
        <v>353</v>
      </c>
      <c r="D14" s="3224">
        <v>320</v>
      </c>
      <c r="E14" s="3225">
        <v>112960</v>
      </c>
      <c r="F14" s="3229">
        <v>1355520</v>
      </c>
      <c r="G14" s="3230">
        <v>46356</v>
      </c>
      <c r="H14">
        <f t="shared" si="0"/>
        <v>10.52</v>
      </c>
    </row>
    <row r="15" spans="1:11" ht="48.6" thickBot="1">
      <c r="A15" s="3223" t="s">
        <v>3812</v>
      </c>
      <c r="B15" s="3237" t="s">
        <v>3813</v>
      </c>
      <c r="C15" s="3237">
        <v>880.09</v>
      </c>
      <c r="D15" s="3237">
        <v>409.4</v>
      </c>
      <c r="E15" s="3238">
        <v>360312.08</v>
      </c>
      <c r="F15" s="3229">
        <v>4323744.96</v>
      </c>
      <c r="G15" s="3230">
        <v>45579</v>
      </c>
      <c r="H15">
        <f t="shared" si="0"/>
        <v>13.46</v>
      </c>
    </row>
    <row r="16" spans="1:11" ht="24.6" thickBot="1">
      <c r="A16" s="3223" t="s">
        <v>3814</v>
      </c>
      <c r="B16" s="3224" t="s">
        <v>3815</v>
      </c>
      <c r="C16" s="3224">
        <v>646.77</v>
      </c>
      <c r="D16" s="3224">
        <v>413</v>
      </c>
      <c r="E16" s="3225">
        <v>267116.01</v>
      </c>
      <c r="F16" s="3229">
        <v>3205392.12</v>
      </c>
      <c r="G16" s="3230">
        <v>45657</v>
      </c>
      <c r="H16">
        <f t="shared" si="0"/>
        <v>13.58</v>
      </c>
    </row>
    <row r="17" spans="1:8" ht="36.6" thickBot="1">
      <c r="A17" s="3223" t="s">
        <v>3816</v>
      </c>
      <c r="B17" s="3224" t="s">
        <v>3817</v>
      </c>
      <c r="C17" s="3235">
        <v>1782.35</v>
      </c>
      <c r="D17" s="3224">
        <v>410</v>
      </c>
      <c r="E17" s="3225">
        <v>730763.5</v>
      </c>
      <c r="F17" s="3229">
        <v>8769162</v>
      </c>
      <c r="G17" s="3230">
        <v>46112</v>
      </c>
      <c r="H17">
        <f t="shared" si="0"/>
        <v>13.48</v>
      </c>
    </row>
    <row r="18" spans="1:8" ht="24.6" thickBot="1">
      <c r="A18" s="3223" t="s">
        <v>3818</v>
      </c>
      <c r="B18" s="3224" t="s">
        <v>3819</v>
      </c>
      <c r="C18" s="3224">
        <v>978.75</v>
      </c>
      <c r="D18" s="3224">
        <v>418.39</v>
      </c>
      <c r="E18" s="3225">
        <v>409499.21</v>
      </c>
      <c r="F18" s="3229">
        <v>4913990.5199999996</v>
      </c>
      <c r="G18" s="3230">
        <v>45565</v>
      </c>
      <c r="H18">
        <f t="shared" si="0"/>
        <v>13.76</v>
      </c>
    </row>
    <row r="19" spans="1:8" ht="36.6" thickBot="1">
      <c r="A19" s="3223" t="s">
        <v>3820</v>
      </c>
      <c r="B19" s="3224" t="s">
        <v>3821</v>
      </c>
      <c r="C19" s="3235">
        <v>1181</v>
      </c>
      <c r="D19" s="3224">
        <v>435</v>
      </c>
      <c r="E19" s="3225">
        <v>513735</v>
      </c>
      <c r="F19" s="3229">
        <v>6164820</v>
      </c>
      <c r="G19" s="3230">
        <v>46086</v>
      </c>
      <c r="H19">
        <f t="shared" si="0"/>
        <v>14.3</v>
      </c>
    </row>
    <row r="20" spans="1:8" ht="24.6" thickBot="1">
      <c r="A20" s="3223" t="s">
        <v>3822</v>
      </c>
      <c r="B20" s="3224" t="s">
        <v>3823</v>
      </c>
      <c r="C20" s="3224">
        <v>646.77</v>
      </c>
      <c r="D20" s="3224">
        <v>423.85</v>
      </c>
      <c r="E20" s="3225">
        <v>274133.46000000002</v>
      </c>
      <c r="F20" s="3229">
        <v>3289601.52</v>
      </c>
      <c r="G20" s="3230">
        <v>46783</v>
      </c>
      <c r="H20">
        <f t="shared" si="0"/>
        <v>13.93</v>
      </c>
    </row>
    <row r="21" spans="1:8" ht="36.6" thickBot="1">
      <c r="A21" s="3231">
        <v>1102</v>
      </c>
      <c r="B21" s="3232" t="s">
        <v>3824</v>
      </c>
      <c r="C21" s="3232">
        <v>355.27</v>
      </c>
      <c r="D21" s="3232">
        <v>395</v>
      </c>
      <c r="E21" s="3233">
        <v>140331.65</v>
      </c>
      <c r="F21" s="3233">
        <v>1683979.8</v>
      </c>
      <c r="G21" s="3239" t="s">
        <v>3840</v>
      </c>
      <c r="H21">
        <f t="shared" si="0"/>
        <v>12.99</v>
      </c>
    </row>
    <row r="22" spans="1:8" ht="24.6" thickBot="1">
      <c r="A22" s="3231" t="s">
        <v>3825</v>
      </c>
      <c r="B22" s="3232" t="s">
        <v>3826</v>
      </c>
      <c r="C22" s="3232">
        <v>548.11</v>
      </c>
      <c r="D22" s="3232">
        <v>395</v>
      </c>
      <c r="E22" s="3233">
        <v>216503.45</v>
      </c>
      <c r="F22" s="3233">
        <v>2598041.4</v>
      </c>
      <c r="G22" s="3234">
        <v>46501</v>
      </c>
      <c r="H22">
        <f t="shared" si="0"/>
        <v>12.99</v>
      </c>
    </row>
    <row r="23" spans="1:8" ht="24.6" thickBot="1">
      <c r="A23" s="3223" t="s">
        <v>3827</v>
      </c>
      <c r="B23" s="3224" t="s">
        <v>3828</v>
      </c>
      <c r="C23" s="3235">
        <v>1247.92</v>
      </c>
      <c r="D23" s="3224">
        <v>423.85</v>
      </c>
      <c r="E23" s="3225">
        <v>528934.9</v>
      </c>
      <c r="F23" s="3229">
        <v>6347218.7999999998</v>
      </c>
      <c r="G23" s="3230">
        <v>46542</v>
      </c>
      <c r="H23">
        <f t="shared" si="0"/>
        <v>13.93</v>
      </c>
    </row>
    <row r="24" spans="1:8" ht="24.6" thickBot="1">
      <c r="A24" s="3223" t="s">
        <v>3829</v>
      </c>
      <c r="B24" s="3224" t="s">
        <v>3828</v>
      </c>
      <c r="C24" s="3235">
        <v>1181.19</v>
      </c>
      <c r="D24" s="3224">
        <v>440</v>
      </c>
      <c r="E24" s="3225">
        <v>519723.6</v>
      </c>
      <c r="F24" s="3229">
        <v>6236683.2000000002</v>
      </c>
      <c r="G24" s="3230">
        <v>46542</v>
      </c>
      <c r="H24">
        <f t="shared" si="0"/>
        <v>14.47</v>
      </c>
    </row>
    <row r="25" spans="1:8" ht="36.6" thickBot="1">
      <c r="A25" s="3223" t="s">
        <v>3830</v>
      </c>
      <c r="B25" s="3224" t="s">
        <v>3831</v>
      </c>
      <c r="C25" s="3235">
        <v>1247.92</v>
      </c>
      <c r="D25" s="3224">
        <v>414.22</v>
      </c>
      <c r="E25" s="3225">
        <v>516913.66</v>
      </c>
      <c r="F25" s="3229">
        <v>6202963.9199999999</v>
      </c>
      <c r="G25" s="3230">
        <v>45731</v>
      </c>
      <c r="H25">
        <f t="shared" si="0"/>
        <v>13.62</v>
      </c>
    </row>
    <row r="26" spans="1:8" ht="24.6" thickBot="1">
      <c r="A26" s="3223" t="s">
        <v>3832</v>
      </c>
      <c r="B26" s="3224" t="s">
        <v>3833</v>
      </c>
      <c r="C26" s="3235">
        <v>3610.3</v>
      </c>
      <c r="D26" s="3224">
        <v>436.64</v>
      </c>
      <c r="E26" s="3225">
        <v>1576401.39</v>
      </c>
      <c r="F26" s="3229">
        <v>18916816.68</v>
      </c>
      <c r="G26" s="3230">
        <v>46265</v>
      </c>
      <c r="H26">
        <f t="shared" si="0"/>
        <v>14.36</v>
      </c>
    </row>
    <row r="27" spans="1:8" ht="24.6" thickBot="1">
      <c r="A27" s="3223">
        <v>1701</v>
      </c>
      <c r="B27" s="3224" t="s">
        <v>3834</v>
      </c>
      <c r="C27" s="3235">
        <v>2429.11</v>
      </c>
      <c r="D27" s="3224">
        <v>548.21</v>
      </c>
      <c r="E27" s="3225">
        <v>1331662.3899999999</v>
      </c>
      <c r="F27" s="3229">
        <v>15979948.68</v>
      </c>
      <c r="G27" s="3230">
        <v>45808</v>
      </c>
      <c r="H27">
        <f t="shared" si="0"/>
        <v>18.02</v>
      </c>
    </row>
    <row r="28" spans="1:8" ht="24.6" thickBot="1">
      <c r="A28" s="3223">
        <v>1901</v>
      </c>
      <c r="B28" s="3224" t="s">
        <v>3823</v>
      </c>
      <c r="C28" s="3235">
        <v>3826.58</v>
      </c>
      <c r="D28" s="3224">
        <v>423.85</v>
      </c>
      <c r="E28" s="3225">
        <v>1621895.93</v>
      </c>
      <c r="F28" s="3229">
        <v>19462751.16</v>
      </c>
      <c r="G28" s="3230">
        <v>46783</v>
      </c>
      <c r="H28">
        <f t="shared" si="0"/>
        <v>13.93</v>
      </c>
    </row>
    <row r="29" spans="1:8" ht="36.6" thickBot="1">
      <c r="A29" s="3223">
        <v>2101</v>
      </c>
      <c r="B29" s="3224" t="s">
        <v>3831</v>
      </c>
      <c r="C29" s="3235">
        <v>2457.92</v>
      </c>
      <c r="D29" s="3224">
        <v>445</v>
      </c>
      <c r="E29" s="3225">
        <v>1093774.3999999999</v>
      </c>
      <c r="F29" s="3229">
        <v>13125292.800000001</v>
      </c>
      <c r="G29" s="3230">
        <v>45731</v>
      </c>
      <c r="H29">
        <f t="shared" si="0"/>
        <v>14.63</v>
      </c>
    </row>
    <row r="30" spans="1:8" ht="36.6" thickBot="1">
      <c r="A30" s="3231">
        <v>2201</v>
      </c>
      <c r="B30" s="3232" t="s">
        <v>3835</v>
      </c>
      <c r="C30" s="3240">
        <v>2355.2199999999998</v>
      </c>
      <c r="D30" s="3232">
        <v>322.57</v>
      </c>
      <c r="E30" s="3233">
        <v>759732.32</v>
      </c>
      <c r="F30" s="3241">
        <f>E30*12</f>
        <v>9116787.8399999999</v>
      </c>
      <c r="G30" s="3242">
        <v>46387</v>
      </c>
      <c r="H30">
        <f t="shared" si="0"/>
        <v>10.61</v>
      </c>
    </row>
    <row r="31" spans="1:8" ht="36.6" thickBot="1">
      <c r="A31" s="3231">
        <v>2301</v>
      </c>
      <c r="B31" s="3232" t="s">
        <v>3836</v>
      </c>
      <c r="C31" s="3240">
        <v>1181.2</v>
      </c>
      <c r="D31" s="3232">
        <v>322.57</v>
      </c>
      <c r="E31" s="3233">
        <f>C31*D31</f>
        <v>381019.68400000001</v>
      </c>
      <c r="F31" s="3241">
        <f>E31*12</f>
        <v>4572236.2080000006</v>
      </c>
      <c r="G31" s="3242">
        <v>46387</v>
      </c>
      <c r="H31">
        <f t="shared" si="0"/>
        <v>10.61</v>
      </c>
    </row>
    <row r="32" spans="1:8" ht="15" thickBot="1">
      <c r="A32" s="3243" t="s">
        <v>3837</v>
      </c>
      <c r="B32" s="3244"/>
      <c r="C32" s="3244">
        <f>SUM(C4:C31)</f>
        <v>36973.399999999994</v>
      </c>
      <c r="D32" s="3244"/>
      <c r="E32" s="3245">
        <f>SUM(E4:E31)</f>
        <v>14163478.744000003</v>
      </c>
      <c r="F32" s="3245">
        <f>SUM(F4:F31)</f>
        <v>169961744.92800003</v>
      </c>
      <c r="G32" s="3244"/>
    </row>
    <row r="33" spans="1:7" ht="15" thickBot="1">
      <c r="A33" s="3223"/>
      <c r="B33" s="3224"/>
      <c r="C33" s="3224"/>
      <c r="D33" s="3224"/>
      <c r="E33" s="3246" t="s">
        <v>3838</v>
      </c>
      <c r="F33" s="3246">
        <f>F32*15</f>
        <v>2549426173.9200006</v>
      </c>
      <c r="G33" s="3247"/>
    </row>
    <row r="45" spans="1:7">
      <c r="D45" s="1401" t="s">
        <v>3844</v>
      </c>
    </row>
    <row r="47" spans="1:7" ht="20.399999999999999">
      <c r="A47" s="3603" t="s">
        <v>3786</v>
      </c>
      <c r="B47" s="3603"/>
      <c r="C47" s="3603"/>
      <c r="D47" s="3603"/>
      <c r="E47" s="3603"/>
      <c r="F47" s="3603"/>
      <c r="G47" s="3603"/>
    </row>
    <row r="48" spans="1:7">
      <c r="A48" s="3602" t="s">
        <v>3787</v>
      </c>
      <c r="B48" s="3602"/>
      <c r="C48" s="3602"/>
      <c r="D48" s="3602"/>
      <c r="E48" s="3602"/>
      <c r="F48" s="3602"/>
      <c r="G48" s="3602"/>
    </row>
    <row r="49" spans="1:11" ht="24.6" thickBot="1">
      <c r="A49" s="3223" t="s">
        <v>3788</v>
      </c>
      <c r="B49" s="3224" t="s">
        <v>3789</v>
      </c>
      <c r="C49" s="3224" t="s">
        <v>3790</v>
      </c>
      <c r="D49" s="3224" t="s">
        <v>3791</v>
      </c>
      <c r="E49" s="3225" t="s">
        <v>3792</v>
      </c>
      <c r="F49" s="3225" t="s">
        <v>3793</v>
      </c>
      <c r="G49" s="3224" t="s">
        <v>3794</v>
      </c>
      <c r="H49" s="3226" t="s">
        <v>3795</v>
      </c>
    </row>
    <row r="50" spans="1:11" ht="36.6" thickBot="1">
      <c r="A50" s="3223">
        <v>101</v>
      </c>
      <c r="B50" s="3224" t="s">
        <v>3796</v>
      </c>
      <c r="C50" s="3224">
        <v>655.43</v>
      </c>
      <c r="D50" s="3224">
        <v>693</v>
      </c>
      <c r="E50" s="3225">
        <v>454212.99</v>
      </c>
      <c r="F50" s="3225">
        <v>5450555.8799999999</v>
      </c>
      <c r="G50" s="3227">
        <v>46740</v>
      </c>
      <c r="H50">
        <f>ROUND(F50/C50/365,2)</f>
        <v>22.78</v>
      </c>
      <c r="J50" s="1401" t="s">
        <v>3841</v>
      </c>
      <c r="K50">
        <f>ROUND((F50+F51+F52+F53+F54+F55)/(D50+D51+D52+D53+D54+D55)/365,2)</f>
        <v>11.68</v>
      </c>
    </row>
    <row r="51" spans="1:11" ht="48.6" thickBot="1">
      <c r="A51" s="3223">
        <v>102</v>
      </c>
      <c r="B51" s="3224" t="s">
        <v>3797</v>
      </c>
      <c r="C51" s="3224">
        <v>342.1</v>
      </c>
      <c r="D51" s="3224">
        <v>243.59</v>
      </c>
      <c r="E51" s="3225">
        <v>83332.14</v>
      </c>
      <c r="F51" s="3225">
        <v>999985.68</v>
      </c>
      <c r="G51" s="3228">
        <v>46645</v>
      </c>
      <c r="H51">
        <f t="shared" ref="H51:H77" si="1">ROUND(F51/C51/365,2)</f>
        <v>8.01</v>
      </c>
      <c r="J51" s="1401" t="s">
        <v>3842</v>
      </c>
      <c r="K51">
        <f>H56</f>
        <v>5.5</v>
      </c>
    </row>
    <row r="52" spans="1:11" ht="15" thickBot="1">
      <c r="A52" s="3223"/>
      <c r="B52" s="3224"/>
      <c r="C52" s="3224"/>
      <c r="D52" s="3224"/>
      <c r="E52" s="3225"/>
      <c r="F52" s="3229"/>
      <c r="G52" s="3230"/>
      <c r="J52" s="1401" t="s">
        <v>3843</v>
      </c>
      <c r="K52">
        <f>ROUND(SUM(F57:F77)/SUM(C57:C77)/365,2)</f>
        <v>13.67</v>
      </c>
    </row>
    <row r="53" spans="1:11" ht="24.6" thickBot="1">
      <c r="A53" s="3223" t="s">
        <v>3800</v>
      </c>
      <c r="B53" s="3224" t="s">
        <v>3801</v>
      </c>
      <c r="C53" s="3224">
        <v>251.58</v>
      </c>
      <c r="D53" s="3224">
        <v>152.1</v>
      </c>
      <c r="E53" s="3225">
        <v>38265.32</v>
      </c>
      <c r="F53" s="3229">
        <v>459183.84</v>
      </c>
      <c r="G53" s="3230">
        <v>47113</v>
      </c>
      <c r="H53">
        <f t="shared" si="1"/>
        <v>5</v>
      </c>
    </row>
    <row r="54" spans="1:11" ht="15" thickBot="1">
      <c r="A54" s="3223"/>
      <c r="B54" s="3224"/>
      <c r="C54" s="3224"/>
      <c r="D54" s="3224"/>
      <c r="E54" s="3225"/>
      <c r="F54" s="3229"/>
      <c r="G54" s="3230"/>
    </row>
    <row r="55" spans="1:11" ht="36.6" thickBot="1">
      <c r="A55" s="3231">
        <v>109</v>
      </c>
      <c r="B55" s="3232" t="s">
        <v>3803</v>
      </c>
      <c r="C55" s="3232">
        <v>27.8</v>
      </c>
      <c r="D55" s="3232">
        <v>577.91999999999996</v>
      </c>
      <c r="E55" s="3233">
        <v>16066.18</v>
      </c>
      <c r="F55" s="3233">
        <v>192794.16</v>
      </c>
      <c r="G55" s="3234">
        <v>46526</v>
      </c>
      <c r="H55">
        <f t="shared" si="1"/>
        <v>19</v>
      </c>
    </row>
    <row r="56" spans="1:11" ht="36.6" thickBot="1">
      <c r="A56" s="3223" t="s">
        <v>3804</v>
      </c>
      <c r="B56" s="3224" t="s">
        <v>3805</v>
      </c>
      <c r="C56" s="3235">
        <v>5214.2299999999996</v>
      </c>
      <c r="D56" s="3224">
        <v>167.41</v>
      </c>
      <c r="E56" s="3225">
        <v>872926.68</v>
      </c>
      <c r="F56" s="3229">
        <v>10475120.16</v>
      </c>
      <c r="G56" s="3230">
        <v>46752</v>
      </c>
      <c r="H56">
        <f t="shared" si="1"/>
        <v>5.5</v>
      </c>
    </row>
    <row r="57" spans="1:11" ht="24.6" thickBot="1">
      <c r="A57" s="3223" t="s">
        <v>3806</v>
      </c>
      <c r="B57" s="3224" t="s">
        <v>3807</v>
      </c>
      <c r="C57" s="3235">
        <v>1176.06</v>
      </c>
      <c r="D57" s="3224">
        <v>412.29</v>
      </c>
      <c r="E57" s="3225">
        <v>484881.99</v>
      </c>
      <c r="F57" s="3229">
        <v>5818583.8799999999</v>
      </c>
      <c r="G57" s="3230">
        <v>46112</v>
      </c>
      <c r="H57">
        <f t="shared" si="1"/>
        <v>13.55</v>
      </c>
    </row>
    <row r="58" spans="1:11" ht="36.6" thickBot="1">
      <c r="A58" s="3231" t="s">
        <v>3806</v>
      </c>
      <c r="B58" s="3232" t="s">
        <v>3808</v>
      </c>
      <c r="C58" s="3232">
        <v>1228.82</v>
      </c>
      <c r="D58" s="3232">
        <v>368</v>
      </c>
      <c r="E58" s="3233">
        <v>452205.76</v>
      </c>
      <c r="F58" s="3241">
        <v>5426469.1200000001</v>
      </c>
      <c r="G58" s="3236" t="s">
        <v>3839</v>
      </c>
      <c r="H58">
        <f t="shared" si="1"/>
        <v>12.1</v>
      </c>
    </row>
    <row r="59" spans="1:11" ht="36.6" thickBot="1">
      <c r="A59" s="3231" t="s">
        <v>3809</v>
      </c>
      <c r="B59" s="3232" t="s">
        <v>3810</v>
      </c>
      <c r="C59" s="3232">
        <v>902.26</v>
      </c>
      <c r="D59" s="3232">
        <v>370</v>
      </c>
      <c r="E59" s="3233">
        <v>333836.2</v>
      </c>
      <c r="F59" s="3233">
        <v>4006034.4</v>
      </c>
      <c r="G59" s="3234">
        <v>47238</v>
      </c>
      <c r="H59">
        <f t="shared" si="1"/>
        <v>12.16</v>
      </c>
    </row>
    <row r="60" spans="1:11" ht="24.6" thickBot="1">
      <c r="A60" s="3223">
        <v>607</v>
      </c>
      <c r="B60" s="3224" t="s">
        <v>3811</v>
      </c>
      <c r="C60" s="3224">
        <v>353</v>
      </c>
      <c r="D60" s="3224">
        <v>320</v>
      </c>
      <c r="E60" s="3225">
        <v>112960</v>
      </c>
      <c r="F60" s="3229">
        <v>1355520</v>
      </c>
      <c r="G60" s="3230">
        <v>46356</v>
      </c>
      <c r="H60">
        <f t="shared" si="1"/>
        <v>10.52</v>
      </c>
    </row>
    <row r="61" spans="1:11" ht="15" thickBot="1">
      <c r="A61" s="3223"/>
      <c r="B61" s="3237"/>
      <c r="C61" s="3237"/>
      <c r="D61" s="3237"/>
      <c r="E61" s="3238"/>
      <c r="F61" s="3229"/>
      <c r="G61" s="3230"/>
    </row>
    <row r="62" spans="1:11" ht="15" thickBot="1">
      <c r="A62" s="3223"/>
      <c r="B62" s="3224"/>
      <c r="C62" s="3224"/>
      <c r="D62" s="3224"/>
      <c r="E62" s="3225"/>
      <c r="F62" s="3229"/>
      <c r="G62" s="3230"/>
    </row>
    <row r="63" spans="1:11" ht="36.6" thickBot="1">
      <c r="A63" s="3223" t="s">
        <v>3816</v>
      </c>
      <c r="B63" s="3224" t="s">
        <v>3817</v>
      </c>
      <c r="C63" s="3235">
        <v>1782.35</v>
      </c>
      <c r="D63" s="3224">
        <v>410</v>
      </c>
      <c r="E63" s="3225">
        <v>730763.5</v>
      </c>
      <c r="F63" s="3229">
        <v>8769162</v>
      </c>
      <c r="G63" s="3230">
        <v>46112</v>
      </c>
      <c r="H63">
        <f t="shared" si="1"/>
        <v>13.48</v>
      </c>
    </row>
    <row r="64" spans="1:11" ht="15" thickBot="1">
      <c r="A64" s="3223"/>
      <c r="B64" s="3224"/>
      <c r="C64" s="3224"/>
      <c r="D64" s="3224"/>
      <c r="E64" s="3225"/>
      <c r="F64" s="3229"/>
      <c r="G64" s="3230"/>
    </row>
    <row r="65" spans="1:8" ht="36.6" thickBot="1">
      <c r="A65" s="3223" t="s">
        <v>3820</v>
      </c>
      <c r="B65" s="3224" t="s">
        <v>3821</v>
      </c>
      <c r="C65" s="3235">
        <v>1181</v>
      </c>
      <c r="D65" s="3224">
        <v>435</v>
      </c>
      <c r="E65" s="3225">
        <v>513735</v>
      </c>
      <c r="F65" s="3229">
        <v>6164820</v>
      </c>
      <c r="G65" s="3230">
        <v>46086</v>
      </c>
      <c r="H65">
        <f t="shared" si="1"/>
        <v>14.3</v>
      </c>
    </row>
    <row r="66" spans="1:8" ht="24.6" thickBot="1">
      <c r="A66" s="3223" t="s">
        <v>3822</v>
      </c>
      <c r="B66" s="3224" t="s">
        <v>3823</v>
      </c>
      <c r="C66" s="3224">
        <v>646.77</v>
      </c>
      <c r="D66" s="3224">
        <v>423.85</v>
      </c>
      <c r="E66" s="3225">
        <v>274133.46000000002</v>
      </c>
      <c r="F66" s="3229">
        <v>3289601.52</v>
      </c>
      <c r="G66" s="3230">
        <v>46783</v>
      </c>
      <c r="H66">
        <f t="shared" si="1"/>
        <v>13.93</v>
      </c>
    </row>
    <row r="67" spans="1:8" ht="36.6" thickBot="1">
      <c r="A67" s="3231">
        <v>1102</v>
      </c>
      <c r="B67" s="3232" t="s">
        <v>3824</v>
      </c>
      <c r="C67" s="3232">
        <v>355.27</v>
      </c>
      <c r="D67" s="3232">
        <v>395</v>
      </c>
      <c r="E67" s="3233">
        <v>140331.65</v>
      </c>
      <c r="F67" s="3233">
        <v>1683979.8</v>
      </c>
      <c r="G67" s="3239" t="s">
        <v>3840</v>
      </c>
      <c r="H67">
        <f t="shared" si="1"/>
        <v>12.99</v>
      </c>
    </row>
    <row r="68" spans="1:8" ht="24.6" thickBot="1">
      <c r="A68" s="3231" t="s">
        <v>3825</v>
      </c>
      <c r="B68" s="3232" t="s">
        <v>3826</v>
      </c>
      <c r="C68" s="3232">
        <v>548.11</v>
      </c>
      <c r="D68" s="3232">
        <v>395</v>
      </c>
      <c r="E68" s="3233">
        <v>216503.45</v>
      </c>
      <c r="F68" s="3233">
        <v>2598041.4</v>
      </c>
      <c r="G68" s="3234">
        <v>46501</v>
      </c>
      <c r="H68">
        <f t="shared" si="1"/>
        <v>12.99</v>
      </c>
    </row>
    <row r="69" spans="1:8" ht="24.6" thickBot="1">
      <c r="A69" s="3223" t="s">
        <v>3827</v>
      </c>
      <c r="B69" s="3224" t="s">
        <v>3828</v>
      </c>
      <c r="C69" s="3235">
        <v>1247.92</v>
      </c>
      <c r="D69" s="3224">
        <v>423.85</v>
      </c>
      <c r="E69" s="3225">
        <v>528934.9</v>
      </c>
      <c r="F69" s="3229">
        <v>6347218.7999999998</v>
      </c>
      <c r="G69" s="3230">
        <v>46542</v>
      </c>
      <c r="H69">
        <f t="shared" si="1"/>
        <v>13.93</v>
      </c>
    </row>
    <row r="70" spans="1:8" ht="24.6" thickBot="1">
      <c r="A70" s="3223" t="s">
        <v>3829</v>
      </c>
      <c r="B70" s="3224" t="s">
        <v>3828</v>
      </c>
      <c r="C70" s="3235">
        <v>1181.19</v>
      </c>
      <c r="D70" s="3224">
        <v>440</v>
      </c>
      <c r="E70" s="3225">
        <v>519723.6</v>
      </c>
      <c r="F70" s="3229">
        <v>6236683.2000000002</v>
      </c>
      <c r="G70" s="3230">
        <v>46542</v>
      </c>
      <c r="H70">
        <f t="shared" si="1"/>
        <v>14.47</v>
      </c>
    </row>
    <row r="71" spans="1:8" ht="15" thickBot="1">
      <c r="A71" s="3223"/>
      <c r="B71" s="3224"/>
      <c r="C71" s="3235"/>
      <c r="D71" s="3224"/>
      <c r="E71" s="3225"/>
      <c r="F71" s="3229"/>
      <c r="G71" s="3230"/>
    </row>
    <row r="72" spans="1:8" ht="24.6" thickBot="1">
      <c r="A72" s="3223" t="s">
        <v>3832</v>
      </c>
      <c r="B72" s="3224" t="s">
        <v>3833</v>
      </c>
      <c r="C72" s="3235">
        <v>3610.3</v>
      </c>
      <c r="D72" s="3224">
        <v>436.64</v>
      </c>
      <c r="E72" s="3225">
        <v>1576401.39</v>
      </c>
      <c r="F72" s="3229">
        <v>18916816.68</v>
      </c>
      <c r="G72" s="3230">
        <v>46265</v>
      </c>
      <c r="H72">
        <f t="shared" si="1"/>
        <v>14.36</v>
      </c>
    </row>
    <row r="73" spans="1:8" ht="24.6" thickBot="1">
      <c r="A73" s="3223">
        <v>1701</v>
      </c>
      <c r="B73" s="3224" t="s">
        <v>3834</v>
      </c>
      <c r="C73" s="3235">
        <v>2429.11</v>
      </c>
      <c r="D73" s="3224">
        <v>548.21</v>
      </c>
      <c r="E73" s="3225">
        <v>1331662.3899999999</v>
      </c>
      <c r="F73" s="3229">
        <v>15979948.68</v>
      </c>
      <c r="G73" s="3230">
        <v>45808</v>
      </c>
      <c r="H73">
        <f t="shared" si="1"/>
        <v>18.02</v>
      </c>
    </row>
    <row r="74" spans="1:8" ht="24.6" thickBot="1">
      <c r="A74" s="3223">
        <v>1901</v>
      </c>
      <c r="B74" s="3224" t="s">
        <v>3823</v>
      </c>
      <c r="C74" s="3235">
        <v>3826.58</v>
      </c>
      <c r="D74" s="3224">
        <v>423.85</v>
      </c>
      <c r="E74" s="3225">
        <v>1621895.93</v>
      </c>
      <c r="F74" s="3229">
        <v>19462751.16</v>
      </c>
      <c r="G74" s="3230">
        <v>46783</v>
      </c>
      <c r="H74">
        <f t="shared" si="1"/>
        <v>13.93</v>
      </c>
    </row>
    <row r="75" spans="1:8" ht="15" thickBot="1">
      <c r="A75" s="3223"/>
      <c r="B75" s="3224"/>
      <c r="C75" s="3235"/>
      <c r="D75" s="3224"/>
      <c r="E75" s="3225"/>
      <c r="F75" s="3229"/>
      <c r="G75" s="3230"/>
    </row>
    <row r="76" spans="1:8" ht="36.6" thickBot="1">
      <c r="A76" s="3231">
        <v>2201</v>
      </c>
      <c r="B76" s="3232" t="s">
        <v>3835</v>
      </c>
      <c r="C76" s="3240">
        <v>2355.2199999999998</v>
      </c>
      <c r="D76" s="3232">
        <v>322.57</v>
      </c>
      <c r="E76" s="3233">
        <v>759732.32</v>
      </c>
      <c r="F76" s="3241">
        <f>E76*12</f>
        <v>9116787.8399999999</v>
      </c>
      <c r="G76" s="3242">
        <v>46387</v>
      </c>
      <c r="H76">
        <f t="shared" si="1"/>
        <v>10.61</v>
      </c>
    </row>
    <row r="77" spans="1:8" ht="36.6" thickBot="1">
      <c r="A77" s="3231">
        <v>2301</v>
      </c>
      <c r="B77" s="3232" t="s">
        <v>3836</v>
      </c>
      <c r="C77" s="3240">
        <v>1181.2</v>
      </c>
      <c r="D77" s="3232">
        <v>322.57</v>
      </c>
      <c r="E77" s="3233">
        <f>C77*D77</f>
        <v>381019.68400000001</v>
      </c>
      <c r="F77" s="3241">
        <f>E77*12</f>
        <v>4572236.2080000006</v>
      </c>
      <c r="G77" s="3242">
        <v>46387</v>
      </c>
      <c r="H77">
        <f t="shared" si="1"/>
        <v>10.61</v>
      </c>
    </row>
    <row r="78" spans="1:8" ht="15" thickBot="1">
      <c r="A78" s="3243" t="s">
        <v>3837</v>
      </c>
      <c r="B78" s="3244"/>
      <c r="C78" s="3244">
        <f>SUM(C50:C77)</f>
        <v>30496.3</v>
      </c>
      <c r="D78" s="3244"/>
      <c r="E78" s="3245">
        <f>SUM(E50:E77)</f>
        <v>11443524.534000002</v>
      </c>
      <c r="F78" s="3245">
        <f>SUM(F50:F77)</f>
        <v>137322294.40799999</v>
      </c>
      <c r="G78" s="3244"/>
    </row>
    <row r="79" spans="1:8" ht="15" thickBot="1">
      <c r="A79" s="3223"/>
      <c r="B79" s="3224"/>
      <c r="C79" s="3224"/>
      <c r="D79" s="3224"/>
      <c r="E79" s="3246" t="s">
        <v>3838</v>
      </c>
      <c r="F79" s="3246">
        <f>F78*15</f>
        <v>2059834416.1199999</v>
      </c>
      <c r="G79" s="3247"/>
    </row>
  </sheetData>
  <mergeCells count="4">
    <mergeCell ref="A47:G47"/>
    <mergeCell ref="A48:G48"/>
    <mergeCell ref="A1:G1"/>
    <mergeCell ref="A2:G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N42"/>
  <sheetViews>
    <sheetView topLeftCell="A46" workbookViewId="0">
      <selection activeCell="X51" sqref="X51"/>
    </sheetView>
  </sheetViews>
  <sheetFormatPr defaultRowHeight="14.4"/>
  <cols>
    <col min="1" max="1" width="17" customWidth="1"/>
    <col min="2" max="2" width="11.21875" customWidth="1"/>
  </cols>
  <sheetData>
    <row r="1" spans="1:14">
      <c r="A1" s="1152" t="s">
        <v>3681</v>
      </c>
      <c r="B1" s="1152" t="s">
        <v>3682</v>
      </c>
      <c r="C1" s="1152" t="s">
        <v>3683</v>
      </c>
      <c r="D1" s="1152" t="s">
        <v>3684</v>
      </c>
      <c r="E1" s="1152" t="s">
        <v>3685</v>
      </c>
      <c r="F1" s="1152" t="s">
        <v>3686</v>
      </c>
      <c r="G1" s="1152" t="s">
        <v>3687</v>
      </c>
      <c r="H1" s="1152" t="s">
        <v>3688</v>
      </c>
      <c r="I1" s="1152" t="s">
        <v>3689</v>
      </c>
      <c r="J1" s="1152" t="s">
        <v>3690</v>
      </c>
      <c r="K1" s="1152" t="s">
        <v>3691</v>
      </c>
      <c r="L1" s="1152" t="s">
        <v>3692</v>
      </c>
      <c r="M1" s="1152" t="s">
        <v>3693</v>
      </c>
      <c r="N1" s="1152" t="s">
        <v>3694</v>
      </c>
    </row>
    <row r="2" spans="1:14">
      <c r="A2" s="3207">
        <v>45657.333831018521</v>
      </c>
      <c r="B2" s="3207">
        <v>45566.333831018521</v>
      </c>
      <c r="C2" s="1152">
        <v>91</v>
      </c>
      <c r="D2" s="1152" t="s">
        <v>3758</v>
      </c>
      <c r="E2" s="1152" t="s">
        <v>3695</v>
      </c>
      <c r="F2" s="1152" t="s">
        <v>3695</v>
      </c>
      <c r="G2" s="1152">
        <v>10</v>
      </c>
      <c r="H2" s="1152">
        <v>1003</v>
      </c>
      <c r="I2" s="1152" t="s">
        <v>3759</v>
      </c>
      <c r="J2" s="1152" t="s">
        <v>21</v>
      </c>
      <c r="K2" s="1152" t="s">
        <v>3699</v>
      </c>
      <c r="L2" s="1152">
        <v>819.52</v>
      </c>
      <c r="M2" s="1152">
        <v>6310.3</v>
      </c>
      <c r="N2" s="1152">
        <v>77000</v>
      </c>
    </row>
    <row r="3" spans="1:14">
      <c r="A3" s="3207">
        <v>45657.333831018521</v>
      </c>
      <c r="B3" s="3207">
        <v>45566.333831018521</v>
      </c>
      <c r="C3" s="1152">
        <v>91</v>
      </c>
      <c r="D3" s="1152" t="s">
        <v>3758</v>
      </c>
      <c r="E3" s="1152" t="s">
        <v>3695</v>
      </c>
      <c r="F3" s="1152" t="s">
        <v>3695</v>
      </c>
      <c r="G3" s="1152">
        <v>12</v>
      </c>
      <c r="H3" s="1152">
        <v>1201</v>
      </c>
      <c r="I3" s="1152" t="s">
        <v>3759</v>
      </c>
      <c r="J3" s="1152" t="s">
        <v>21</v>
      </c>
      <c r="K3" s="1152" t="s">
        <v>3699</v>
      </c>
      <c r="L3" s="1152">
        <v>1094.1400000000001</v>
      </c>
      <c r="M3" s="1152">
        <v>8424.8799999999992</v>
      </c>
      <c r="N3" s="1152">
        <v>77000</v>
      </c>
    </row>
    <row r="4" spans="1:14">
      <c r="A4" s="3207">
        <v>45657.333831018521</v>
      </c>
      <c r="B4" s="3207">
        <v>45566.333831018521</v>
      </c>
      <c r="C4" s="1152">
        <v>91</v>
      </c>
      <c r="D4" s="1152" t="s">
        <v>3758</v>
      </c>
      <c r="E4" s="1152" t="s">
        <v>3695</v>
      </c>
      <c r="F4" s="1152" t="s">
        <v>3695</v>
      </c>
      <c r="G4" s="1152">
        <v>10</v>
      </c>
      <c r="H4" s="1152">
        <v>1001</v>
      </c>
      <c r="I4" s="1152" t="s">
        <v>3759</v>
      </c>
      <c r="J4" s="1152" t="s">
        <v>21</v>
      </c>
      <c r="K4" s="1152" t="s">
        <v>3699</v>
      </c>
      <c r="L4" s="1152">
        <v>776.66</v>
      </c>
      <c r="M4" s="1152">
        <v>5980.28</v>
      </c>
      <c r="N4" s="1152">
        <v>77000</v>
      </c>
    </row>
    <row r="5" spans="1:14">
      <c r="A5" s="3207">
        <v>45657.333831018521</v>
      </c>
      <c r="B5" s="3207">
        <v>45566.333831018521</v>
      </c>
      <c r="C5" s="1152">
        <v>91</v>
      </c>
      <c r="D5" s="1152" t="s">
        <v>3758</v>
      </c>
      <c r="E5" s="1152" t="s">
        <v>3695</v>
      </c>
      <c r="F5" s="1152" t="s">
        <v>3695</v>
      </c>
      <c r="G5" s="1152">
        <v>3</v>
      </c>
      <c r="H5" s="1152">
        <v>302</v>
      </c>
      <c r="I5" s="1152" t="s">
        <v>3759</v>
      </c>
      <c r="J5" s="1152" t="s">
        <v>21</v>
      </c>
      <c r="K5" s="1152" t="s">
        <v>3699</v>
      </c>
      <c r="L5" s="1152">
        <v>759.81</v>
      </c>
      <c r="M5" s="1152">
        <v>5850.54</v>
      </c>
      <c r="N5" s="1152">
        <v>77000</v>
      </c>
    </row>
    <row r="6" spans="1:14">
      <c r="A6" s="3207">
        <v>45657.333831018521</v>
      </c>
      <c r="B6" s="3207">
        <v>45566.333831018521</v>
      </c>
      <c r="C6" s="1152">
        <v>91</v>
      </c>
      <c r="D6" s="1152" t="s">
        <v>3758</v>
      </c>
      <c r="E6" s="1152" t="s">
        <v>3695</v>
      </c>
      <c r="F6" s="1152" t="s">
        <v>3695</v>
      </c>
      <c r="G6" s="1152">
        <v>5</v>
      </c>
      <c r="H6" s="1152">
        <v>502</v>
      </c>
      <c r="I6" s="1152" t="s">
        <v>3759</v>
      </c>
      <c r="J6" s="1152" t="s">
        <v>21</v>
      </c>
      <c r="K6" s="1152" t="s">
        <v>3699</v>
      </c>
      <c r="L6" s="1152">
        <v>759.81</v>
      </c>
      <c r="M6" s="1152">
        <v>5850.54</v>
      </c>
      <c r="N6" s="1152">
        <v>77000</v>
      </c>
    </row>
    <row r="7" spans="1:14">
      <c r="A7" s="3207">
        <v>45657.333831018521</v>
      </c>
      <c r="B7" s="3207">
        <v>45566.333831018521</v>
      </c>
      <c r="C7" s="1152">
        <v>91</v>
      </c>
      <c r="D7" s="1152" t="s">
        <v>3758</v>
      </c>
      <c r="E7" s="1152" t="s">
        <v>3695</v>
      </c>
      <c r="F7" s="1152" t="s">
        <v>3695</v>
      </c>
      <c r="G7" s="1152">
        <v>4</v>
      </c>
      <c r="H7" s="1152">
        <v>404</v>
      </c>
      <c r="I7" s="1152" t="s">
        <v>3759</v>
      </c>
      <c r="J7" s="1152" t="s">
        <v>21</v>
      </c>
      <c r="K7" s="1152" t="s">
        <v>3699</v>
      </c>
      <c r="L7" s="1152">
        <v>820.62</v>
      </c>
      <c r="M7" s="1152">
        <v>6318.77</v>
      </c>
      <c r="N7" s="1152">
        <v>77000</v>
      </c>
    </row>
    <row r="8" spans="1:14">
      <c r="A8" s="3207">
        <v>45657.333831018521</v>
      </c>
      <c r="B8" s="3207">
        <v>45566.333831018521</v>
      </c>
      <c r="C8" s="1152">
        <v>91</v>
      </c>
      <c r="D8" s="1152" t="s">
        <v>3758</v>
      </c>
      <c r="E8" s="1152" t="s">
        <v>3695</v>
      </c>
      <c r="F8" s="1152" t="s">
        <v>3695</v>
      </c>
      <c r="G8" s="1152">
        <v>6</v>
      </c>
      <c r="H8" s="1152">
        <v>603</v>
      </c>
      <c r="I8" s="1152" t="s">
        <v>3759</v>
      </c>
      <c r="J8" s="1152" t="s">
        <v>21</v>
      </c>
      <c r="K8" s="1152" t="s">
        <v>3699</v>
      </c>
      <c r="L8" s="1152">
        <v>819.52</v>
      </c>
      <c r="M8" s="1152">
        <v>6310.3</v>
      </c>
      <c r="N8" s="1152">
        <v>77000</v>
      </c>
    </row>
    <row r="9" spans="1:14">
      <c r="A9" s="3207">
        <v>45657.333831018521</v>
      </c>
      <c r="B9" s="3207">
        <v>45566.333831018521</v>
      </c>
      <c r="C9" s="1152">
        <v>91</v>
      </c>
      <c r="D9" s="1152" t="s">
        <v>3758</v>
      </c>
      <c r="E9" s="1152" t="s">
        <v>3695</v>
      </c>
      <c r="F9" s="1152" t="s">
        <v>3695</v>
      </c>
      <c r="G9" s="1152">
        <v>4</v>
      </c>
      <c r="H9" s="1152">
        <v>403</v>
      </c>
      <c r="I9" s="1152" t="s">
        <v>3759</v>
      </c>
      <c r="J9" s="1152" t="s">
        <v>21</v>
      </c>
      <c r="K9" s="1152" t="s">
        <v>3699</v>
      </c>
      <c r="L9" s="1152">
        <v>819.52</v>
      </c>
      <c r="M9" s="1152">
        <v>6310.3</v>
      </c>
      <c r="N9" s="1152">
        <v>77000</v>
      </c>
    </row>
    <row r="10" spans="1:14">
      <c r="A10" s="3207">
        <v>45657.333831018521</v>
      </c>
      <c r="B10" s="3207">
        <v>45566.333831018521</v>
      </c>
      <c r="C10" s="1152">
        <v>91</v>
      </c>
      <c r="D10" s="1152" t="s">
        <v>3758</v>
      </c>
      <c r="E10" s="1152" t="s">
        <v>3695</v>
      </c>
      <c r="F10" s="1152" t="s">
        <v>3695</v>
      </c>
      <c r="G10" s="1152">
        <v>6</v>
      </c>
      <c r="H10" s="1152">
        <v>602</v>
      </c>
      <c r="I10" s="1152" t="s">
        <v>3759</v>
      </c>
      <c r="J10" s="1152" t="s">
        <v>21</v>
      </c>
      <c r="K10" s="1152" t="s">
        <v>3699</v>
      </c>
      <c r="L10" s="1152">
        <v>759.81</v>
      </c>
      <c r="M10" s="1152">
        <v>5850.54</v>
      </c>
      <c r="N10" s="1152">
        <v>77000</v>
      </c>
    </row>
    <row r="11" spans="1:14">
      <c r="A11" s="3207">
        <v>45657.333831018521</v>
      </c>
      <c r="B11" s="3207">
        <v>45566.333831018521</v>
      </c>
      <c r="C11" s="1152">
        <v>91</v>
      </c>
      <c r="D11" s="1152" t="s">
        <v>3758</v>
      </c>
      <c r="E11" s="1152" t="s">
        <v>3695</v>
      </c>
      <c r="F11" s="1152" t="s">
        <v>3695</v>
      </c>
      <c r="G11" s="1152">
        <v>5</v>
      </c>
      <c r="H11" s="1152">
        <v>501</v>
      </c>
      <c r="I11" s="1152" t="s">
        <v>3759</v>
      </c>
      <c r="J11" s="1152" t="s">
        <v>21</v>
      </c>
      <c r="K11" s="1152" t="s">
        <v>3699</v>
      </c>
      <c r="L11" s="1152">
        <v>776.66</v>
      </c>
      <c r="M11" s="1152">
        <v>5980.28</v>
      </c>
      <c r="N11" s="1152">
        <v>77000</v>
      </c>
    </row>
    <row r="12" spans="1:14">
      <c r="A12" s="3207">
        <v>45657.333831018521</v>
      </c>
      <c r="B12" s="3207">
        <v>45566.333831018521</v>
      </c>
      <c r="C12" s="1152">
        <v>91</v>
      </c>
      <c r="D12" s="1152" t="s">
        <v>3758</v>
      </c>
      <c r="E12" s="1152" t="s">
        <v>3695</v>
      </c>
      <c r="F12" s="1152" t="s">
        <v>3695</v>
      </c>
      <c r="G12" s="1152">
        <v>11</v>
      </c>
      <c r="H12" s="1152">
        <v>1102</v>
      </c>
      <c r="I12" s="1152" t="s">
        <v>3759</v>
      </c>
      <c r="J12" s="1152" t="s">
        <v>21</v>
      </c>
      <c r="K12" s="1152" t="s">
        <v>3699</v>
      </c>
      <c r="L12" s="1152">
        <v>759.81</v>
      </c>
      <c r="M12" s="1152">
        <v>5850.54</v>
      </c>
      <c r="N12" s="1152">
        <v>77000</v>
      </c>
    </row>
    <row r="13" spans="1:14">
      <c r="A13" s="3207">
        <v>45657.333831018521</v>
      </c>
      <c r="B13" s="3207">
        <v>45566.333831018521</v>
      </c>
      <c r="C13" s="1152">
        <v>91</v>
      </c>
      <c r="D13" s="1152" t="s">
        <v>3758</v>
      </c>
      <c r="E13" s="1152" t="s">
        <v>3695</v>
      </c>
      <c r="F13" s="1152" t="s">
        <v>3695</v>
      </c>
      <c r="G13" s="1152">
        <v>11</v>
      </c>
      <c r="H13" s="1152">
        <v>1104</v>
      </c>
      <c r="I13" s="1152" t="s">
        <v>3759</v>
      </c>
      <c r="J13" s="1152" t="s">
        <v>21</v>
      </c>
      <c r="K13" s="1152" t="s">
        <v>3699</v>
      </c>
      <c r="L13" s="1152">
        <v>820.62</v>
      </c>
      <c r="M13" s="1152">
        <v>6318.77</v>
      </c>
      <c r="N13" s="1152">
        <v>77000</v>
      </c>
    </row>
    <row r="14" spans="1:14">
      <c r="A14" s="3207">
        <v>45657.333831018521</v>
      </c>
      <c r="B14" s="3207">
        <v>45566.333831018521</v>
      </c>
      <c r="C14" s="1152">
        <v>91</v>
      </c>
      <c r="D14" s="1152" t="s">
        <v>3758</v>
      </c>
      <c r="E14" s="1152" t="s">
        <v>3695</v>
      </c>
      <c r="F14" s="1152" t="s">
        <v>3695</v>
      </c>
      <c r="G14" s="1152">
        <v>7</v>
      </c>
      <c r="H14" s="1152">
        <v>701</v>
      </c>
      <c r="I14" s="1152" t="s">
        <v>3759</v>
      </c>
      <c r="J14" s="1152" t="s">
        <v>21</v>
      </c>
      <c r="K14" s="1152" t="s">
        <v>3699</v>
      </c>
      <c r="L14" s="1152">
        <v>776.66</v>
      </c>
      <c r="M14" s="1152">
        <v>5980.28</v>
      </c>
      <c r="N14" s="1152">
        <v>77000</v>
      </c>
    </row>
    <row r="15" spans="1:14">
      <c r="A15" s="3207">
        <v>45657.333831018521</v>
      </c>
      <c r="B15" s="3207">
        <v>45566.333831018521</v>
      </c>
      <c r="C15" s="1152">
        <v>91</v>
      </c>
      <c r="D15" s="1152" t="s">
        <v>3758</v>
      </c>
      <c r="E15" s="1152" t="s">
        <v>3695</v>
      </c>
      <c r="F15" s="1152" t="s">
        <v>3695</v>
      </c>
      <c r="G15" s="1152">
        <v>12</v>
      </c>
      <c r="H15" s="1152">
        <v>1203</v>
      </c>
      <c r="I15" s="1152" t="s">
        <v>3759</v>
      </c>
      <c r="J15" s="1152" t="s">
        <v>21</v>
      </c>
      <c r="K15" s="1152" t="s">
        <v>3699</v>
      </c>
      <c r="L15" s="1152">
        <v>140.06</v>
      </c>
      <c r="M15" s="1152">
        <v>1078.46</v>
      </c>
      <c r="N15" s="1152">
        <v>77000</v>
      </c>
    </row>
    <row r="16" spans="1:14">
      <c r="A16" s="3207">
        <v>45657.333831018521</v>
      </c>
      <c r="B16" s="3207">
        <v>45566.333831018521</v>
      </c>
      <c r="C16" s="1152">
        <v>91</v>
      </c>
      <c r="D16" s="1152" t="s">
        <v>3758</v>
      </c>
      <c r="E16" s="1152" t="s">
        <v>3695</v>
      </c>
      <c r="F16" s="1152" t="s">
        <v>3695</v>
      </c>
      <c r="G16" s="1152">
        <v>2</v>
      </c>
      <c r="H16" s="1152">
        <v>201</v>
      </c>
      <c r="I16" s="1152" t="s">
        <v>3759</v>
      </c>
      <c r="J16" s="1152" t="s">
        <v>21</v>
      </c>
      <c r="K16" s="1152" t="s">
        <v>3699</v>
      </c>
      <c r="L16" s="1152">
        <v>1637.13</v>
      </c>
      <c r="M16" s="1152">
        <v>12279.29</v>
      </c>
      <c r="N16" s="1152">
        <v>75005</v>
      </c>
    </row>
    <row r="17" spans="1:14">
      <c r="A17" s="3207">
        <v>45657.333831018521</v>
      </c>
      <c r="B17" s="3207">
        <v>45566.333831018521</v>
      </c>
      <c r="C17" s="1152">
        <v>91</v>
      </c>
      <c r="D17" s="1152" t="s">
        <v>3758</v>
      </c>
      <c r="E17" s="1152" t="s">
        <v>3695</v>
      </c>
      <c r="F17" s="1152" t="s">
        <v>3695</v>
      </c>
      <c r="G17" s="1152">
        <v>9</v>
      </c>
      <c r="H17" s="1152">
        <v>904</v>
      </c>
      <c r="I17" s="1152" t="s">
        <v>3759</v>
      </c>
      <c r="J17" s="1152" t="s">
        <v>21</v>
      </c>
      <c r="K17" s="1152" t="s">
        <v>3699</v>
      </c>
      <c r="L17" s="1152">
        <v>820.62</v>
      </c>
      <c r="M17" s="1152">
        <v>6318.77</v>
      </c>
      <c r="N17" s="1152">
        <v>77000</v>
      </c>
    </row>
    <row r="18" spans="1:14">
      <c r="A18" s="3207">
        <v>45657.333831018521</v>
      </c>
      <c r="B18" s="3207">
        <v>45566.333831018521</v>
      </c>
      <c r="C18" s="1152">
        <v>91</v>
      </c>
      <c r="D18" s="1152" t="s">
        <v>3758</v>
      </c>
      <c r="E18" s="1152" t="s">
        <v>3695</v>
      </c>
      <c r="F18" s="1152" t="s">
        <v>3695</v>
      </c>
      <c r="G18" s="1152">
        <v>7</v>
      </c>
      <c r="H18" s="1152">
        <v>702</v>
      </c>
      <c r="I18" s="1152" t="s">
        <v>3759</v>
      </c>
      <c r="J18" s="1152" t="s">
        <v>21</v>
      </c>
      <c r="K18" s="1152" t="s">
        <v>3699</v>
      </c>
      <c r="L18" s="1152">
        <v>759.81</v>
      </c>
      <c r="M18" s="1152">
        <v>5850.54</v>
      </c>
      <c r="N18" s="1152">
        <v>77000</v>
      </c>
    </row>
    <row r="19" spans="1:14">
      <c r="A19" s="3207">
        <v>45657.333831018521</v>
      </c>
      <c r="B19" s="3207">
        <v>45566.333831018521</v>
      </c>
      <c r="C19" s="1152">
        <v>91</v>
      </c>
      <c r="D19" s="1152" t="s">
        <v>3758</v>
      </c>
      <c r="E19" s="1152" t="s">
        <v>3695</v>
      </c>
      <c r="F19" s="1152" t="s">
        <v>3695</v>
      </c>
      <c r="G19" s="1152">
        <v>5</v>
      </c>
      <c r="H19" s="1152">
        <v>504</v>
      </c>
      <c r="I19" s="1152" t="s">
        <v>3759</v>
      </c>
      <c r="J19" s="1152" t="s">
        <v>21</v>
      </c>
      <c r="K19" s="1152" t="s">
        <v>3699</v>
      </c>
      <c r="L19" s="1152">
        <v>820.62</v>
      </c>
      <c r="M19" s="1152">
        <v>6318.77</v>
      </c>
      <c r="N19" s="1152">
        <v>77000</v>
      </c>
    </row>
    <row r="20" spans="1:14">
      <c r="A20" s="3207">
        <v>45657.333831018521</v>
      </c>
      <c r="B20" s="3207">
        <v>45566.333831018521</v>
      </c>
      <c r="C20" s="1152">
        <v>91</v>
      </c>
      <c r="D20" s="1152" t="s">
        <v>3758</v>
      </c>
      <c r="E20" s="1152" t="s">
        <v>3695</v>
      </c>
      <c r="F20" s="1152" t="s">
        <v>3695</v>
      </c>
      <c r="G20" s="1152">
        <v>5</v>
      </c>
      <c r="H20" s="1152">
        <v>503</v>
      </c>
      <c r="I20" s="1152" t="s">
        <v>3759</v>
      </c>
      <c r="J20" s="1152" t="s">
        <v>21</v>
      </c>
      <c r="K20" s="1152" t="s">
        <v>3699</v>
      </c>
      <c r="L20" s="1152">
        <v>819.52</v>
      </c>
      <c r="M20" s="1152">
        <v>6310.3</v>
      </c>
      <c r="N20" s="1152">
        <v>77000</v>
      </c>
    </row>
    <row r="21" spans="1:14">
      <c r="A21" s="3207">
        <v>45657.333831018521</v>
      </c>
      <c r="B21" s="3207">
        <v>45566.333831018521</v>
      </c>
      <c r="C21" s="1152">
        <v>91</v>
      </c>
      <c r="D21" s="1152" t="s">
        <v>3758</v>
      </c>
      <c r="E21" s="1152" t="s">
        <v>3695</v>
      </c>
      <c r="F21" s="1152" t="s">
        <v>3695</v>
      </c>
      <c r="G21" s="1152">
        <v>6</v>
      </c>
      <c r="H21" s="1152">
        <v>601</v>
      </c>
      <c r="I21" s="1152" t="s">
        <v>3759</v>
      </c>
      <c r="J21" s="1152" t="s">
        <v>21</v>
      </c>
      <c r="K21" s="1152" t="s">
        <v>3699</v>
      </c>
      <c r="L21" s="1152">
        <v>776.66</v>
      </c>
      <c r="M21" s="1152">
        <v>5980.28</v>
      </c>
      <c r="N21" s="1152">
        <v>77000</v>
      </c>
    </row>
    <row r="22" spans="1:14">
      <c r="A22" s="3207">
        <v>45657.333831018521</v>
      </c>
      <c r="B22" s="3207">
        <v>45566.333831018521</v>
      </c>
      <c r="C22" s="1152">
        <v>91</v>
      </c>
      <c r="D22" s="1152" t="s">
        <v>3758</v>
      </c>
      <c r="E22" s="1152" t="s">
        <v>3695</v>
      </c>
      <c r="F22" s="1152" t="s">
        <v>3695</v>
      </c>
      <c r="G22" s="1152">
        <v>4</v>
      </c>
      <c r="H22" s="1152">
        <v>401</v>
      </c>
      <c r="I22" s="1152" t="s">
        <v>3759</v>
      </c>
      <c r="J22" s="1152" t="s">
        <v>21</v>
      </c>
      <c r="K22" s="1152" t="s">
        <v>3699</v>
      </c>
      <c r="L22" s="1152">
        <v>776.66</v>
      </c>
      <c r="M22" s="1152">
        <v>5980.28</v>
      </c>
      <c r="N22" s="1152">
        <v>77000</v>
      </c>
    </row>
    <row r="23" spans="1:14">
      <c r="A23" s="3207">
        <v>45657.333831018521</v>
      </c>
      <c r="B23" s="3207">
        <v>45566.333831018521</v>
      </c>
      <c r="C23" s="1152">
        <v>91</v>
      </c>
      <c r="D23" s="1152" t="s">
        <v>3758</v>
      </c>
      <c r="E23" s="1152" t="s">
        <v>3695</v>
      </c>
      <c r="F23" s="1152" t="s">
        <v>3695</v>
      </c>
      <c r="G23" s="1152">
        <v>3</v>
      </c>
      <c r="H23" s="1152">
        <v>303</v>
      </c>
      <c r="I23" s="1152" t="s">
        <v>3759</v>
      </c>
      <c r="J23" s="1152" t="s">
        <v>21</v>
      </c>
      <c r="K23" s="1152" t="s">
        <v>3699</v>
      </c>
      <c r="L23" s="1152">
        <v>819.52</v>
      </c>
      <c r="M23" s="1152">
        <v>6310.3</v>
      </c>
      <c r="N23" s="1152">
        <v>77000</v>
      </c>
    </row>
    <row r="24" spans="1:14">
      <c r="A24" s="3207">
        <v>45657.333831018521</v>
      </c>
      <c r="B24" s="3207">
        <v>45566.333831018521</v>
      </c>
      <c r="C24" s="1152">
        <v>91</v>
      </c>
      <c r="D24" s="1152" t="s">
        <v>3758</v>
      </c>
      <c r="E24" s="1152" t="s">
        <v>3695</v>
      </c>
      <c r="F24" s="1152" t="s">
        <v>3695</v>
      </c>
      <c r="G24" s="1152">
        <v>6</v>
      </c>
      <c r="H24" s="1152">
        <v>604</v>
      </c>
      <c r="I24" s="1152" t="s">
        <v>3759</v>
      </c>
      <c r="J24" s="1152" t="s">
        <v>21</v>
      </c>
      <c r="K24" s="1152" t="s">
        <v>3699</v>
      </c>
      <c r="L24" s="1152">
        <v>820.62</v>
      </c>
      <c r="M24" s="1152">
        <v>6318.77</v>
      </c>
      <c r="N24" s="1152">
        <v>77000</v>
      </c>
    </row>
    <row r="25" spans="1:14">
      <c r="A25" s="3207">
        <v>45657.333831018521</v>
      </c>
      <c r="B25" s="3207">
        <v>45566.333831018521</v>
      </c>
      <c r="C25" s="1152">
        <v>91</v>
      </c>
      <c r="D25" s="1152" t="s">
        <v>3758</v>
      </c>
      <c r="E25" s="1152" t="s">
        <v>3695</v>
      </c>
      <c r="F25" s="1152" t="s">
        <v>3695</v>
      </c>
      <c r="G25" s="1152">
        <v>3</v>
      </c>
      <c r="H25" s="1152">
        <v>304</v>
      </c>
      <c r="I25" s="1152" t="s">
        <v>3759</v>
      </c>
      <c r="J25" s="1152" t="s">
        <v>21</v>
      </c>
      <c r="K25" s="1152" t="s">
        <v>3699</v>
      </c>
      <c r="L25" s="1152">
        <v>820.62</v>
      </c>
      <c r="M25" s="1152">
        <v>6318.77</v>
      </c>
      <c r="N25" s="1152">
        <v>77000</v>
      </c>
    </row>
    <row r="26" spans="1:14">
      <c r="A26" s="3207">
        <v>45657.333831018521</v>
      </c>
      <c r="B26" s="3207">
        <v>45566.333831018521</v>
      </c>
      <c r="C26" s="1152">
        <v>91</v>
      </c>
      <c r="D26" s="1152" t="s">
        <v>3758</v>
      </c>
      <c r="E26" s="1152" t="s">
        <v>3695</v>
      </c>
      <c r="F26" s="1152" t="s">
        <v>3695</v>
      </c>
      <c r="G26" s="1152">
        <v>12</v>
      </c>
      <c r="H26" s="1152">
        <v>1202</v>
      </c>
      <c r="I26" s="1152" t="s">
        <v>3759</v>
      </c>
      <c r="J26" s="1152" t="s">
        <v>21</v>
      </c>
      <c r="K26" s="1152" t="s">
        <v>3699</v>
      </c>
      <c r="L26" s="1152">
        <v>1264.49</v>
      </c>
      <c r="M26" s="1152">
        <v>9736.57</v>
      </c>
      <c r="N26" s="1152">
        <v>77000</v>
      </c>
    </row>
    <row r="27" spans="1:14">
      <c r="A27" s="3207">
        <v>45657.333831018521</v>
      </c>
      <c r="B27" s="3207">
        <v>45566.333831018521</v>
      </c>
      <c r="C27" s="1152">
        <v>91</v>
      </c>
      <c r="D27" s="1152" t="s">
        <v>3758</v>
      </c>
      <c r="E27" s="1152" t="s">
        <v>3695</v>
      </c>
      <c r="F27" s="1152" t="s">
        <v>3695</v>
      </c>
      <c r="G27" s="1152">
        <v>9</v>
      </c>
      <c r="H27" s="1152">
        <v>902</v>
      </c>
      <c r="I27" s="1152" t="s">
        <v>3759</v>
      </c>
      <c r="J27" s="1152" t="s">
        <v>21</v>
      </c>
      <c r="K27" s="1152" t="s">
        <v>3699</v>
      </c>
      <c r="L27" s="1152">
        <v>759.81</v>
      </c>
      <c r="M27" s="1152">
        <v>5850.54</v>
      </c>
      <c r="N27" s="1152">
        <v>77000</v>
      </c>
    </row>
    <row r="28" spans="1:14">
      <c r="A28" s="3207">
        <v>45657.333831018521</v>
      </c>
      <c r="B28" s="3207">
        <v>45566.333831018521</v>
      </c>
      <c r="C28" s="1152">
        <v>91</v>
      </c>
      <c r="D28" s="1152" t="s">
        <v>3758</v>
      </c>
      <c r="E28" s="1152" t="s">
        <v>3695</v>
      </c>
      <c r="F28" s="1152" t="s">
        <v>3695</v>
      </c>
      <c r="G28" s="1152">
        <v>9</v>
      </c>
      <c r="H28" s="1152">
        <v>901</v>
      </c>
      <c r="I28" s="1152" t="s">
        <v>3759</v>
      </c>
      <c r="J28" s="1152" t="s">
        <v>21</v>
      </c>
      <c r="K28" s="1152" t="s">
        <v>3699</v>
      </c>
      <c r="L28" s="1152">
        <v>776.66</v>
      </c>
      <c r="M28" s="1152">
        <v>5980.28</v>
      </c>
      <c r="N28" s="1152">
        <v>77000</v>
      </c>
    </row>
    <row r="29" spans="1:14">
      <c r="A29" s="3207">
        <v>45657.333831018521</v>
      </c>
      <c r="B29" s="3207">
        <v>45566.333831018521</v>
      </c>
      <c r="C29" s="1152">
        <v>91</v>
      </c>
      <c r="D29" s="1152" t="s">
        <v>3758</v>
      </c>
      <c r="E29" s="1152" t="s">
        <v>3695</v>
      </c>
      <c r="F29" s="1152" t="s">
        <v>3695</v>
      </c>
      <c r="G29" s="1152">
        <v>7</v>
      </c>
      <c r="H29" s="1152">
        <v>703</v>
      </c>
      <c r="I29" s="1152" t="s">
        <v>3759</v>
      </c>
      <c r="J29" s="1152" t="s">
        <v>21</v>
      </c>
      <c r="K29" s="1152" t="s">
        <v>3699</v>
      </c>
      <c r="L29" s="1152">
        <v>819.52</v>
      </c>
      <c r="M29" s="1152">
        <v>6310.3</v>
      </c>
      <c r="N29" s="1152">
        <v>77000</v>
      </c>
    </row>
    <row r="30" spans="1:14">
      <c r="A30" s="3207">
        <v>45657.333831018521</v>
      </c>
      <c r="B30" s="3207">
        <v>45566.333831018521</v>
      </c>
      <c r="C30" s="1152">
        <v>91</v>
      </c>
      <c r="D30" s="1152" t="s">
        <v>3758</v>
      </c>
      <c r="E30" s="1152" t="s">
        <v>3695</v>
      </c>
      <c r="F30" s="1152" t="s">
        <v>3695</v>
      </c>
      <c r="G30" s="1152">
        <v>8</v>
      </c>
      <c r="H30" s="1152">
        <v>803</v>
      </c>
      <c r="I30" s="1152" t="s">
        <v>3759</v>
      </c>
      <c r="J30" s="1152" t="s">
        <v>21</v>
      </c>
      <c r="K30" s="1152" t="s">
        <v>3699</v>
      </c>
      <c r="L30" s="1152">
        <v>819.52</v>
      </c>
      <c r="M30" s="1152">
        <v>6310.3</v>
      </c>
      <c r="N30" s="1152">
        <v>77000</v>
      </c>
    </row>
    <row r="31" spans="1:14">
      <c r="A31" s="3207">
        <v>45657.333831018521</v>
      </c>
      <c r="B31" s="3207">
        <v>45566.333831018521</v>
      </c>
      <c r="C31" s="1152">
        <v>91</v>
      </c>
      <c r="D31" s="1152" t="s">
        <v>3758</v>
      </c>
      <c r="E31" s="1152" t="s">
        <v>3695</v>
      </c>
      <c r="F31" s="1152" t="s">
        <v>3695</v>
      </c>
      <c r="G31" s="1152">
        <v>9</v>
      </c>
      <c r="H31" s="1152">
        <v>903</v>
      </c>
      <c r="I31" s="1152" t="s">
        <v>3759</v>
      </c>
      <c r="J31" s="1152" t="s">
        <v>21</v>
      </c>
      <c r="K31" s="1152" t="s">
        <v>3699</v>
      </c>
      <c r="L31" s="1152">
        <v>819.52</v>
      </c>
      <c r="M31" s="1152">
        <v>6310.3</v>
      </c>
      <c r="N31" s="1152">
        <v>77000</v>
      </c>
    </row>
    <row r="32" spans="1:14">
      <c r="A32" s="3207">
        <v>45657.333831018521</v>
      </c>
      <c r="B32" s="3207">
        <v>45566.333831018521</v>
      </c>
      <c r="C32" s="1152">
        <v>91</v>
      </c>
      <c r="D32" s="1152" t="s">
        <v>3758</v>
      </c>
      <c r="E32" s="1152" t="s">
        <v>3695</v>
      </c>
      <c r="F32" s="1152" t="s">
        <v>3695</v>
      </c>
      <c r="G32" s="1152">
        <v>10</v>
      </c>
      <c r="H32" s="1152">
        <v>1004</v>
      </c>
      <c r="I32" s="1152" t="s">
        <v>3759</v>
      </c>
      <c r="J32" s="1152" t="s">
        <v>21</v>
      </c>
      <c r="K32" s="1152" t="s">
        <v>3699</v>
      </c>
      <c r="L32" s="1152">
        <v>820.62</v>
      </c>
      <c r="M32" s="1152">
        <v>6318.77</v>
      </c>
      <c r="N32" s="1152">
        <v>77000</v>
      </c>
    </row>
    <row r="33" spans="1:14">
      <c r="A33" s="3207">
        <v>45657.333831018521</v>
      </c>
      <c r="B33" s="3207">
        <v>45566.333831018521</v>
      </c>
      <c r="C33" s="1152">
        <v>91</v>
      </c>
      <c r="D33" s="1152" t="s">
        <v>3758</v>
      </c>
      <c r="E33" s="1152" t="s">
        <v>3695</v>
      </c>
      <c r="F33" s="1152" t="s">
        <v>3695</v>
      </c>
      <c r="G33" s="1152">
        <v>11</v>
      </c>
      <c r="H33" s="1152">
        <v>1103</v>
      </c>
      <c r="I33" s="1152" t="s">
        <v>3759</v>
      </c>
      <c r="J33" s="1152" t="s">
        <v>21</v>
      </c>
      <c r="K33" s="1152" t="s">
        <v>3699</v>
      </c>
      <c r="L33" s="1152">
        <v>819.52</v>
      </c>
      <c r="M33" s="1152">
        <v>6310.3</v>
      </c>
      <c r="N33" s="1152">
        <v>77000</v>
      </c>
    </row>
    <row r="34" spans="1:14">
      <c r="A34" s="3207">
        <v>45657.333831018521</v>
      </c>
      <c r="B34" s="3207">
        <v>45566.333831018521</v>
      </c>
      <c r="C34" s="1152">
        <v>91</v>
      </c>
      <c r="D34" s="1152" t="s">
        <v>3758</v>
      </c>
      <c r="E34" s="1152" t="s">
        <v>3695</v>
      </c>
      <c r="F34" s="1152" t="s">
        <v>3695</v>
      </c>
      <c r="G34" s="1152">
        <v>7</v>
      </c>
      <c r="H34" s="1152">
        <v>704</v>
      </c>
      <c r="I34" s="1152" t="s">
        <v>3759</v>
      </c>
      <c r="J34" s="1152" t="s">
        <v>21</v>
      </c>
      <c r="K34" s="1152" t="s">
        <v>3699</v>
      </c>
      <c r="L34" s="1152">
        <v>820.62</v>
      </c>
      <c r="M34" s="1152">
        <v>6318.77</v>
      </c>
      <c r="N34" s="1152">
        <v>77000</v>
      </c>
    </row>
    <row r="35" spans="1:14">
      <c r="A35" s="3207">
        <v>45657.333831018521</v>
      </c>
      <c r="B35" s="3207">
        <v>45566.333831018521</v>
      </c>
      <c r="C35" s="1152">
        <v>91</v>
      </c>
      <c r="D35" s="1152" t="s">
        <v>3758</v>
      </c>
      <c r="E35" s="1152" t="s">
        <v>3695</v>
      </c>
      <c r="F35" s="1152" t="s">
        <v>3695</v>
      </c>
      <c r="G35" s="1152">
        <v>8</v>
      </c>
      <c r="H35" s="1152">
        <v>804</v>
      </c>
      <c r="I35" s="1152" t="s">
        <v>3759</v>
      </c>
      <c r="J35" s="1152" t="s">
        <v>21</v>
      </c>
      <c r="K35" s="1152" t="s">
        <v>3699</v>
      </c>
      <c r="L35" s="1152">
        <v>820.62</v>
      </c>
      <c r="M35" s="1152">
        <v>6318.77</v>
      </c>
      <c r="N35" s="1152">
        <v>77000</v>
      </c>
    </row>
    <row r="36" spans="1:14">
      <c r="A36" s="3207">
        <v>45657.333831018521</v>
      </c>
      <c r="B36" s="3207">
        <v>45566.333831018521</v>
      </c>
      <c r="C36" s="1152">
        <v>91</v>
      </c>
      <c r="D36" s="1152" t="s">
        <v>3758</v>
      </c>
      <c r="E36" s="1152" t="s">
        <v>3695</v>
      </c>
      <c r="F36" s="1152" t="s">
        <v>3695</v>
      </c>
      <c r="G36" s="1152">
        <v>4</v>
      </c>
      <c r="H36" s="1152">
        <v>402</v>
      </c>
      <c r="I36" s="1152" t="s">
        <v>3759</v>
      </c>
      <c r="J36" s="1152" t="s">
        <v>21</v>
      </c>
      <c r="K36" s="1152" t="s">
        <v>3699</v>
      </c>
      <c r="L36" s="1152">
        <v>759.81</v>
      </c>
      <c r="M36" s="1152">
        <v>5850.54</v>
      </c>
      <c r="N36" s="1152">
        <v>77000</v>
      </c>
    </row>
    <row r="37" spans="1:14">
      <c r="A37" s="3207">
        <v>45657.333831018521</v>
      </c>
      <c r="B37" s="3207">
        <v>45566.333831018521</v>
      </c>
      <c r="C37" s="1152">
        <v>91</v>
      </c>
      <c r="D37" s="1152" t="s">
        <v>3758</v>
      </c>
      <c r="E37" s="1152" t="s">
        <v>3695</v>
      </c>
      <c r="F37" s="1152" t="s">
        <v>3695</v>
      </c>
      <c r="G37" s="1152">
        <v>11</v>
      </c>
      <c r="H37" s="1152">
        <v>1101</v>
      </c>
      <c r="I37" s="1152" t="s">
        <v>3759</v>
      </c>
      <c r="J37" s="1152" t="s">
        <v>21</v>
      </c>
      <c r="K37" s="1152" t="s">
        <v>3699</v>
      </c>
      <c r="L37" s="1152">
        <v>776.66</v>
      </c>
      <c r="M37" s="1152">
        <v>5980.28</v>
      </c>
      <c r="N37" s="1152">
        <v>77000</v>
      </c>
    </row>
    <row r="38" spans="1:14">
      <c r="A38" s="3207">
        <v>45657.333831018521</v>
      </c>
      <c r="B38" s="3207">
        <v>45566.333831018521</v>
      </c>
      <c r="C38" s="1152">
        <v>91</v>
      </c>
      <c r="D38" s="1152" t="s">
        <v>3758</v>
      </c>
      <c r="E38" s="1152" t="s">
        <v>3695</v>
      </c>
      <c r="F38" s="1152" t="s">
        <v>3695</v>
      </c>
      <c r="G38" s="1152">
        <v>10</v>
      </c>
      <c r="H38" s="1152">
        <v>1002</v>
      </c>
      <c r="I38" s="1152" t="s">
        <v>3759</v>
      </c>
      <c r="J38" s="1152" t="s">
        <v>21</v>
      </c>
      <c r="K38" s="1152" t="s">
        <v>3699</v>
      </c>
      <c r="L38" s="1152">
        <v>759.81</v>
      </c>
      <c r="M38" s="1152">
        <v>5850.54</v>
      </c>
      <c r="N38" s="1152">
        <v>77000</v>
      </c>
    </row>
    <row r="39" spans="1:14">
      <c r="A39" s="3207">
        <v>45657.333831018521</v>
      </c>
      <c r="B39" s="3207">
        <v>45566.333831018521</v>
      </c>
      <c r="C39" s="1152">
        <v>91</v>
      </c>
      <c r="D39" s="1152" t="s">
        <v>3758</v>
      </c>
      <c r="E39" s="1152" t="s">
        <v>3695</v>
      </c>
      <c r="F39" s="1152" t="s">
        <v>3695</v>
      </c>
      <c r="G39" s="1152">
        <v>8</v>
      </c>
      <c r="H39" s="1152">
        <v>801</v>
      </c>
      <c r="I39" s="1152" t="s">
        <v>3759</v>
      </c>
      <c r="J39" s="1152" t="s">
        <v>21</v>
      </c>
      <c r="K39" s="1152" t="s">
        <v>3699</v>
      </c>
      <c r="L39" s="1152">
        <v>776.66</v>
      </c>
      <c r="M39" s="1152">
        <v>5980.28</v>
      </c>
      <c r="N39" s="1152">
        <v>77000</v>
      </c>
    </row>
    <row r="40" spans="1:14">
      <c r="A40" s="3207">
        <v>45657.333831018521</v>
      </c>
      <c r="B40" s="3207">
        <v>45566.333831018521</v>
      </c>
      <c r="C40" s="1152">
        <v>91</v>
      </c>
      <c r="D40" s="1152" t="s">
        <v>3758</v>
      </c>
      <c r="E40" s="1152" t="s">
        <v>3695</v>
      </c>
      <c r="F40" s="1152" t="s">
        <v>3695</v>
      </c>
      <c r="G40" s="1152">
        <v>8</v>
      </c>
      <c r="H40" s="1152">
        <v>802</v>
      </c>
      <c r="I40" s="1152" t="s">
        <v>3759</v>
      </c>
      <c r="J40" s="1152" t="s">
        <v>21</v>
      </c>
      <c r="K40" s="1152" t="s">
        <v>3699</v>
      </c>
      <c r="L40" s="1152">
        <v>759.81</v>
      </c>
      <c r="M40" s="1152">
        <v>5850.54</v>
      </c>
      <c r="N40" s="1152">
        <v>77000</v>
      </c>
    </row>
    <row r="41" spans="1:14">
      <c r="A41" s="3207">
        <v>45657.333831018521</v>
      </c>
      <c r="B41" s="3207">
        <v>45566.333831018521</v>
      </c>
      <c r="C41" s="1152">
        <v>91</v>
      </c>
      <c r="D41" s="1152" t="s">
        <v>3758</v>
      </c>
      <c r="E41" s="1152" t="s">
        <v>3695</v>
      </c>
      <c r="F41" s="1152" t="s">
        <v>3695</v>
      </c>
      <c r="G41" s="1152">
        <v>3</v>
      </c>
      <c r="H41" s="1152">
        <v>301</v>
      </c>
      <c r="I41" s="1152" t="s">
        <v>3759</v>
      </c>
      <c r="J41" s="1152" t="s">
        <v>21</v>
      </c>
      <c r="K41" s="1152" t="s">
        <v>3699</v>
      </c>
      <c r="L41" s="1152">
        <v>776.66</v>
      </c>
      <c r="M41" s="1152">
        <v>5980.28</v>
      </c>
      <c r="N41" s="1152">
        <v>77000</v>
      </c>
    </row>
    <row r="42" spans="1:14">
      <c r="A42" s="1152"/>
      <c r="B42" s="1152"/>
      <c r="C42" s="1152"/>
      <c r="D42" s="1152"/>
      <c r="E42" s="1152"/>
      <c r="F42" s="1152"/>
      <c r="G42" s="1152"/>
      <c r="H42" s="1152"/>
      <c r="I42" s="1152"/>
      <c r="J42" s="1152" t="s">
        <v>2590</v>
      </c>
      <c r="K42" s="1152"/>
      <c r="L42" s="1152">
        <f>SUM(L2:L41)</f>
        <v>32725.310000000005</v>
      </c>
      <c r="M42" s="1152">
        <f>SUM(M2:M41)</f>
        <v>251658.20999999993</v>
      </c>
      <c r="N42" s="1152">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83:N141"/>
  <sheetViews>
    <sheetView topLeftCell="A154" workbookViewId="0">
      <selection activeCell="K83" sqref="K83"/>
    </sheetView>
  </sheetViews>
  <sheetFormatPr defaultRowHeight="14.4"/>
  <cols>
    <col min="1" max="1" width="11.33203125" customWidth="1"/>
  </cols>
  <sheetData>
    <row r="83" spans="1:14">
      <c r="A83" s="1152" t="s">
        <v>3681</v>
      </c>
      <c r="B83" s="1152" t="s">
        <v>3682</v>
      </c>
      <c r="C83" s="1152" t="s">
        <v>3683</v>
      </c>
      <c r="D83" s="1152" t="s">
        <v>3684</v>
      </c>
      <c r="E83" s="1152" t="s">
        <v>3685</v>
      </c>
      <c r="F83" s="1152" t="s">
        <v>3686</v>
      </c>
      <c r="G83" s="1152" t="s">
        <v>3687</v>
      </c>
      <c r="H83" s="1152" t="s">
        <v>3688</v>
      </c>
      <c r="I83" s="1152" t="s">
        <v>3689</v>
      </c>
      <c r="J83" s="1152" t="s">
        <v>3690</v>
      </c>
      <c r="K83" s="1152" t="s">
        <v>3691</v>
      </c>
      <c r="L83" s="1152" t="s">
        <v>3692</v>
      </c>
      <c r="M83" s="1152" t="s">
        <v>3693</v>
      </c>
      <c r="N83" s="1152" t="s">
        <v>3694</v>
      </c>
    </row>
    <row r="84" spans="1:14">
      <c r="A84" s="3207">
        <v>45393.333831018521</v>
      </c>
      <c r="B84" s="1152" t="s">
        <v>3695</v>
      </c>
      <c r="C84" s="1152" t="s">
        <v>3695</v>
      </c>
      <c r="D84" s="1152" t="s">
        <v>3696</v>
      </c>
      <c r="E84" s="1152" t="s">
        <v>3695</v>
      </c>
      <c r="F84" s="1152" t="s">
        <v>3695</v>
      </c>
      <c r="G84" s="1152">
        <v>14</v>
      </c>
      <c r="H84" s="1152" t="s">
        <v>3697</v>
      </c>
      <c r="I84" s="1152" t="s">
        <v>3698</v>
      </c>
      <c r="J84" s="1152" t="s">
        <v>21</v>
      </c>
      <c r="K84" s="1152" t="s">
        <v>3699</v>
      </c>
      <c r="L84" s="1152">
        <v>945.92</v>
      </c>
      <c r="M84" s="1152">
        <v>7818.31</v>
      </c>
      <c r="N84" s="1152">
        <v>82653</v>
      </c>
    </row>
    <row r="85" spans="1:14">
      <c r="A85" s="3207">
        <v>45393.333831018521</v>
      </c>
      <c r="B85" s="1152" t="s">
        <v>3695</v>
      </c>
      <c r="C85" s="1152" t="s">
        <v>3695</v>
      </c>
      <c r="D85" s="1152" t="s">
        <v>3696</v>
      </c>
      <c r="E85" s="1152" t="s">
        <v>3695</v>
      </c>
      <c r="F85" s="1152" t="s">
        <v>3695</v>
      </c>
      <c r="G85" s="1152">
        <v>11</v>
      </c>
      <c r="H85" s="1152" t="s">
        <v>3700</v>
      </c>
      <c r="I85" s="1152" t="s">
        <v>3698</v>
      </c>
      <c r="J85" s="1152" t="s">
        <v>21</v>
      </c>
      <c r="K85" s="1152" t="s">
        <v>3699</v>
      </c>
      <c r="L85" s="1152">
        <v>1194.76</v>
      </c>
      <c r="M85" s="1152">
        <v>9743.6299999999992</v>
      </c>
      <c r="N85" s="1152">
        <v>81553</v>
      </c>
    </row>
    <row r="86" spans="1:14">
      <c r="A86" s="3207">
        <v>45393.333831018521</v>
      </c>
      <c r="B86" s="1152" t="s">
        <v>3695</v>
      </c>
      <c r="C86" s="1152" t="s">
        <v>3695</v>
      </c>
      <c r="D86" s="1152" t="s">
        <v>3696</v>
      </c>
      <c r="E86" s="1152" t="s">
        <v>3695</v>
      </c>
      <c r="F86" s="1152" t="s">
        <v>3695</v>
      </c>
      <c r="G86" s="1152">
        <v>15</v>
      </c>
      <c r="H86" s="1152" t="s">
        <v>3701</v>
      </c>
      <c r="I86" s="1152" t="s">
        <v>3698</v>
      </c>
      <c r="J86" s="1152" t="s">
        <v>21</v>
      </c>
      <c r="K86" s="1152" t="s">
        <v>3699</v>
      </c>
      <c r="L86" s="1152">
        <v>1030</v>
      </c>
      <c r="M86" s="1152">
        <v>8492.66</v>
      </c>
      <c r="N86" s="1152">
        <v>82453</v>
      </c>
    </row>
    <row r="87" spans="1:14">
      <c r="A87" s="3207">
        <v>45393.333831018521</v>
      </c>
      <c r="B87" s="1152" t="s">
        <v>3695</v>
      </c>
      <c r="C87" s="1152" t="s">
        <v>3695</v>
      </c>
      <c r="D87" s="1152" t="s">
        <v>3696</v>
      </c>
      <c r="E87" s="1152" t="s">
        <v>3695</v>
      </c>
      <c r="F87" s="1152" t="s">
        <v>3695</v>
      </c>
      <c r="G87" s="1152">
        <v>17</v>
      </c>
      <c r="H87" s="1152" t="s">
        <v>3702</v>
      </c>
      <c r="I87" s="1152" t="s">
        <v>3698</v>
      </c>
      <c r="J87" s="1152" t="s">
        <v>21</v>
      </c>
      <c r="K87" s="1152" t="s">
        <v>3699</v>
      </c>
      <c r="L87" s="1152">
        <v>1030</v>
      </c>
      <c r="M87" s="1152">
        <v>8513.26</v>
      </c>
      <c r="N87" s="1152">
        <v>82653</v>
      </c>
    </row>
    <row r="88" spans="1:14">
      <c r="A88" s="3207">
        <v>45393.333831018521</v>
      </c>
      <c r="B88" s="1152" t="s">
        <v>3695</v>
      </c>
      <c r="C88" s="1152" t="s">
        <v>3695</v>
      </c>
      <c r="D88" s="1152" t="s">
        <v>3696</v>
      </c>
      <c r="E88" s="1152" t="s">
        <v>3695</v>
      </c>
      <c r="F88" s="1152" t="s">
        <v>3695</v>
      </c>
      <c r="G88" s="1152">
        <v>13</v>
      </c>
      <c r="H88" s="1152" t="s">
        <v>3703</v>
      </c>
      <c r="I88" s="1152" t="s">
        <v>3698</v>
      </c>
      <c r="J88" s="1152" t="s">
        <v>21</v>
      </c>
      <c r="K88" s="1152" t="s">
        <v>3699</v>
      </c>
      <c r="L88" s="1152">
        <v>945.92</v>
      </c>
      <c r="M88" s="1152">
        <v>7808.85</v>
      </c>
      <c r="N88" s="1152">
        <v>82553</v>
      </c>
    </row>
    <row r="89" spans="1:14">
      <c r="A89" s="3207">
        <v>45393.333831018521</v>
      </c>
      <c r="B89" s="1152" t="s">
        <v>3695</v>
      </c>
      <c r="C89" s="1152" t="s">
        <v>3695</v>
      </c>
      <c r="D89" s="1152" t="s">
        <v>3696</v>
      </c>
      <c r="E89" s="1152" t="s">
        <v>3695</v>
      </c>
      <c r="F89" s="1152" t="s">
        <v>3695</v>
      </c>
      <c r="G89" s="1152">
        <v>17</v>
      </c>
      <c r="H89" s="1152" t="s">
        <v>3704</v>
      </c>
      <c r="I89" s="1152" t="s">
        <v>3698</v>
      </c>
      <c r="J89" s="1152" t="s">
        <v>21</v>
      </c>
      <c r="K89" s="1152" t="s">
        <v>3699</v>
      </c>
      <c r="L89" s="1152">
        <v>945.92</v>
      </c>
      <c r="M89" s="1152">
        <v>7846.69</v>
      </c>
      <c r="N89" s="1152">
        <v>82953</v>
      </c>
    </row>
    <row r="90" spans="1:14">
      <c r="A90" s="3207">
        <v>45393.333831018521</v>
      </c>
      <c r="B90" s="1152" t="s">
        <v>3695</v>
      </c>
      <c r="C90" s="1152" t="s">
        <v>3695</v>
      </c>
      <c r="D90" s="1152" t="s">
        <v>3696</v>
      </c>
      <c r="E90" s="1152" t="s">
        <v>3695</v>
      </c>
      <c r="F90" s="1152" t="s">
        <v>3695</v>
      </c>
      <c r="G90" s="1152">
        <v>1</v>
      </c>
      <c r="H90" s="1152">
        <v>106</v>
      </c>
      <c r="I90" s="1152" t="s">
        <v>3698</v>
      </c>
      <c r="J90" s="1152" t="s">
        <v>21</v>
      </c>
      <c r="K90" s="1152" t="s">
        <v>3699</v>
      </c>
      <c r="L90" s="1152">
        <v>75.930000000000007</v>
      </c>
      <c r="M90" s="1152">
        <v>439.63</v>
      </c>
      <c r="N90" s="1152">
        <v>57900</v>
      </c>
    </row>
    <row r="91" spans="1:14">
      <c r="A91" s="3207">
        <v>45393.333831018521</v>
      </c>
      <c r="B91" s="1152" t="s">
        <v>3695</v>
      </c>
      <c r="C91" s="1152" t="s">
        <v>3695</v>
      </c>
      <c r="D91" s="1152" t="s">
        <v>3696</v>
      </c>
      <c r="E91" s="1152" t="s">
        <v>3695</v>
      </c>
      <c r="F91" s="1152" t="s">
        <v>3695</v>
      </c>
      <c r="G91" s="1152">
        <v>4</v>
      </c>
      <c r="H91" s="1152" t="s">
        <v>3705</v>
      </c>
      <c r="I91" s="1152" t="s">
        <v>3698</v>
      </c>
      <c r="J91" s="1152" t="s">
        <v>21</v>
      </c>
      <c r="K91" s="1152" t="s">
        <v>3699</v>
      </c>
      <c r="L91" s="1152">
        <v>929.37</v>
      </c>
      <c r="M91" s="1152">
        <v>7514.24</v>
      </c>
      <c r="N91" s="1152">
        <v>80853</v>
      </c>
    </row>
    <row r="92" spans="1:14">
      <c r="A92" s="3207">
        <v>45393.333831018521</v>
      </c>
      <c r="B92" s="1152" t="s">
        <v>3695</v>
      </c>
      <c r="C92" s="1152" t="s">
        <v>3695</v>
      </c>
      <c r="D92" s="1152" t="s">
        <v>3696</v>
      </c>
      <c r="E92" s="1152" t="s">
        <v>3695</v>
      </c>
      <c r="F92" s="1152" t="s">
        <v>3695</v>
      </c>
      <c r="G92" s="1152">
        <v>6</v>
      </c>
      <c r="H92" s="1152" t="s">
        <v>3706</v>
      </c>
      <c r="I92" s="1152" t="s">
        <v>3698</v>
      </c>
      <c r="J92" s="1152" t="s">
        <v>21</v>
      </c>
      <c r="K92" s="1152" t="s">
        <v>3699</v>
      </c>
      <c r="L92" s="1152">
        <v>1029.51</v>
      </c>
      <c r="M92" s="1152">
        <v>8395.9599999999991</v>
      </c>
      <c r="N92" s="1152">
        <v>81553</v>
      </c>
    </row>
    <row r="93" spans="1:14">
      <c r="A93" s="3207">
        <v>45393.333831018521</v>
      </c>
      <c r="B93" s="1152" t="s">
        <v>3695</v>
      </c>
      <c r="C93" s="1152" t="s">
        <v>3695</v>
      </c>
      <c r="D93" s="1152" t="s">
        <v>3696</v>
      </c>
      <c r="E93" s="1152" t="s">
        <v>3695</v>
      </c>
      <c r="F93" s="1152" t="s">
        <v>3695</v>
      </c>
      <c r="G93" s="1152">
        <v>11</v>
      </c>
      <c r="H93" s="1152" t="s">
        <v>3707</v>
      </c>
      <c r="I93" s="1152" t="s">
        <v>3698</v>
      </c>
      <c r="J93" s="1152" t="s">
        <v>21</v>
      </c>
      <c r="K93" s="1152" t="s">
        <v>3699</v>
      </c>
      <c r="L93" s="1152">
        <v>1030.96</v>
      </c>
      <c r="M93" s="1152">
        <v>8459.34</v>
      </c>
      <c r="N93" s="1152">
        <v>82053</v>
      </c>
    </row>
    <row r="94" spans="1:14">
      <c r="A94" s="3207">
        <v>45393.333831018521</v>
      </c>
      <c r="B94" s="1152" t="s">
        <v>3695</v>
      </c>
      <c r="C94" s="1152" t="s">
        <v>3695</v>
      </c>
      <c r="D94" s="1152" t="s">
        <v>3696</v>
      </c>
      <c r="E94" s="1152" t="s">
        <v>3695</v>
      </c>
      <c r="F94" s="1152" t="s">
        <v>3695</v>
      </c>
      <c r="G94" s="1152">
        <v>11</v>
      </c>
      <c r="H94" s="1152" t="s">
        <v>3708</v>
      </c>
      <c r="I94" s="1152" t="s">
        <v>3698</v>
      </c>
      <c r="J94" s="1152" t="s">
        <v>21</v>
      </c>
      <c r="K94" s="1152" t="s">
        <v>3699</v>
      </c>
      <c r="L94" s="1152">
        <v>888.19</v>
      </c>
      <c r="M94" s="1152">
        <v>7314.51</v>
      </c>
      <c r="N94" s="1152">
        <v>82353</v>
      </c>
    </row>
    <row r="95" spans="1:14">
      <c r="A95" s="3207">
        <v>45393.333831018521</v>
      </c>
      <c r="B95" s="1152" t="s">
        <v>3695</v>
      </c>
      <c r="C95" s="1152" t="s">
        <v>3695</v>
      </c>
      <c r="D95" s="1152" t="s">
        <v>3696</v>
      </c>
      <c r="E95" s="1152" t="s">
        <v>3695</v>
      </c>
      <c r="F95" s="1152" t="s">
        <v>3695</v>
      </c>
      <c r="G95" s="1152">
        <v>7</v>
      </c>
      <c r="H95" s="1152" t="s">
        <v>3709</v>
      </c>
      <c r="I95" s="1152" t="s">
        <v>3698</v>
      </c>
      <c r="J95" s="1152" t="s">
        <v>21</v>
      </c>
      <c r="K95" s="1152" t="s">
        <v>3699</v>
      </c>
      <c r="L95" s="1152">
        <v>807.36</v>
      </c>
      <c r="M95" s="1152">
        <v>6632.7</v>
      </c>
      <c r="N95" s="1152">
        <v>82153</v>
      </c>
    </row>
    <row r="96" spans="1:14">
      <c r="A96" s="3207">
        <v>45393.333831018521</v>
      </c>
      <c r="B96" s="1152" t="s">
        <v>3695</v>
      </c>
      <c r="C96" s="1152" t="s">
        <v>3695</v>
      </c>
      <c r="D96" s="1152" t="s">
        <v>3696</v>
      </c>
      <c r="E96" s="1152" t="s">
        <v>3695</v>
      </c>
      <c r="F96" s="1152" t="s">
        <v>3695</v>
      </c>
      <c r="G96" s="1152">
        <v>6</v>
      </c>
      <c r="H96" s="1152" t="s">
        <v>3710</v>
      </c>
      <c r="I96" s="1152" t="s">
        <v>3698</v>
      </c>
      <c r="J96" s="1152" t="s">
        <v>21</v>
      </c>
      <c r="K96" s="1152" t="s">
        <v>3699</v>
      </c>
      <c r="L96" s="1152">
        <v>807.37</v>
      </c>
      <c r="M96" s="1152">
        <v>6624.71</v>
      </c>
      <c r="N96" s="1152">
        <v>82053</v>
      </c>
    </row>
    <row r="97" spans="1:14">
      <c r="A97" s="3207">
        <v>45393.333831018521</v>
      </c>
      <c r="B97" s="1152" t="s">
        <v>3695</v>
      </c>
      <c r="C97" s="1152" t="s">
        <v>3695</v>
      </c>
      <c r="D97" s="1152" t="s">
        <v>3696</v>
      </c>
      <c r="E97" s="1152" t="s">
        <v>3695</v>
      </c>
      <c r="F97" s="1152" t="s">
        <v>3695</v>
      </c>
      <c r="G97" s="1152">
        <v>8</v>
      </c>
      <c r="H97" s="1152" t="s">
        <v>3711</v>
      </c>
      <c r="I97" s="1152" t="s">
        <v>3698</v>
      </c>
      <c r="J97" s="1152" t="s">
        <v>21</v>
      </c>
      <c r="K97" s="1152" t="s">
        <v>3699</v>
      </c>
      <c r="L97" s="1152">
        <v>1197.99</v>
      </c>
      <c r="M97" s="1152">
        <v>9734.0300000000007</v>
      </c>
      <c r="N97" s="1152">
        <v>81253</v>
      </c>
    </row>
    <row r="98" spans="1:14">
      <c r="A98" s="3207">
        <v>45393.333831018521</v>
      </c>
      <c r="B98" s="1152" t="s">
        <v>3695</v>
      </c>
      <c r="C98" s="1152" t="s">
        <v>3695</v>
      </c>
      <c r="D98" s="1152" t="s">
        <v>3696</v>
      </c>
      <c r="E98" s="1152" t="s">
        <v>3695</v>
      </c>
      <c r="F98" s="1152" t="s">
        <v>3695</v>
      </c>
      <c r="G98" s="1152">
        <v>9</v>
      </c>
      <c r="H98" s="1152" t="s">
        <v>3712</v>
      </c>
      <c r="I98" s="1152" t="s">
        <v>3698</v>
      </c>
      <c r="J98" s="1152" t="s">
        <v>21</v>
      </c>
      <c r="K98" s="1152" t="s">
        <v>3699</v>
      </c>
      <c r="L98" s="1152">
        <v>1028.6300000000001</v>
      </c>
      <c r="M98" s="1152">
        <v>8419.65</v>
      </c>
      <c r="N98" s="1152">
        <v>81853</v>
      </c>
    </row>
    <row r="99" spans="1:14">
      <c r="A99" s="3207">
        <v>45393.333831018521</v>
      </c>
      <c r="B99" s="1152" t="s">
        <v>3695</v>
      </c>
      <c r="C99" s="1152" t="s">
        <v>3695</v>
      </c>
      <c r="D99" s="1152" t="s">
        <v>3696</v>
      </c>
      <c r="E99" s="1152" t="s">
        <v>3695</v>
      </c>
      <c r="F99" s="1152" t="s">
        <v>3695</v>
      </c>
      <c r="G99" s="1152">
        <v>5</v>
      </c>
      <c r="H99" s="1152" t="s">
        <v>3713</v>
      </c>
      <c r="I99" s="1152" t="s">
        <v>3698</v>
      </c>
      <c r="J99" s="1152" t="s">
        <v>21</v>
      </c>
      <c r="K99" s="1152" t="s">
        <v>3699</v>
      </c>
      <c r="L99" s="1152">
        <v>1058.1500000000001</v>
      </c>
      <c r="M99" s="1152">
        <v>8618.9500000000007</v>
      </c>
      <c r="N99" s="1152">
        <v>81453</v>
      </c>
    </row>
    <row r="100" spans="1:14">
      <c r="A100" s="3207">
        <v>45393.333831018521</v>
      </c>
      <c r="B100" s="1152" t="s">
        <v>3695</v>
      </c>
      <c r="C100" s="1152" t="s">
        <v>3695</v>
      </c>
      <c r="D100" s="1152" t="s">
        <v>3696</v>
      </c>
      <c r="E100" s="1152" t="s">
        <v>3695</v>
      </c>
      <c r="F100" s="1152" t="s">
        <v>3695</v>
      </c>
      <c r="G100" s="1152">
        <v>8</v>
      </c>
      <c r="H100" s="1152" t="s">
        <v>3714</v>
      </c>
      <c r="I100" s="1152" t="s">
        <v>3698</v>
      </c>
      <c r="J100" s="1152" t="s">
        <v>21</v>
      </c>
      <c r="K100" s="1152" t="s">
        <v>3699</v>
      </c>
      <c r="L100" s="1152">
        <v>1028.6300000000001</v>
      </c>
      <c r="M100" s="1152">
        <v>8409.36</v>
      </c>
      <c r="N100" s="1152">
        <v>81753</v>
      </c>
    </row>
    <row r="101" spans="1:14">
      <c r="A101" s="3207">
        <v>45393.333831018521</v>
      </c>
      <c r="B101" s="1152" t="s">
        <v>3695</v>
      </c>
      <c r="C101" s="1152" t="s">
        <v>3695</v>
      </c>
      <c r="D101" s="1152" t="s">
        <v>3696</v>
      </c>
      <c r="E101" s="1152" t="s">
        <v>3695</v>
      </c>
      <c r="F101" s="1152" t="s">
        <v>3695</v>
      </c>
      <c r="G101" s="1152">
        <v>14</v>
      </c>
      <c r="H101" s="1152" t="s">
        <v>3715</v>
      </c>
      <c r="I101" s="1152" t="s">
        <v>3698</v>
      </c>
      <c r="J101" s="1152" t="s">
        <v>21</v>
      </c>
      <c r="K101" s="1152" t="s">
        <v>3699</v>
      </c>
      <c r="L101" s="1152">
        <v>895.88</v>
      </c>
      <c r="M101" s="1152">
        <v>7422.63</v>
      </c>
      <c r="N101" s="1152">
        <v>82853</v>
      </c>
    </row>
    <row r="102" spans="1:14">
      <c r="A102" s="3207">
        <v>45393.333831018521</v>
      </c>
      <c r="B102" s="1152" t="s">
        <v>3695</v>
      </c>
      <c r="C102" s="1152" t="s">
        <v>3695</v>
      </c>
      <c r="D102" s="1152" t="s">
        <v>3696</v>
      </c>
      <c r="E102" s="1152" t="s">
        <v>3695</v>
      </c>
      <c r="F102" s="1152" t="s">
        <v>3695</v>
      </c>
      <c r="G102" s="1152">
        <v>9</v>
      </c>
      <c r="H102" s="1152" t="s">
        <v>3716</v>
      </c>
      <c r="I102" s="1152" t="s">
        <v>3698</v>
      </c>
      <c r="J102" s="1152" t="s">
        <v>21</v>
      </c>
      <c r="K102" s="1152" t="s">
        <v>3699</v>
      </c>
      <c r="L102" s="1152">
        <v>807.36</v>
      </c>
      <c r="M102" s="1152">
        <v>6648.85</v>
      </c>
      <c r="N102" s="1152">
        <v>82353</v>
      </c>
    </row>
    <row r="103" spans="1:14">
      <c r="A103" s="3207">
        <v>45393.333831018521</v>
      </c>
      <c r="B103" s="1152" t="s">
        <v>3695</v>
      </c>
      <c r="C103" s="1152" t="s">
        <v>3695</v>
      </c>
      <c r="D103" s="1152" t="s">
        <v>3696</v>
      </c>
      <c r="E103" s="1152" t="s">
        <v>3695</v>
      </c>
      <c r="F103" s="1152" t="s">
        <v>3695</v>
      </c>
      <c r="G103" s="1152">
        <v>8</v>
      </c>
      <c r="H103" s="1152" t="s">
        <v>3717</v>
      </c>
      <c r="I103" s="1152" t="s">
        <v>3698</v>
      </c>
      <c r="J103" s="1152" t="s">
        <v>21</v>
      </c>
      <c r="K103" s="1152" t="s">
        <v>3699</v>
      </c>
      <c r="L103" s="1152">
        <v>807.36</v>
      </c>
      <c r="M103" s="1152">
        <v>6640.78</v>
      </c>
      <c r="N103" s="1152">
        <v>82253</v>
      </c>
    </row>
    <row r="104" spans="1:14">
      <c r="A104" s="3207">
        <v>45393.333831018521</v>
      </c>
      <c r="B104" s="1152" t="s">
        <v>3695</v>
      </c>
      <c r="C104" s="1152" t="s">
        <v>3695</v>
      </c>
      <c r="D104" s="1152" t="s">
        <v>3696</v>
      </c>
      <c r="E104" s="1152" t="s">
        <v>3695</v>
      </c>
      <c r="F104" s="1152" t="s">
        <v>3695</v>
      </c>
      <c r="G104" s="1152">
        <v>7</v>
      </c>
      <c r="H104" s="1152" t="s">
        <v>3718</v>
      </c>
      <c r="I104" s="1152" t="s">
        <v>3698</v>
      </c>
      <c r="J104" s="1152" t="s">
        <v>21</v>
      </c>
      <c r="K104" s="1152" t="s">
        <v>3699</v>
      </c>
      <c r="L104" s="1152">
        <v>972.69</v>
      </c>
      <c r="M104" s="1152">
        <v>7971.49</v>
      </c>
      <c r="N104" s="1152">
        <v>81953</v>
      </c>
    </row>
    <row r="105" spans="1:14">
      <c r="A105" s="3207">
        <v>45393.333831018521</v>
      </c>
      <c r="B105" s="1152" t="s">
        <v>3695</v>
      </c>
      <c r="C105" s="1152" t="s">
        <v>3695</v>
      </c>
      <c r="D105" s="1152" t="s">
        <v>3696</v>
      </c>
      <c r="E105" s="1152" t="s">
        <v>3695</v>
      </c>
      <c r="F105" s="1152" t="s">
        <v>3695</v>
      </c>
      <c r="G105" s="1152">
        <v>5</v>
      </c>
      <c r="H105" s="1152" t="s">
        <v>3719</v>
      </c>
      <c r="I105" s="1152" t="s">
        <v>3698</v>
      </c>
      <c r="J105" s="1152" t="s">
        <v>21</v>
      </c>
      <c r="K105" s="1152" t="s">
        <v>3699</v>
      </c>
      <c r="L105" s="1152">
        <v>721.91</v>
      </c>
      <c r="M105" s="1152">
        <v>5901.83</v>
      </c>
      <c r="N105" s="1152">
        <v>81753</v>
      </c>
    </row>
    <row r="106" spans="1:14">
      <c r="A106" s="3207">
        <v>45393.333831018521</v>
      </c>
      <c r="B106" s="1152" t="s">
        <v>3695</v>
      </c>
      <c r="C106" s="1152" t="s">
        <v>3695</v>
      </c>
      <c r="D106" s="1152" t="s">
        <v>3696</v>
      </c>
      <c r="E106" s="1152" t="s">
        <v>3695</v>
      </c>
      <c r="F106" s="1152" t="s">
        <v>3695</v>
      </c>
      <c r="G106" s="1152">
        <v>14</v>
      </c>
      <c r="H106" s="1152" t="s">
        <v>3720</v>
      </c>
      <c r="I106" s="1152" t="s">
        <v>3698</v>
      </c>
      <c r="J106" s="1152" t="s">
        <v>21</v>
      </c>
      <c r="K106" s="1152" t="s">
        <v>3699</v>
      </c>
      <c r="L106" s="1152">
        <v>1194.1099999999999</v>
      </c>
      <c r="M106" s="1152">
        <v>9774.15</v>
      </c>
      <c r="N106" s="1152">
        <v>81853</v>
      </c>
    </row>
    <row r="107" spans="1:14">
      <c r="A107" s="3207">
        <v>45393.333831018521</v>
      </c>
      <c r="B107" s="1152" t="s">
        <v>3695</v>
      </c>
      <c r="C107" s="1152" t="s">
        <v>3695</v>
      </c>
      <c r="D107" s="1152" t="s">
        <v>3696</v>
      </c>
      <c r="E107" s="1152" t="s">
        <v>3695</v>
      </c>
      <c r="F107" s="1152" t="s">
        <v>3695</v>
      </c>
      <c r="G107" s="1152">
        <v>12</v>
      </c>
      <c r="H107" s="1152" t="s">
        <v>3721</v>
      </c>
      <c r="I107" s="1152" t="s">
        <v>3698</v>
      </c>
      <c r="J107" s="1152" t="s">
        <v>21</v>
      </c>
      <c r="K107" s="1152" t="s">
        <v>3699</v>
      </c>
      <c r="L107" s="1152">
        <v>888.19</v>
      </c>
      <c r="M107" s="1152">
        <v>7323.39</v>
      </c>
      <c r="N107" s="1152">
        <v>82453</v>
      </c>
    </row>
    <row r="108" spans="1:14">
      <c r="A108" s="3207">
        <v>45393.333831018521</v>
      </c>
      <c r="B108" s="1152" t="s">
        <v>3695</v>
      </c>
      <c r="C108" s="1152" t="s">
        <v>3695</v>
      </c>
      <c r="D108" s="1152" t="s">
        <v>3696</v>
      </c>
      <c r="E108" s="1152" t="s">
        <v>3695</v>
      </c>
      <c r="F108" s="1152" t="s">
        <v>3695</v>
      </c>
      <c r="G108" s="1152">
        <v>12</v>
      </c>
      <c r="H108" s="1152" t="s">
        <v>3722</v>
      </c>
      <c r="I108" s="1152" t="s">
        <v>3698</v>
      </c>
      <c r="J108" s="1152" t="s">
        <v>21</v>
      </c>
      <c r="K108" s="1152" t="s">
        <v>3699</v>
      </c>
      <c r="L108" s="1152">
        <v>1030.96</v>
      </c>
      <c r="M108" s="1152">
        <v>8469.65</v>
      </c>
      <c r="N108" s="1152">
        <v>82153</v>
      </c>
    </row>
    <row r="109" spans="1:14">
      <c r="A109" s="3207">
        <v>45393.333831018521</v>
      </c>
      <c r="B109" s="1152" t="s">
        <v>3695</v>
      </c>
      <c r="C109" s="1152" t="s">
        <v>3695</v>
      </c>
      <c r="D109" s="1152" t="s">
        <v>3696</v>
      </c>
      <c r="E109" s="1152" t="s">
        <v>3695</v>
      </c>
      <c r="F109" s="1152" t="s">
        <v>3695</v>
      </c>
      <c r="G109" s="1152">
        <v>9</v>
      </c>
      <c r="H109" s="1152" t="s">
        <v>3723</v>
      </c>
      <c r="I109" s="1152" t="s">
        <v>3698</v>
      </c>
      <c r="J109" s="1152" t="s">
        <v>21</v>
      </c>
      <c r="K109" s="1152" t="s">
        <v>3699</v>
      </c>
      <c r="L109" s="1152">
        <v>972.69</v>
      </c>
      <c r="M109" s="1152">
        <v>7990.94</v>
      </c>
      <c r="N109" s="1152">
        <v>82153</v>
      </c>
    </row>
    <row r="110" spans="1:14">
      <c r="A110" s="3207">
        <v>45393.333831018521</v>
      </c>
      <c r="B110" s="1152" t="s">
        <v>3695</v>
      </c>
      <c r="C110" s="1152" t="s">
        <v>3695</v>
      </c>
      <c r="D110" s="1152" t="s">
        <v>3696</v>
      </c>
      <c r="E110" s="1152" t="s">
        <v>3695</v>
      </c>
      <c r="F110" s="1152" t="s">
        <v>3695</v>
      </c>
      <c r="G110" s="1152">
        <v>15</v>
      </c>
      <c r="H110" s="1152" t="s">
        <v>3724</v>
      </c>
      <c r="I110" s="1152" t="s">
        <v>3698</v>
      </c>
      <c r="J110" s="1152" t="s">
        <v>21</v>
      </c>
      <c r="K110" s="1152" t="s">
        <v>3699</v>
      </c>
      <c r="L110" s="1152">
        <v>895.88</v>
      </c>
      <c r="M110" s="1152">
        <v>7431.59</v>
      </c>
      <c r="N110" s="1152">
        <v>82953</v>
      </c>
    </row>
    <row r="111" spans="1:14">
      <c r="A111" s="3207">
        <v>45393.333831018521</v>
      </c>
      <c r="B111" s="1152" t="s">
        <v>3695</v>
      </c>
      <c r="C111" s="1152" t="s">
        <v>3695</v>
      </c>
      <c r="D111" s="1152" t="s">
        <v>3696</v>
      </c>
      <c r="E111" s="1152" t="s">
        <v>3695</v>
      </c>
      <c r="F111" s="1152" t="s">
        <v>3695</v>
      </c>
      <c r="G111" s="1152">
        <v>13</v>
      </c>
      <c r="H111" s="1152" t="s">
        <v>3725</v>
      </c>
      <c r="I111" s="1152" t="s">
        <v>3698</v>
      </c>
      <c r="J111" s="1152" t="s">
        <v>21</v>
      </c>
      <c r="K111" s="1152" t="s">
        <v>3699</v>
      </c>
      <c r="L111" s="1152">
        <v>1030</v>
      </c>
      <c r="M111" s="1152">
        <v>8472.06</v>
      </c>
      <c r="N111" s="1152">
        <v>82253</v>
      </c>
    </row>
    <row r="112" spans="1:14">
      <c r="A112" s="3207">
        <v>45393.333831018521</v>
      </c>
      <c r="B112" s="1152" t="s">
        <v>3695</v>
      </c>
      <c r="C112" s="1152" t="s">
        <v>3695</v>
      </c>
      <c r="D112" s="1152" t="s">
        <v>3696</v>
      </c>
      <c r="E112" s="1152" t="s">
        <v>3695</v>
      </c>
      <c r="F112" s="1152" t="s">
        <v>3695</v>
      </c>
      <c r="G112" s="1152">
        <v>17</v>
      </c>
      <c r="H112" s="1152" t="s">
        <v>3726</v>
      </c>
      <c r="I112" s="1152" t="s">
        <v>3698</v>
      </c>
      <c r="J112" s="1152" t="s">
        <v>21</v>
      </c>
      <c r="K112" s="1152" t="s">
        <v>3699</v>
      </c>
      <c r="L112" s="1152">
        <v>1194.1099999999999</v>
      </c>
      <c r="M112" s="1152">
        <v>9809.9699999999993</v>
      </c>
      <c r="N112" s="1152">
        <v>82153</v>
      </c>
    </row>
    <row r="113" spans="1:14">
      <c r="A113" s="3207">
        <v>45393.333831018521</v>
      </c>
      <c r="B113" s="1152" t="s">
        <v>3695</v>
      </c>
      <c r="C113" s="1152" t="s">
        <v>3695</v>
      </c>
      <c r="D113" s="1152" t="s">
        <v>3696</v>
      </c>
      <c r="E113" s="1152" t="s">
        <v>3695</v>
      </c>
      <c r="F113" s="1152" t="s">
        <v>3695</v>
      </c>
      <c r="G113" s="1152">
        <v>5</v>
      </c>
      <c r="H113" s="1152" t="s">
        <v>3727</v>
      </c>
      <c r="I113" s="1152" t="s">
        <v>3698</v>
      </c>
      <c r="J113" s="1152" t="s">
        <v>21</v>
      </c>
      <c r="K113" s="1152" t="s">
        <v>3699</v>
      </c>
      <c r="L113" s="1152">
        <v>803.93</v>
      </c>
      <c r="M113" s="1152">
        <v>6588.45</v>
      </c>
      <c r="N113" s="1152">
        <v>81953</v>
      </c>
    </row>
    <row r="114" spans="1:14">
      <c r="A114" s="3207">
        <v>45393.333831018521</v>
      </c>
      <c r="B114" s="1152" t="s">
        <v>3695</v>
      </c>
      <c r="C114" s="1152" t="s">
        <v>3695</v>
      </c>
      <c r="D114" s="1152" t="s">
        <v>3696</v>
      </c>
      <c r="E114" s="1152" t="s">
        <v>3695</v>
      </c>
      <c r="F114" s="1152" t="s">
        <v>3695</v>
      </c>
      <c r="G114" s="1152">
        <v>16</v>
      </c>
      <c r="H114" s="1152" t="s">
        <v>3728</v>
      </c>
      <c r="I114" s="1152" t="s">
        <v>3698</v>
      </c>
      <c r="J114" s="1152" t="s">
        <v>21</v>
      </c>
      <c r="K114" s="1152" t="s">
        <v>3699</v>
      </c>
      <c r="L114" s="1152">
        <v>1194.1099999999999</v>
      </c>
      <c r="M114" s="1152">
        <v>9798.0300000000007</v>
      </c>
      <c r="N114" s="1152">
        <v>82053</v>
      </c>
    </row>
    <row r="115" spans="1:14">
      <c r="A115" s="3207">
        <v>45393.333831018521</v>
      </c>
      <c r="B115" s="1152" t="s">
        <v>3695</v>
      </c>
      <c r="C115" s="1152" t="s">
        <v>3695</v>
      </c>
      <c r="D115" s="1152" t="s">
        <v>3696</v>
      </c>
      <c r="E115" s="1152" t="s">
        <v>3695</v>
      </c>
      <c r="F115" s="1152" t="s">
        <v>3695</v>
      </c>
      <c r="G115" s="1152">
        <v>14</v>
      </c>
      <c r="H115" s="1152" t="s">
        <v>3729</v>
      </c>
      <c r="I115" s="1152" t="s">
        <v>3698</v>
      </c>
      <c r="J115" s="1152" t="s">
        <v>21</v>
      </c>
      <c r="K115" s="1152" t="s">
        <v>3699</v>
      </c>
      <c r="L115" s="1152">
        <v>1030</v>
      </c>
      <c r="M115" s="1152">
        <v>8482.36</v>
      </c>
      <c r="N115" s="1152">
        <v>82353</v>
      </c>
    </row>
    <row r="116" spans="1:14">
      <c r="A116" s="3207">
        <v>45393.333831018521</v>
      </c>
      <c r="B116" s="1152" t="s">
        <v>3695</v>
      </c>
      <c r="C116" s="1152" t="s">
        <v>3695</v>
      </c>
      <c r="D116" s="1152" t="s">
        <v>3696</v>
      </c>
      <c r="E116" s="1152" t="s">
        <v>3695</v>
      </c>
      <c r="F116" s="1152" t="s">
        <v>3695</v>
      </c>
      <c r="G116" s="1152">
        <v>8</v>
      </c>
      <c r="H116" s="1152" t="s">
        <v>3730</v>
      </c>
      <c r="I116" s="1152" t="s">
        <v>3698</v>
      </c>
      <c r="J116" s="1152" t="s">
        <v>21</v>
      </c>
      <c r="K116" s="1152" t="s">
        <v>3699</v>
      </c>
      <c r="L116" s="1152">
        <v>972.69</v>
      </c>
      <c r="M116" s="1152">
        <v>7981.21</v>
      </c>
      <c r="N116" s="1152">
        <v>82053</v>
      </c>
    </row>
    <row r="117" spans="1:14">
      <c r="A117" s="3207">
        <v>45393.333831018521</v>
      </c>
      <c r="B117" s="1152" t="s">
        <v>3695</v>
      </c>
      <c r="C117" s="1152" t="s">
        <v>3695</v>
      </c>
      <c r="D117" s="1152" t="s">
        <v>3696</v>
      </c>
      <c r="E117" s="1152" t="s">
        <v>3695</v>
      </c>
      <c r="F117" s="1152" t="s">
        <v>3695</v>
      </c>
      <c r="G117" s="1152">
        <v>10</v>
      </c>
      <c r="H117" s="1152" t="s">
        <v>3731</v>
      </c>
      <c r="I117" s="1152" t="s">
        <v>3698</v>
      </c>
      <c r="J117" s="1152" t="s">
        <v>21</v>
      </c>
      <c r="K117" s="1152" t="s">
        <v>3699</v>
      </c>
      <c r="L117" s="1152">
        <v>807.36</v>
      </c>
      <c r="M117" s="1152">
        <v>6656.93</v>
      </c>
      <c r="N117" s="1152">
        <v>82453</v>
      </c>
    </row>
    <row r="118" spans="1:14">
      <c r="A118" s="3207">
        <v>45393.333831018521</v>
      </c>
      <c r="B118" s="1152" t="s">
        <v>3695</v>
      </c>
      <c r="C118" s="1152" t="s">
        <v>3695</v>
      </c>
      <c r="D118" s="1152" t="s">
        <v>3696</v>
      </c>
      <c r="E118" s="1152" t="s">
        <v>3695</v>
      </c>
      <c r="F118" s="1152" t="s">
        <v>3695</v>
      </c>
      <c r="G118" s="1152">
        <v>12</v>
      </c>
      <c r="H118" s="1152" t="s">
        <v>3732</v>
      </c>
      <c r="I118" s="1152" t="s">
        <v>3698</v>
      </c>
      <c r="J118" s="1152" t="s">
        <v>21</v>
      </c>
      <c r="K118" s="1152" t="s">
        <v>3699</v>
      </c>
      <c r="L118" s="1152">
        <v>956.84</v>
      </c>
      <c r="M118" s="1152">
        <v>7908.57</v>
      </c>
      <c r="N118" s="1152">
        <v>82653</v>
      </c>
    </row>
    <row r="119" spans="1:14">
      <c r="A119" s="3207">
        <v>45393.333831018521</v>
      </c>
      <c r="B119" s="1152" t="s">
        <v>3695</v>
      </c>
      <c r="C119" s="1152" t="s">
        <v>3695</v>
      </c>
      <c r="D119" s="1152" t="s">
        <v>3696</v>
      </c>
      <c r="E119" s="1152" t="s">
        <v>3695</v>
      </c>
      <c r="F119" s="1152" t="s">
        <v>3695</v>
      </c>
      <c r="G119" s="1152">
        <v>7</v>
      </c>
      <c r="H119" s="1152" t="s">
        <v>3733</v>
      </c>
      <c r="I119" s="1152" t="s">
        <v>3698</v>
      </c>
      <c r="J119" s="1152" t="s">
        <v>21</v>
      </c>
      <c r="K119" s="1152" t="s">
        <v>3699</v>
      </c>
      <c r="L119" s="1152">
        <v>1197.99</v>
      </c>
      <c r="M119" s="1152">
        <v>9722.0499999999993</v>
      </c>
      <c r="N119" s="1152">
        <v>81153</v>
      </c>
    </row>
    <row r="120" spans="1:14">
      <c r="A120" s="3207">
        <v>45393.333831018521</v>
      </c>
      <c r="B120" s="1152" t="s">
        <v>3695</v>
      </c>
      <c r="C120" s="1152" t="s">
        <v>3695</v>
      </c>
      <c r="D120" s="1152" t="s">
        <v>3696</v>
      </c>
      <c r="E120" s="1152" t="s">
        <v>3695</v>
      </c>
      <c r="F120" s="1152" t="s">
        <v>3695</v>
      </c>
      <c r="G120" s="1152">
        <v>11</v>
      </c>
      <c r="H120" s="1152" t="s">
        <v>3734</v>
      </c>
      <c r="I120" s="1152" t="s">
        <v>3698</v>
      </c>
      <c r="J120" s="1152" t="s">
        <v>21</v>
      </c>
      <c r="K120" s="1152" t="s">
        <v>3699</v>
      </c>
      <c r="L120" s="1152">
        <v>956.84</v>
      </c>
      <c r="M120" s="1152">
        <v>7899</v>
      </c>
      <c r="N120" s="1152">
        <v>82553</v>
      </c>
    </row>
    <row r="121" spans="1:14">
      <c r="A121" s="3207">
        <v>45393.333831018521</v>
      </c>
      <c r="B121" s="1152" t="s">
        <v>3695</v>
      </c>
      <c r="C121" s="1152" t="s">
        <v>3695</v>
      </c>
      <c r="D121" s="1152" t="s">
        <v>3696</v>
      </c>
      <c r="E121" s="1152" t="s">
        <v>3695</v>
      </c>
      <c r="F121" s="1152" t="s">
        <v>3695</v>
      </c>
      <c r="G121" s="1152">
        <v>15</v>
      </c>
      <c r="H121" s="1152" t="s">
        <v>3735</v>
      </c>
      <c r="I121" s="1152" t="s">
        <v>3698</v>
      </c>
      <c r="J121" s="1152" t="s">
        <v>21</v>
      </c>
      <c r="K121" s="1152" t="s">
        <v>3699</v>
      </c>
      <c r="L121" s="1152">
        <v>1194.1099999999999</v>
      </c>
      <c r="M121" s="1152">
        <v>9786.09</v>
      </c>
      <c r="N121" s="1152">
        <v>81953</v>
      </c>
    </row>
    <row r="122" spans="1:14">
      <c r="A122" s="3207">
        <v>45393.333831018521</v>
      </c>
      <c r="B122" s="1152" t="s">
        <v>3695</v>
      </c>
      <c r="C122" s="1152" t="s">
        <v>3695</v>
      </c>
      <c r="D122" s="1152" t="s">
        <v>3696</v>
      </c>
      <c r="E122" s="1152" t="s">
        <v>3695</v>
      </c>
      <c r="F122" s="1152" t="s">
        <v>3695</v>
      </c>
      <c r="G122" s="1152">
        <v>10</v>
      </c>
      <c r="H122" s="1152" t="s">
        <v>3736</v>
      </c>
      <c r="I122" s="1152" t="s">
        <v>3698</v>
      </c>
      <c r="J122" s="1152" t="s">
        <v>21</v>
      </c>
      <c r="K122" s="1152" t="s">
        <v>3699</v>
      </c>
      <c r="L122" s="1152">
        <v>1197.99</v>
      </c>
      <c r="M122" s="1152">
        <v>9757.99</v>
      </c>
      <c r="N122" s="1152">
        <v>81453</v>
      </c>
    </row>
    <row r="123" spans="1:14">
      <c r="A123" s="3207">
        <v>45393.333831018521</v>
      </c>
      <c r="B123" s="1152" t="s">
        <v>3695</v>
      </c>
      <c r="C123" s="1152" t="s">
        <v>3695</v>
      </c>
      <c r="D123" s="1152" t="s">
        <v>3696</v>
      </c>
      <c r="E123" s="1152" t="s">
        <v>3695</v>
      </c>
      <c r="F123" s="1152" t="s">
        <v>3695</v>
      </c>
      <c r="G123" s="1152">
        <v>4</v>
      </c>
      <c r="H123" s="1152" t="s">
        <v>3737</v>
      </c>
      <c r="I123" s="1152" t="s">
        <v>3698</v>
      </c>
      <c r="J123" s="1152" t="s">
        <v>21</v>
      </c>
      <c r="K123" s="1152" t="s">
        <v>3699</v>
      </c>
      <c r="L123" s="1152">
        <v>1080.1400000000001</v>
      </c>
      <c r="M123" s="1152">
        <v>8787.26</v>
      </c>
      <c r="N123" s="1152">
        <v>81353</v>
      </c>
    </row>
    <row r="124" spans="1:14">
      <c r="A124" s="3207">
        <v>45393.333831018521</v>
      </c>
      <c r="B124" s="1152" t="s">
        <v>3695</v>
      </c>
      <c r="C124" s="1152" t="s">
        <v>3695</v>
      </c>
      <c r="D124" s="1152" t="s">
        <v>3696</v>
      </c>
      <c r="E124" s="1152" t="s">
        <v>3695</v>
      </c>
      <c r="F124" s="1152" t="s">
        <v>3695</v>
      </c>
      <c r="G124" s="1152">
        <v>6</v>
      </c>
      <c r="H124" s="1152" t="s">
        <v>3738</v>
      </c>
      <c r="I124" s="1152" t="s">
        <v>3698</v>
      </c>
      <c r="J124" s="1152" t="s">
        <v>21</v>
      </c>
      <c r="K124" s="1152" t="s">
        <v>3699</v>
      </c>
      <c r="L124" s="1152">
        <v>1115.79</v>
      </c>
      <c r="M124" s="1152">
        <v>9043.81</v>
      </c>
      <c r="N124" s="1152">
        <v>81053</v>
      </c>
    </row>
    <row r="125" spans="1:14">
      <c r="A125" s="3207">
        <v>45393.333831018521</v>
      </c>
      <c r="B125" s="1152" t="s">
        <v>3695</v>
      </c>
      <c r="C125" s="1152" t="s">
        <v>3695</v>
      </c>
      <c r="D125" s="1152" t="s">
        <v>3696</v>
      </c>
      <c r="E125" s="1152" t="s">
        <v>3695</v>
      </c>
      <c r="F125" s="1152" t="s">
        <v>3695</v>
      </c>
      <c r="G125" s="1152">
        <v>10</v>
      </c>
      <c r="H125" s="1152" t="s">
        <v>3739</v>
      </c>
      <c r="I125" s="1152" t="s">
        <v>3698</v>
      </c>
      <c r="J125" s="1152" t="s">
        <v>21</v>
      </c>
      <c r="K125" s="1152" t="s">
        <v>3699</v>
      </c>
      <c r="L125" s="1152">
        <v>972.69</v>
      </c>
      <c r="M125" s="1152">
        <v>8000.67</v>
      </c>
      <c r="N125" s="1152">
        <v>82253</v>
      </c>
    </row>
    <row r="126" spans="1:14">
      <c r="A126" s="3207">
        <v>45393.333831018521</v>
      </c>
      <c r="B126" s="1152" t="s">
        <v>3695</v>
      </c>
      <c r="C126" s="1152" t="s">
        <v>3695</v>
      </c>
      <c r="D126" s="1152" t="s">
        <v>3696</v>
      </c>
      <c r="E126" s="1152" t="s">
        <v>3695</v>
      </c>
      <c r="F126" s="1152" t="s">
        <v>3695</v>
      </c>
      <c r="G126" s="1152">
        <v>9</v>
      </c>
      <c r="H126" s="1152" t="s">
        <v>3740</v>
      </c>
      <c r="I126" s="1152" t="s">
        <v>3698</v>
      </c>
      <c r="J126" s="1152" t="s">
        <v>21</v>
      </c>
      <c r="K126" s="1152" t="s">
        <v>3699</v>
      </c>
      <c r="L126" s="1152">
        <v>1197.99</v>
      </c>
      <c r="M126" s="1152">
        <v>9746.01</v>
      </c>
      <c r="N126" s="1152">
        <v>81353</v>
      </c>
    </row>
    <row r="127" spans="1:14">
      <c r="A127" s="3207">
        <v>45393.333831018521</v>
      </c>
      <c r="B127" s="1152" t="s">
        <v>3695</v>
      </c>
      <c r="C127" s="1152" t="s">
        <v>3695</v>
      </c>
      <c r="D127" s="1152" t="s">
        <v>3696</v>
      </c>
      <c r="E127" s="1152" t="s">
        <v>3695</v>
      </c>
      <c r="F127" s="1152" t="s">
        <v>3695</v>
      </c>
      <c r="G127" s="1152">
        <v>16</v>
      </c>
      <c r="H127" s="1152" t="s">
        <v>3741</v>
      </c>
      <c r="I127" s="1152" t="s">
        <v>3698</v>
      </c>
      <c r="J127" s="1152" t="s">
        <v>21</v>
      </c>
      <c r="K127" s="1152" t="s">
        <v>3699</v>
      </c>
      <c r="L127" s="1152">
        <v>895.88</v>
      </c>
      <c r="M127" s="1152">
        <v>7440.55</v>
      </c>
      <c r="N127" s="1152">
        <v>83053</v>
      </c>
    </row>
    <row r="128" spans="1:14">
      <c r="A128" s="3207">
        <v>45393.333831018521</v>
      </c>
      <c r="B128" s="1152" t="s">
        <v>3695</v>
      </c>
      <c r="C128" s="1152" t="s">
        <v>3695</v>
      </c>
      <c r="D128" s="1152" t="s">
        <v>3696</v>
      </c>
      <c r="E128" s="1152" t="s">
        <v>3695</v>
      </c>
      <c r="F128" s="1152" t="s">
        <v>3695</v>
      </c>
      <c r="G128" s="1152">
        <v>13</v>
      </c>
      <c r="H128" s="1152" t="s">
        <v>3742</v>
      </c>
      <c r="I128" s="1152" t="s">
        <v>3698</v>
      </c>
      <c r="J128" s="1152" t="s">
        <v>21</v>
      </c>
      <c r="K128" s="1152" t="s">
        <v>3699</v>
      </c>
      <c r="L128" s="1152">
        <v>1194.1099999999999</v>
      </c>
      <c r="M128" s="1152">
        <v>9762.2099999999991</v>
      </c>
      <c r="N128" s="1152">
        <v>81753</v>
      </c>
    </row>
    <row r="129" spans="1:14">
      <c r="A129" s="3207">
        <v>45393.333831018521</v>
      </c>
      <c r="B129" s="1152" t="s">
        <v>3695</v>
      </c>
      <c r="C129" s="1152" t="s">
        <v>3695</v>
      </c>
      <c r="D129" s="1152" t="s">
        <v>3696</v>
      </c>
      <c r="E129" s="1152" t="s">
        <v>3695</v>
      </c>
      <c r="F129" s="1152" t="s">
        <v>3695</v>
      </c>
      <c r="G129" s="1152">
        <v>16</v>
      </c>
      <c r="H129" s="1152" t="s">
        <v>3743</v>
      </c>
      <c r="I129" s="1152" t="s">
        <v>3698</v>
      </c>
      <c r="J129" s="1152" t="s">
        <v>21</v>
      </c>
      <c r="K129" s="1152" t="s">
        <v>3699</v>
      </c>
      <c r="L129" s="1152">
        <v>1030</v>
      </c>
      <c r="M129" s="1152">
        <v>8502.9599999999991</v>
      </c>
      <c r="N129" s="1152">
        <v>82553</v>
      </c>
    </row>
    <row r="130" spans="1:14">
      <c r="A130" s="3207">
        <v>45393.333831018521</v>
      </c>
      <c r="B130" s="1152" t="s">
        <v>3695</v>
      </c>
      <c r="C130" s="1152" t="s">
        <v>3695</v>
      </c>
      <c r="D130" s="1152" t="s">
        <v>3696</v>
      </c>
      <c r="E130" s="1152" t="s">
        <v>3695</v>
      </c>
      <c r="F130" s="1152" t="s">
        <v>3695</v>
      </c>
      <c r="G130" s="1152">
        <v>10</v>
      </c>
      <c r="H130" s="1152" t="s">
        <v>3744</v>
      </c>
      <c r="I130" s="1152" t="s">
        <v>3698</v>
      </c>
      <c r="J130" s="1152" t="s">
        <v>21</v>
      </c>
      <c r="K130" s="1152" t="s">
        <v>3699</v>
      </c>
      <c r="L130" s="1152">
        <v>1028.6300000000001</v>
      </c>
      <c r="M130" s="1152">
        <v>8429.93</v>
      </c>
      <c r="N130" s="1152">
        <v>81953</v>
      </c>
    </row>
    <row r="131" spans="1:14">
      <c r="A131" s="3207">
        <v>45393.333831018521</v>
      </c>
      <c r="B131" s="1152" t="s">
        <v>3695</v>
      </c>
      <c r="C131" s="1152" t="s">
        <v>3695</v>
      </c>
      <c r="D131" s="1152" t="s">
        <v>3696</v>
      </c>
      <c r="E131" s="1152" t="s">
        <v>3695</v>
      </c>
      <c r="F131" s="1152" t="s">
        <v>3695</v>
      </c>
      <c r="G131" s="1152">
        <v>12</v>
      </c>
      <c r="H131" s="1152" t="s">
        <v>3745</v>
      </c>
      <c r="I131" s="1152" t="s">
        <v>3698</v>
      </c>
      <c r="J131" s="1152" t="s">
        <v>21</v>
      </c>
      <c r="K131" s="1152" t="s">
        <v>3699</v>
      </c>
      <c r="L131" s="1152">
        <v>1194.76</v>
      </c>
      <c r="M131" s="1152">
        <v>9755.57</v>
      </c>
      <c r="N131" s="1152">
        <v>81653</v>
      </c>
    </row>
    <row r="132" spans="1:14">
      <c r="A132" s="3207">
        <v>45393.333831018521</v>
      </c>
      <c r="B132" s="1152" t="s">
        <v>3695</v>
      </c>
      <c r="C132" s="1152" t="s">
        <v>3695</v>
      </c>
      <c r="D132" s="1152" t="s">
        <v>3696</v>
      </c>
      <c r="E132" s="1152" t="s">
        <v>3695</v>
      </c>
      <c r="F132" s="1152" t="s">
        <v>3695</v>
      </c>
      <c r="G132" s="1152">
        <v>13</v>
      </c>
      <c r="H132" s="1152" t="s">
        <v>3746</v>
      </c>
      <c r="I132" s="1152" t="s">
        <v>3698</v>
      </c>
      <c r="J132" s="1152" t="s">
        <v>21</v>
      </c>
      <c r="K132" s="1152" t="s">
        <v>3699</v>
      </c>
      <c r="L132" s="1152">
        <v>895.88</v>
      </c>
      <c r="M132" s="1152">
        <v>7413.68</v>
      </c>
      <c r="N132" s="1152">
        <v>82753</v>
      </c>
    </row>
    <row r="133" spans="1:14">
      <c r="A133" s="3207">
        <v>45393.333831018521</v>
      </c>
      <c r="B133" s="1152" t="s">
        <v>3695</v>
      </c>
      <c r="C133" s="1152" t="s">
        <v>3695</v>
      </c>
      <c r="D133" s="1152" t="s">
        <v>3696</v>
      </c>
      <c r="E133" s="1152" t="s">
        <v>3695</v>
      </c>
      <c r="F133" s="1152" t="s">
        <v>3695</v>
      </c>
      <c r="G133" s="1152">
        <v>7</v>
      </c>
      <c r="H133" s="1152" t="s">
        <v>3747</v>
      </c>
      <c r="I133" s="1152" t="s">
        <v>3698</v>
      </c>
      <c r="J133" s="1152" t="s">
        <v>21</v>
      </c>
      <c r="K133" s="1152" t="s">
        <v>3699</v>
      </c>
      <c r="L133" s="1152">
        <v>1029.51</v>
      </c>
      <c r="M133" s="1152">
        <v>8406.26</v>
      </c>
      <c r="N133" s="1152">
        <v>81653</v>
      </c>
    </row>
    <row r="134" spans="1:14">
      <c r="A134" s="3207">
        <v>45393.333831018521</v>
      </c>
      <c r="B134" s="1152" t="s">
        <v>3695</v>
      </c>
      <c r="C134" s="1152" t="s">
        <v>3695</v>
      </c>
      <c r="D134" s="1152" t="s">
        <v>3696</v>
      </c>
      <c r="E134" s="1152" t="s">
        <v>3695</v>
      </c>
      <c r="F134" s="1152" t="s">
        <v>3695</v>
      </c>
      <c r="G134" s="1152">
        <v>6</v>
      </c>
      <c r="H134" s="1152" t="s">
        <v>3748</v>
      </c>
      <c r="I134" s="1152" t="s">
        <v>3698</v>
      </c>
      <c r="J134" s="1152" t="s">
        <v>21</v>
      </c>
      <c r="K134" s="1152" t="s">
        <v>3699</v>
      </c>
      <c r="L134" s="1152">
        <v>794.59</v>
      </c>
      <c r="M134" s="1152">
        <v>6503.96</v>
      </c>
      <c r="N134" s="1152">
        <v>81853</v>
      </c>
    </row>
    <row r="135" spans="1:14">
      <c r="A135" s="3207">
        <v>45393.333831018521</v>
      </c>
      <c r="B135" s="1152" t="s">
        <v>3695</v>
      </c>
      <c r="C135" s="1152" t="s">
        <v>3695</v>
      </c>
      <c r="D135" s="1152" t="s">
        <v>3696</v>
      </c>
      <c r="E135" s="1152" t="s">
        <v>3695</v>
      </c>
      <c r="F135" s="1152" t="s">
        <v>3695</v>
      </c>
      <c r="G135" s="1152">
        <v>15</v>
      </c>
      <c r="H135" s="1152" t="s">
        <v>3749</v>
      </c>
      <c r="I135" s="1152" t="s">
        <v>3698</v>
      </c>
      <c r="J135" s="1152" t="s">
        <v>21</v>
      </c>
      <c r="K135" s="1152" t="s">
        <v>3699</v>
      </c>
      <c r="L135" s="1152">
        <v>945.92</v>
      </c>
      <c r="M135" s="1152">
        <v>7827.77</v>
      </c>
      <c r="N135" s="1152">
        <v>82753</v>
      </c>
    </row>
    <row r="136" spans="1:14">
      <c r="A136" s="3207">
        <v>45393.333831018521</v>
      </c>
      <c r="B136" s="1152" t="s">
        <v>3695</v>
      </c>
      <c r="C136" s="1152" t="s">
        <v>3695</v>
      </c>
      <c r="D136" s="1152" t="s">
        <v>3696</v>
      </c>
      <c r="E136" s="1152" t="s">
        <v>3695</v>
      </c>
      <c r="F136" s="1152" t="s">
        <v>3695</v>
      </c>
      <c r="G136" s="1152">
        <v>16</v>
      </c>
      <c r="H136" s="1152" t="s">
        <v>3750</v>
      </c>
      <c r="I136" s="1152" t="s">
        <v>3698</v>
      </c>
      <c r="J136" s="1152" t="s">
        <v>21</v>
      </c>
      <c r="K136" s="1152" t="s">
        <v>3699</v>
      </c>
      <c r="L136" s="1152">
        <v>945.92</v>
      </c>
      <c r="M136" s="1152">
        <v>7837.23</v>
      </c>
      <c r="N136" s="1152">
        <v>82853</v>
      </c>
    </row>
    <row r="137" spans="1:14">
      <c r="A137" s="3207">
        <v>45393.333831018521</v>
      </c>
      <c r="B137" s="1152" t="s">
        <v>3695</v>
      </c>
      <c r="C137" s="1152" t="s">
        <v>3695</v>
      </c>
      <c r="D137" s="1152" t="s">
        <v>3696</v>
      </c>
      <c r="E137" s="1152" t="s">
        <v>3695</v>
      </c>
      <c r="F137" s="1152" t="s">
        <v>3695</v>
      </c>
      <c r="G137" s="1152">
        <v>5</v>
      </c>
      <c r="H137" s="1152" t="s">
        <v>3751</v>
      </c>
      <c r="I137" s="1152" t="s">
        <v>3698</v>
      </c>
      <c r="J137" s="1152" t="s">
        <v>21</v>
      </c>
      <c r="K137" s="1152" t="s">
        <v>3699</v>
      </c>
      <c r="L137" s="1152">
        <v>920.59</v>
      </c>
      <c r="M137" s="1152">
        <v>7452.45</v>
      </c>
      <c r="N137" s="1152">
        <v>80953</v>
      </c>
    </row>
    <row r="138" spans="1:14">
      <c r="A138" s="3207">
        <v>45393.333831018521</v>
      </c>
      <c r="B138" s="1152" t="s">
        <v>3695</v>
      </c>
      <c r="C138" s="1152" t="s">
        <v>3695</v>
      </c>
      <c r="D138" s="1152" t="s">
        <v>3696</v>
      </c>
      <c r="E138" s="1152" t="s">
        <v>3695</v>
      </c>
      <c r="F138" s="1152" t="s">
        <v>3695</v>
      </c>
      <c r="G138" s="1152">
        <v>4</v>
      </c>
      <c r="H138" s="1152" t="s">
        <v>3752</v>
      </c>
      <c r="I138" s="1152" t="s">
        <v>3698</v>
      </c>
      <c r="J138" s="1152" t="s">
        <v>21</v>
      </c>
      <c r="K138" s="1152" t="s">
        <v>3699</v>
      </c>
      <c r="L138" s="1152">
        <v>721.51</v>
      </c>
      <c r="M138" s="1152">
        <v>5891.35</v>
      </c>
      <c r="N138" s="1152">
        <v>81653</v>
      </c>
    </row>
    <row r="139" spans="1:14">
      <c r="A139" s="3207">
        <v>45393.333831018521</v>
      </c>
      <c r="B139" s="1152" t="s">
        <v>3695</v>
      </c>
      <c r="C139" s="1152" t="s">
        <v>3695</v>
      </c>
      <c r="D139" s="1152" t="s">
        <v>3696</v>
      </c>
      <c r="E139" s="1152" t="s">
        <v>3695</v>
      </c>
      <c r="F139" s="1152" t="s">
        <v>3695</v>
      </c>
      <c r="G139" s="1152">
        <v>17</v>
      </c>
      <c r="H139" s="1152" t="s">
        <v>3753</v>
      </c>
      <c r="I139" s="1152" t="s">
        <v>3698</v>
      </c>
      <c r="J139" s="1152" t="s">
        <v>21</v>
      </c>
      <c r="K139" s="1152" t="s">
        <v>3699</v>
      </c>
      <c r="L139" s="1152">
        <v>895.88</v>
      </c>
      <c r="M139" s="1152">
        <v>7449.51</v>
      </c>
      <c r="N139" s="1152">
        <v>83153</v>
      </c>
    </row>
    <row r="140" spans="1:14">
      <c r="A140" s="3207">
        <v>45393.333831018521</v>
      </c>
      <c r="B140" s="1152" t="s">
        <v>3695</v>
      </c>
      <c r="C140" s="1152" t="s">
        <v>3695</v>
      </c>
      <c r="D140" s="1152" t="s">
        <v>3696</v>
      </c>
      <c r="E140" s="1152" t="s">
        <v>3695</v>
      </c>
      <c r="F140" s="1152" t="s">
        <v>3695</v>
      </c>
      <c r="G140" s="1152">
        <v>4</v>
      </c>
      <c r="H140" s="1152" t="s">
        <v>3754</v>
      </c>
      <c r="I140" s="1152" t="s">
        <v>3698</v>
      </c>
      <c r="J140" s="1152" t="s">
        <v>21</v>
      </c>
      <c r="K140" s="1152" t="s">
        <v>3699</v>
      </c>
      <c r="L140" s="1152">
        <v>829.74</v>
      </c>
      <c r="M140" s="1152">
        <v>6791.67</v>
      </c>
      <c r="N140" s="1152">
        <v>81853</v>
      </c>
    </row>
    <row r="141" spans="1:14">
      <c r="A141" s="1152"/>
      <c r="B141" s="1152"/>
      <c r="C141" s="1152"/>
      <c r="D141" s="1152"/>
      <c r="E141" s="1152"/>
      <c r="F141" s="1152"/>
      <c r="G141" s="1152"/>
      <c r="H141" s="1152"/>
      <c r="I141" s="1152"/>
      <c r="J141" s="1152"/>
      <c r="K141" s="1152" t="s">
        <v>2590</v>
      </c>
      <c r="L141" s="3208">
        <f>SUM(L84:L140)</f>
        <v>55387.139999999978</v>
      </c>
      <c r="M141" s="1152">
        <f>SUM(M84:M140)</f>
        <v>454267.34</v>
      </c>
      <c r="N141" s="3208">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B46:O83"/>
  <sheetViews>
    <sheetView topLeftCell="A37" workbookViewId="0">
      <selection activeCell="W24" sqref="W24"/>
    </sheetView>
  </sheetViews>
  <sheetFormatPr defaultRowHeight="14.4"/>
  <cols>
    <col min="2" max="2" width="12" customWidth="1"/>
    <col min="3" max="3" width="11.44140625" customWidth="1"/>
  </cols>
  <sheetData>
    <row r="46" spans="2:15">
      <c r="B46" s="1152" t="s">
        <v>3681</v>
      </c>
      <c r="C46" s="1152" t="s">
        <v>3682</v>
      </c>
      <c r="D46" s="1152" t="s">
        <v>3683</v>
      </c>
      <c r="E46" s="1152" t="s">
        <v>3684</v>
      </c>
      <c r="F46" s="1152" t="s">
        <v>3685</v>
      </c>
      <c r="G46" s="1152" t="s">
        <v>3686</v>
      </c>
      <c r="H46" s="1152" t="s">
        <v>3687</v>
      </c>
      <c r="I46" s="1152" t="s">
        <v>3688</v>
      </c>
      <c r="J46" s="1152" t="s">
        <v>3689</v>
      </c>
      <c r="K46" s="1152" t="s">
        <v>3690</v>
      </c>
      <c r="L46" s="1152" t="s">
        <v>3691</v>
      </c>
      <c r="M46" s="1152" t="s">
        <v>3692</v>
      </c>
      <c r="N46" s="1152" t="s">
        <v>3693</v>
      </c>
      <c r="O46" s="1152" t="s">
        <v>3694</v>
      </c>
    </row>
    <row r="47" spans="2:15">
      <c r="B47" s="3207">
        <v>45657.333831018521</v>
      </c>
      <c r="C47" s="3207">
        <v>44896.333831018521</v>
      </c>
      <c r="D47" s="1152">
        <v>761</v>
      </c>
      <c r="E47" s="1152" t="s">
        <v>3755</v>
      </c>
      <c r="F47" s="1152" t="s">
        <v>3695</v>
      </c>
      <c r="G47" s="1152" t="s">
        <v>3695</v>
      </c>
      <c r="H47" s="1152">
        <v>6</v>
      </c>
      <c r="I47" s="1152">
        <v>601</v>
      </c>
      <c r="J47" s="1152" t="s">
        <v>3756</v>
      </c>
      <c r="K47" s="1152" t="s">
        <v>21</v>
      </c>
      <c r="L47" s="1152" t="s">
        <v>3699</v>
      </c>
      <c r="M47" s="1152">
        <v>874.57</v>
      </c>
      <c r="N47" s="1152">
        <v>7258.93</v>
      </c>
      <c r="O47" s="1152">
        <v>83000</v>
      </c>
    </row>
    <row r="48" spans="2:15">
      <c r="B48" s="3207">
        <v>45657.333831018521</v>
      </c>
      <c r="C48" s="3207">
        <v>44896.333831018521</v>
      </c>
      <c r="D48" s="1152">
        <v>761</v>
      </c>
      <c r="E48" s="1152" t="s">
        <v>3755</v>
      </c>
      <c r="F48" s="1152" t="s">
        <v>3695</v>
      </c>
      <c r="G48" s="1152" t="s">
        <v>3695</v>
      </c>
      <c r="H48" s="1152">
        <v>10</v>
      </c>
      <c r="I48" s="1152">
        <v>1001</v>
      </c>
      <c r="J48" s="1152" t="s">
        <v>3756</v>
      </c>
      <c r="K48" s="1152" t="s">
        <v>21</v>
      </c>
      <c r="L48" s="1152" t="s">
        <v>3699</v>
      </c>
      <c r="M48" s="1152">
        <v>874.57</v>
      </c>
      <c r="N48" s="1152">
        <v>7258.93</v>
      </c>
      <c r="O48" s="1152">
        <v>83000</v>
      </c>
    </row>
    <row r="49" spans="2:15">
      <c r="B49" s="3207">
        <v>45657.333831018521</v>
      </c>
      <c r="C49" s="3207">
        <v>44896.333831018521</v>
      </c>
      <c r="D49" s="1152">
        <v>761</v>
      </c>
      <c r="E49" s="1152" t="s">
        <v>3755</v>
      </c>
      <c r="F49" s="1152" t="s">
        <v>3695</v>
      </c>
      <c r="G49" s="1152" t="s">
        <v>3695</v>
      </c>
      <c r="H49" s="1152">
        <v>9</v>
      </c>
      <c r="I49" s="1152">
        <v>903</v>
      </c>
      <c r="J49" s="1152" t="s">
        <v>3756</v>
      </c>
      <c r="K49" s="1152" t="s">
        <v>21</v>
      </c>
      <c r="L49" s="1152" t="s">
        <v>3699</v>
      </c>
      <c r="M49" s="1152">
        <v>771.44</v>
      </c>
      <c r="N49" s="1152">
        <v>6402.95</v>
      </c>
      <c r="O49" s="1152">
        <v>83000</v>
      </c>
    </row>
    <row r="50" spans="2:15">
      <c r="B50" s="3207">
        <v>45657.333831018521</v>
      </c>
      <c r="C50" s="3207">
        <v>44896.333831018521</v>
      </c>
      <c r="D50" s="1152">
        <v>761</v>
      </c>
      <c r="E50" s="1152" t="s">
        <v>3755</v>
      </c>
      <c r="F50" s="1152" t="s">
        <v>3695</v>
      </c>
      <c r="G50" s="1152" t="s">
        <v>3695</v>
      </c>
      <c r="H50" s="1152">
        <v>6</v>
      </c>
      <c r="I50" s="1152">
        <v>603</v>
      </c>
      <c r="J50" s="1152" t="s">
        <v>3756</v>
      </c>
      <c r="K50" s="1152" t="s">
        <v>21</v>
      </c>
      <c r="L50" s="1152" t="s">
        <v>3699</v>
      </c>
      <c r="M50" s="1152">
        <v>771.44</v>
      </c>
      <c r="N50" s="1152">
        <v>6402.95</v>
      </c>
      <c r="O50" s="1152">
        <v>83000</v>
      </c>
    </row>
    <row r="51" spans="2:15">
      <c r="B51" s="3207">
        <v>45657.333831018521</v>
      </c>
      <c r="C51" s="3207">
        <v>44896.333831018521</v>
      </c>
      <c r="D51" s="1152">
        <v>761</v>
      </c>
      <c r="E51" s="1152" t="s">
        <v>3755</v>
      </c>
      <c r="F51" s="1152" t="s">
        <v>3695</v>
      </c>
      <c r="G51" s="1152" t="s">
        <v>3695</v>
      </c>
      <c r="H51" s="1152">
        <v>10</v>
      </c>
      <c r="I51" s="1152">
        <v>1002</v>
      </c>
      <c r="J51" s="1152" t="s">
        <v>3756</v>
      </c>
      <c r="K51" s="1152" t="s">
        <v>21</v>
      </c>
      <c r="L51" s="1152" t="s">
        <v>3699</v>
      </c>
      <c r="M51" s="1152">
        <v>847.61</v>
      </c>
      <c r="N51" s="1152">
        <v>7035.16</v>
      </c>
      <c r="O51" s="1152">
        <v>83000</v>
      </c>
    </row>
    <row r="52" spans="2:15">
      <c r="B52" s="3207">
        <v>45657.333831018521</v>
      </c>
      <c r="C52" s="3207">
        <v>44896.333831018521</v>
      </c>
      <c r="D52" s="1152">
        <v>761</v>
      </c>
      <c r="E52" s="1152" t="s">
        <v>3755</v>
      </c>
      <c r="F52" s="1152" t="s">
        <v>3695</v>
      </c>
      <c r="G52" s="1152" t="s">
        <v>3695</v>
      </c>
      <c r="H52" s="1152">
        <v>8</v>
      </c>
      <c r="I52" s="1152">
        <v>801</v>
      </c>
      <c r="J52" s="1152" t="s">
        <v>3756</v>
      </c>
      <c r="K52" s="1152" t="s">
        <v>21</v>
      </c>
      <c r="L52" s="1152" t="s">
        <v>3699</v>
      </c>
      <c r="M52" s="1152">
        <v>874.57</v>
      </c>
      <c r="N52" s="1152">
        <v>7258.93</v>
      </c>
      <c r="O52" s="1152">
        <v>83000</v>
      </c>
    </row>
    <row r="53" spans="2:15">
      <c r="B53" s="3207">
        <v>45657.333831018521</v>
      </c>
      <c r="C53" s="3207">
        <v>44896.333831018521</v>
      </c>
      <c r="D53" s="1152">
        <v>761</v>
      </c>
      <c r="E53" s="1152" t="s">
        <v>3755</v>
      </c>
      <c r="F53" s="1152" t="s">
        <v>3695</v>
      </c>
      <c r="G53" s="1152" t="s">
        <v>3695</v>
      </c>
      <c r="H53" s="1152">
        <v>4</v>
      </c>
      <c r="I53" s="1152">
        <v>403</v>
      </c>
      <c r="J53" s="1152" t="s">
        <v>3756</v>
      </c>
      <c r="K53" s="1152" t="s">
        <v>21</v>
      </c>
      <c r="L53" s="1152" t="s">
        <v>3699</v>
      </c>
      <c r="M53" s="1152">
        <v>771.44</v>
      </c>
      <c r="N53" s="1152">
        <v>6402.95</v>
      </c>
      <c r="O53" s="1152">
        <v>83000</v>
      </c>
    </row>
    <row r="54" spans="2:15">
      <c r="B54" s="3207">
        <v>45657.333831018521</v>
      </c>
      <c r="C54" s="3207">
        <v>44896.333831018521</v>
      </c>
      <c r="D54" s="1152">
        <v>761</v>
      </c>
      <c r="E54" s="1152" t="s">
        <v>3755</v>
      </c>
      <c r="F54" s="1152" t="s">
        <v>3695</v>
      </c>
      <c r="G54" s="1152" t="s">
        <v>3695</v>
      </c>
      <c r="H54" s="1152">
        <v>5</v>
      </c>
      <c r="I54" s="1152">
        <v>501</v>
      </c>
      <c r="J54" s="1152" t="s">
        <v>3756</v>
      </c>
      <c r="K54" s="1152" t="s">
        <v>21</v>
      </c>
      <c r="L54" s="1152" t="s">
        <v>3699</v>
      </c>
      <c r="M54" s="1152">
        <v>874.57</v>
      </c>
      <c r="N54" s="1152">
        <v>7258.93</v>
      </c>
      <c r="O54" s="1152">
        <v>83000</v>
      </c>
    </row>
    <row r="55" spans="2:15">
      <c r="B55" s="3207">
        <v>45657.333831018521</v>
      </c>
      <c r="C55" s="3207">
        <v>44896.333831018521</v>
      </c>
      <c r="D55" s="1152">
        <v>761</v>
      </c>
      <c r="E55" s="1152" t="s">
        <v>3755</v>
      </c>
      <c r="F55" s="1152" t="s">
        <v>3695</v>
      </c>
      <c r="G55" s="1152" t="s">
        <v>3695</v>
      </c>
      <c r="H55" s="1152">
        <v>9</v>
      </c>
      <c r="I55" s="1152">
        <v>904</v>
      </c>
      <c r="J55" s="1152" t="s">
        <v>3756</v>
      </c>
      <c r="K55" s="1152" t="s">
        <v>21</v>
      </c>
      <c r="L55" s="1152" t="s">
        <v>3699</v>
      </c>
      <c r="M55" s="1152">
        <v>893.4</v>
      </c>
      <c r="N55" s="1152">
        <v>7415.22</v>
      </c>
      <c r="O55" s="1152">
        <v>83000</v>
      </c>
    </row>
    <row r="56" spans="2:15">
      <c r="B56" s="3207">
        <v>45657.333831018521</v>
      </c>
      <c r="C56" s="3207">
        <v>44896.333831018521</v>
      </c>
      <c r="D56" s="1152">
        <v>761</v>
      </c>
      <c r="E56" s="1152" t="s">
        <v>3755</v>
      </c>
      <c r="F56" s="1152" t="s">
        <v>3695</v>
      </c>
      <c r="G56" s="1152" t="s">
        <v>3695</v>
      </c>
      <c r="H56" s="1152">
        <v>6</v>
      </c>
      <c r="I56" s="1152">
        <v>604</v>
      </c>
      <c r="J56" s="1152" t="s">
        <v>3756</v>
      </c>
      <c r="K56" s="1152" t="s">
        <v>21</v>
      </c>
      <c r="L56" s="1152" t="s">
        <v>3699</v>
      </c>
      <c r="M56" s="1152">
        <v>893.4</v>
      </c>
      <c r="N56" s="1152">
        <v>7415.22</v>
      </c>
      <c r="O56" s="1152">
        <v>83000</v>
      </c>
    </row>
    <row r="57" spans="2:15">
      <c r="B57" s="3207">
        <v>45657.333831018521</v>
      </c>
      <c r="C57" s="3207">
        <v>44896.333831018521</v>
      </c>
      <c r="D57" s="1152">
        <v>761</v>
      </c>
      <c r="E57" s="1152" t="s">
        <v>3755</v>
      </c>
      <c r="F57" s="1152" t="s">
        <v>3695</v>
      </c>
      <c r="G57" s="1152" t="s">
        <v>3695</v>
      </c>
      <c r="H57" s="1152">
        <v>3</v>
      </c>
      <c r="I57" s="1152">
        <v>301</v>
      </c>
      <c r="J57" s="1152" t="s">
        <v>3756</v>
      </c>
      <c r="K57" s="1152" t="s">
        <v>21</v>
      </c>
      <c r="L57" s="1152" t="s">
        <v>3699</v>
      </c>
      <c r="M57" s="1152">
        <v>874.57</v>
      </c>
      <c r="N57" s="1152">
        <v>7258.93</v>
      </c>
      <c r="O57" s="1152">
        <v>83000</v>
      </c>
    </row>
    <row r="58" spans="2:15">
      <c r="B58" s="3207">
        <v>45657.333831018521</v>
      </c>
      <c r="C58" s="3207">
        <v>44896.333831018521</v>
      </c>
      <c r="D58" s="1152">
        <v>761</v>
      </c>
      <c r="E58" s="1152" t="s">
        <v>3755</v>
      </c>
      <c r="F58" s="1152" t="s">
        <v>3695</v>
      </c>
      <c r="G58" s="1152" t="s">
        <v>3695</v>
      </c>
      <c r="H58" s="1152">
        <v>5</v>
      </c>
      <c r="I58" s="1152">
        <v>504</v>
      </c>
      <c r="J58" s="1152" t="s">
        <v>3756</v>
      </c>
      <c r="K58" s="1152" t="s">
        <v>21</v>
      </c>
      <c r="L58" s="1152" t="s">
        <v>3699</v>
      </c>
      <c r="M58" s="1152">
        <v>893.4</v>
      </c>
      <c r="N58" s="1152">
        <v>7415.22</v>
      </c>
      <c r="O58" s="1152">
        <v>83000</v>
      </c>
    </row>
    <row r="59" spans="2:15">
      <c r="B59" s="3207">
        <v>45657.333831018521</v>
      </c>
      <c r="C59" s="3207">
        <v>44896.333831018521</v>
      </c>
      <c r="D59" s="1152">
        <v>761</v>
      </c>
      <c r="E59" s="1152" t="s">
        <v>3755</v>
      </c>
      <c r="F59" s="1152" t="s">
        <v>3695</v>
      </c>
      <c r="G59" s="1152" t="s">
        <v>3695</v>
      </c>
      <c r="H59" s="1152">
        <v>11</v>
      </c>
      <c r="I59" s="1152">
        <v>1102</v>
      </c>
      <c r="J59" s="1152" t="s">
        <v>3756</v>
      </c>
      <c r="K59" s="1152" t="s">
        <v>21</v>
      </c>
      <c r="L59" s="1152" t="s">
        <v>3699</v>
      </c>
      <c r="M59" s="1152">
        <v>1328.83</v>
      </c>
      <c r="N59" s="1152">
        <v>11029.29</v>
      </c>
      <c r="O59" s="1152">
        <v>83000</v>
      </c>
    </row>
    <row r="60" spans="2:15">
      <c r="B60" s="3207">
        <v>45657.333831018521</v>
      </c>
      <c r="C60" s="3207">
        <v>44896.333831018521</v>
      </c>
      <c r="D60" s="1152">
        <v>761</v>
      </c>
      <c r="E60" s="1152" t="s">
        <v>3755</v>
      </c>
      <c r="F60" s="1152" t="s">
        <v>3695</v>
      </c>
      <c r="G60" s="1152" t="s">
        <v>3695</v>
      </c>
      <c r="H60" s="1152">
        <v>5</v>
      </c>
      <c r="I60" s="1152">
        <v>503</v>
      </c>
      <c r="J60" s="1152" t="s">
        <v>3756</v>
      </c>
      <c r="K60" s="1152" t="s">
        <v>21</v>
      </c>
      <c r="L60" s="1152" t="s">
        <v>3699</v>
      </c>
      <c r="M60" s="1152">
        <v>771.44</v>
      </c>
      <c r="N60" s="1152">
        <v>6402.95</v>
      </c>
      <c r="O60" s="1152">
        <v>83000</v>
      </c>
    </row>
    <row r="61" spans="2:15">
      <c r="B61" s="3207">
        <v>45657.333831018521</v>
      </c>
      <c r="C61" s="3207">
        <v>44896.333831018521</v>
      </c>
      <c r="D61" s="1152">
        <v>761</v>
      </c>
      <c r="E61" s="1152" t="s">
        <v>3755</v>
      </c>
      <c r="F61" s="1152" t="s">
        <v>3695</v>
      </c>
      <c r="G61" s="1152" t="s">
        <v>3695</v>
      </c>
      <c r="H61" s="1152">
        <v>2</v>
      </c>
      <c r="I61" s="1152">
        <v>201</v>
      </c>
      <c r="J61" s="1152" t="s">
        <v>3756</v>
      </c>
      <c r="K61" s="1152" t="s">
        <v>21</v>
      </c>
      <c r="L61" s="1152" t="s">
        <v>3699</v>
      </c>
      <c r="M61" s="1152">
        <v>2138.4899999999998</v>
      </c>
      <c r="N61" s="1152">
        <v>17749.47</v>
      </c>
      <c r="O61" s="1152">
        <v>83000</v>
      </c>
    </row>
    <row r="62" spans="2:15">
      <c r="B62" s="3207">
        <v>45657.333831018521</v>
      </c>
      <c r="C62" s="3207">
        <v>44896.333831018521</v>
      </c>
      <c r="D62" s="1152">
        <v>761</v>
      </c>
      <c r="E62" s="1152" t="s">
        <v>3755</v>
      </c>
      <c r="F62" s="1152" t="s">
        <v>3695</v>
      </c>
      <c r="G62" s="1152" t="s">
        <v>3695</v>
      </c>
      <c r="H62" s="1152">
        <v>10</v>
      </c>
      <c r="I62" s="1152">
        <v>1003</v>
      </c>
      <c r="J62" s="1152" t="s">
        <v>3756</v>
      </c>
      <c r="K62" s="1152" t="s">
        <v>21</v>
      </c>
      <c r="L62" s="1152" t="s">
        <v>3699</v>
      </c>
      <c r="M62" s="1152">
        <v>771.44</v>
      </c>
      <c r="N62" s="1152">
        <v>6402.95</v>
      </c>
      <c r="O62" s="1152">
        <v>83000</v>
      </c>
    </row>
    <row r="63" spans="2:15">
      <c r="B63" s="3207">
        <v>45657.333831018521</v>
      </c>
      <c r="C63" s="3207">
        <v>44896.333831018521</v>
      </c>
      <c r="D63" s="1152">
        <v>761</v>
      </c>
      <c r="E63" s="1152" t="s">
        <v>3755</v>
      </c>
      <c r="F63" s="1152" t="s">
        <v>3695</v>
      </c>
      <c r="G63" s="1152" t="s">
        <v>3695</v>
      </c>
      <c r="H63" s="1152">
        <v>3</v>
      </c>
      <c r="I63" s="1152">
        <v>304</v>
      </c>
      <c r="J63" s="1152" t="s">
        <v>3756</v>
      </c>
      <c r="K63" s="1152" t="s">
        <v>21</v>
      </c>
      <c r="L63" s="1152" t="s">
        <v>3699</v>
      </c>
      <c r="M63" s="1152">
        <v>893.4</v>
      </c>
      <c r="N63" s="1152">
        <v>7415.22</v>
      </c>
      <c r="O63" s="1152">
        <v>83000</v>
      </c>
    </row>
    <row r="64" spans="2:15">
      <c r="B64" s="3207">
        <v>45657.333831018521</v>
      </c>
      <c r="C64" s="3207">
        <v>44896.333831018521</v>
      </c>
      <c r="D64" s="1152">
        <v>761</v>
      </c>
      <c r="E64" s="1152" t="s">
        <v>3755</v>
      </c>
      <c r="F64" s="1152" t="s">
        <v>3695</v>
      </c>
      <c r="G64" s="1152" t="s">
        <v>3695</v>
      </c>
      <c r="H64" s="1152">
        <v>5</v>
      </c>
      <c r="I64" s="1152">
        <v>502</v>
      </c>
      <c r="J64" s="1152" t="s">
        <v>3756</v>
      </c>
      <c r="K64" s="1152" t="s">
        <v>21</v>
      </c>
      <c r="L64" s="1152" t="s">
        <v>3699</v>
      </c>
      <c r="M64" s="1152">
        <v>847.61</v>
      </c>
      <c r="N64" s="1152">
        <v>7035.16</v>
      </c>
      <c r="O64" s="1152">
        <v>83000</v>
      </c>
    </row>
    <row r="65" spans="2:15">
      <c r="B65" s="3207">
        <v>45657.333831018521</v>
      </c>
      <c r="C65" s="3207">
        <v>44896.333831018521</v>
      </c>
      <c r="D65" s="1152">
        <v>761</v>
      </c>
      <c r="E65" s="1152" t="s">
        <v>3755</v>
      </c>
      <c r="F65" s="1152" t="s">
        <v>3695</v>
      </c>
      <c r="G65" s="1152" t="s">
        <v>3695</v>
      </c>
      <c r="H65" s="1152">
        <v>8</v>
      </c>
      <c r="I65" s="1152">
        <v>803</v>
      </c>
      <c r="J65" s="1152" t="s">
        <v>3756</v>
      </c>
      <c r="K65" s="1152" t="s">
        <v>21</v>
      </c>
      <c r="L65" s="1152" t="s">
        <v>3699</v>
      </c>
      <c r="M65" s="1152">
        <v>771.44</v>
      </c>
      <c r="N65" s="1152">
        <v>6402.95</v>
      </c>
      <c r="O65" s="1152">
        <v>83000</v>
      </c>
    </row>
    <row r="66" spans="2:15">
      <c r="B66" s="3207">
        <v>45657.333831018521</v>
      </c>
      <c r="C66" s="3207">
        <v>44896.333831018521</v>
      </c>
      <c r="D66" s="1152">
        <v>761</v>
      </c>
      <c r="E66" s="1152" t="s">
        <v>3755</v>
      </c>
      <c r="F66" s="1152" t="s">
        <v>3695</v>
      </c>
      <c r="G66" s="1152" t="s">
        <v>3695</v>
      </c>
      <c r="H66" s="1152">
        <v>7</v>
      </c>
      <c r="I66" s="1152">
        <v>702</v>
      </c>
      <c r="J66" s="1152" t="s">
        <v>3756</v>
      </c>
      <c r="K66" s="1152" t="s">
        <v>21</v>
      </c>
      <c r="L66" s="1152" t="s">
        <v>3699</v>
      </c>
      <c r="M66" s="1152">
        <v>847.61</v>
      </c>
      <c r="N66" s="1152">
        <v>7035.16</v>
      </c>
      <c r="O66" s="1152">
        <v>83000</v>
      </c>
    </row>
    <row r="67" spans="2:15">
      <c r="B67" s="3207">
        <v>45657.333831018521</v>
      </c>
      <c r="C67" s="3207">
        <v>44896.333831018521</v>
      </c>
      <c r="D67" s="1152">
        <v>761</v>
      </c>
      <c r="E67" s="1152" t="s">
        <v>3755</v>
      </c>
      <c r="F67" s="1152" t="s">
        <v>3695</v>
      </c>
      <c r="G67" s="1152" t="s">
        <v>3695</v>
      </c>
      <c r="H67" s="1152">
        <v>7</v>
      </c>
      <c r="I67" s="1152">
        <v>701</v>
      </c>
      <c r="J67" s="1152" t="s">
        <v>3756</v>
      </c>
      <c r="K67" s="1152" t="s">
        <v>21</v>
      </c>
      <c r="L67" s="1152" t="s">
        <v>3699</v>
      </c>
      <c r="M67" s="1152">
        <v>874.57</v>
      </c>
      <c r="N67" s="1152">
        <v>7258.93</v>
      </c>
      <c r="O67" s="1152">
        <v>83000</v>
      </c>
    </row>
    <row r="68" spans="2:15">
      <c r="B68" s="3207">
        <v>45657.333831018521</v>
      </c>
      <c r="C68" s="3207">
        <v>44896.333831018521</v>
      </c>
      <c r="D68" s="1152">
        <v>761</v>
      </c>
      <c r="E68" s="1152" t="s">
        <v>3755</v>
      </c>
      <c r="F68" s="1152" t="s">
        <v>3695</v>
      </c>
      <c r="G68" s="1152" t="s">
        <v>3695</v>
      </c>
      <c r="H68" s="1152">
        <v>3</v>
      </c>
      <c r="I68" s="1152">
        <v>302</v>
      </c>
      <c r="J68" s="1152" t="s">
        <v>3756</v>
      </c>
      <c r="K68" s="1152" t="s">
        <v>21</v>
      </c>
      <c r="L68" s="1152" t="s">
        <v>3699</v>
      </c>
      <c r="M68" s="1152">
        <v>847.61</v>
      </c>
      <c r="N68" s="1152">
        <v>7035.16</v>
      </c>
      <c r="O68" s="1152">
        <v>83000</v>
      </c>
    </row>
    <row r="69" spans="2:15">
      <c r="B69" s="3207">
        <v>45657.333831018521</v>
      </c>
      <c r="C69" s="3207">
        <v>44896.333831018521</v>
      </c>
      <c r="D69" s="1152">
        <v>761</v>
      </c>
      <c r="E69" s="1152" t="s">
        <v>3755</v>
      </c>
      <c r="F69" s="1152" t="s">
        <v>3695</v>
      </c>
      <c r="G69" s="1152" t="s">
        <v>3695</v>
      </c>
      <c r="H69" s="1152">
        <v>3</v>
      </c>
      <c r="I69" s="1152">
        <v>303</v>
      </c>
      <c r="J69" s="1152" t="s">
        <v>3756</v>
      </c>
      <c r="K69" s="1152" t="s">
        <v>21</v>
      </c>
      <c r="L69" s="1152" t="s">
        <v>3699</v>
      </c>
      <c r="M69" s="1152">
        <v>771.44</v>
      </c>
      <c r="N69" s="1152">
        <v>6402.95</v>
      </c>
      <c r="O69" s="1152">
        <v>83000</v>
      </c>
    </row>
    <row r="70" spans="2:15">
      <c r="B70" s="3207">
        <v>45657.333831018521</v>
      </c>
      <c r="C70" s="3207">
        <v>44896.333831018521</v>
      </c>
      <c r="D70" s="1152">
        <v>761</v>
      </c>
      <c r="E70" s="1152" t="s">
        <v>3755</v>
      </c>
      <c r="F70" s="1152" t="s">
        <v>3695</v>
      </c>
      <c r="G70" s="1152" t="s">
        <v>3695</v>
      </c>
      <c r="H70" s="1152">
        <v>4</v>
      </c>
      <c r="I70" s="1152">
        <v>402</v>
      </c>
      <c r="J70" s="1152" t="s">
        <v>3756</v>
      </c>
      <c r="K70" s="1152" t="s">
        <v>21</v>
      </c>
      <c r="L70" s="1152" t="s">
        <v>3699</v>
      </c>
      <c r="M70" s="1152">
        <v>847.61</v>
      </c>
      <c r="N70" s="1152">
        <v>7035.16</v>
      </c>
      <c r="O70" s="1152">
        <v>83000</v>
      </c>
    </row>
    <row r="71" spans="2:15">
      <c r="B71" s="3207">
        <v>45657.333831018521</v>
      </c>
      <c r="C71" s="3207">
        <v>44896.333831018521</v>
      </c>
      <c r="D71" s="1152">
        <v>761</v>
      </c>
      <c r="E71" s="1152" t="s">
        <v>3755</v>
      </c>
      <c r="F71" s="1152" t="s">
        <v>3695</v>
      </c>
      <c r="G71" s="1152" t="s">
        <v>3695</v>
      </c>
      <c r="H71" s="1152">
        <v>7</v>
      </c>
      <c r="I71" s="1152">
        <v>703</v>
      </c>
      <c r="J71" s="1152" t="s">
        <v>3756</v>
      </c>
      <c r="K71" s="1152" t="s">
        <v>21</v>
      </c>
      <c r="L71" s="1152" t="s">
        <v>3699</v>
      </c>
      <c r="M71" s="1152">
        <v>771.44</v>
      </c>
      <c r="N71" s="1152">
        <v>6402.95</v>
      </c>
      <c r="O71" s="1152">
        <v>83000</v>
      </c>
    </row>
    <row r="72" spans="2:15">
      <c r="B72" s="3207">
        <v>45657.333831018521</v>
      </c>
      <c r="C72" s="3207">
        <v>44896.333831018521</v>
      </c>
      <c r="D72" s="1152">
        <v>761</v>
      </c>
      <c r="E72" s="1152" t="s">
        <v>3755</v>
      </c>
      <c r="F72" s="1152" t="s">
        <v>3695</v>
      </c>
      <c r="G72" s="1152" t="s">
        <v>3695</v>
      </c>
      <c r="H72" s="1152">
        <v>6</v>
      </c>
      <c r="I72" s="1152">
        <v>602</v>
      </c>
      <c r="J72" s="1152" t="s">
        <v>3756</v>
      </c>
      <c r="K72" s="1152" t="s">
        <v>21</v>
      </c>
      <c r="L72" s="1152" t="s">
        <v>3699</v>
      </c>
      <c r="M72" s="1152">
        <v>847.61</v>
      </c>
      <c r="N72" s="1152">
        <v>7035.16</v>
      </c>
      <c r="O72" s="1152">
        <v>83000</v>
      </c>
    </row>
    <row r="73" spans="2:15">
      <c r="B73" s="3207">
        <v>45657.333831018521</v>
      </c>
      <c r="C73" s="3207">
        <v>44896.333831018521</v>
      </c>
      <c r="D73" s="1152">
        <v>761</v>
      </c>
      <c r="E73" s="1152" t="s">
        <v>3755</v>
      </c>
      <c r="F73" s="1152" t="s">
        <v>3695</v>
      </c>
      <c r="G73" s="1152" t="s">
        <v>3695</v>
      </c>
      <c r="H73" s="1152">
        <v>11</v>
      </c>
      <c r="I73" s="1152">
        <v>1103</v>
      </c>
      <c r="J73" s="1152" t="s">
        <v>3756</v>
      </c>
      <c r="K73" s="1152" t="s">
        <v>21</v>
      </c>
      <c r="L73" s="1152" t="s">
        <v>3699</v>
      </c>
      <c r="M73" s="1152">
        <v>140.09</v>
      </c>
      <c r="N73" s="1152">
        <v>1162.75</v>
      </c>
      <c r="O73" s="1152">
        <v>83000</v>
      </c>
    </row>
    <row r="74" spans="2:15">
      <c r="B74" s="3207">
        <v>45657.333831018521</v>
      </c>
      <c r="C74" s="3207">
        <v>44896.333831018521</v>
      </c>
      <c r="D74" s="1152">
        <v>761</v>
      </c>
      <c r="E74" s="1152" t="s">
        <v>3755</v>
      </c>
      <c r="F74" s="1152" t="s">
        <v>3695</v>
      </c>
      <c r="G74" s="1152" t="s">
        <v>3695</v>
      </c>
      <c r="H74" s="1152">
        <v>10</v>
      </c>
      <c r="I74" s="1152">
        <v>1004</v>
      </c>
      <c r="J74" s="1152" t="s">
        <v>3756</v>
      </c>
      <c r="K74" s="1152" t="s">
        <v>21</v>
      </c>
      <c r="L74" s="1152" t="s">
        <v>3699</v>
      </c>
      <c r="M74" s="1152">
        <v>893.4</v>
      </c>
      <c r="N74" s="1152">
        <v>7415.22</v>
      </c>
      <c r="O74" s="1152">
        <v>83000</v>
      </c>
    </row>
    <row r="75" spans="2:15">
      <c r="B75" s="3207">
        <v>45657.333831018521</v>
      </c>
      <c r="C75" s="3207">
        <v>44896.333831018521</v>
      </c>
      <c r="D75" s="1152">
        <v>761</v>
      </c>
      <c r="E75" s="1152" t="s">
        <v>3755</v>
      </c>
      <c r="F75" s="1152" t="s">
        <v>3695</v>
      </c>
      <c r="G75" s="1152" t="s">
        <v>3695</v>
      </c>
      <c r="H75" s="1152">
        <v>9</v>
      </c>
      <c r="I75" s="1152">
        <v>902</v>
      </c>
      <c r="J75" s="1152" t="s">
        <v>3756</v>
      </c>
      <c r="K75" s="1152" t="s">
        <v>21</v>
      </c>
      <c r="L75" s="1152" t="s">
        <v>3699</v>
      </c>
      <c r="M75" s="1152">
        <v>847.61</v>
      </c>
      <c r="N75" s="1152">
        <v>7035.16</v>
      </c>
      <c r="O75" s="1152">
        <v>83000</v>
      </c>
    </row>
    <row r="76" spans="2:15">
      <c r="B76" s="3207">
        <v>45657.333831018521</v>
      </c>
      <c r="C76" s="3207">
        <v>44896.333831018521</v>
      </c>
      <c r="D76" s="1152">
        <v>761</v>
      </c>
      <c r="E76" s="1152" t="s">
        <v>3755</v>
      </c>
      <c r="F76" s="1152" t="s">
        <v>3695</v>
      </c>
      <c r="G76" s="1152" t="s">
        <v>3695</v>
      </c>
      <c r="H76" s="1152">
        <v>8</v>
      </c>
      <c r="I76" s="1152">
        <v>804</v>
      </c>
      <c r="J76" s="1152" t="s">
        <v>3756</v>
      </c>
      <c r="K76" s="1152" t="s">
        <v>21</v>
      </c>
      <c r="L76" s="1152" t="s">
        <v>3699</v>
      </c>
      <c r="M76" s="1152">
        <v>893.4</v>
      </c>
      <c r="N76" s="1152">
        <v>7415.22</v>
      </c>
      <c r="O76" s="1152">
        <v>83000</v>
      </c>
    </row>
    <row r="77" spans="2:15">
      <c r="B77" s="3207">
        <v>45657.333831018521</v>
      </c>
      <c r="C77" s="3207">
        <v>44896.333831018521</v>
      </c>
      <c r="D77" s="1152">
        <v>761</v>
      </c>
      <c r="E77" s="1152" t="s">
        <v>3755</v>
      </c>
      <c r="F77" s="1152" t="s">
        <v>3695</v>
      </c>
      <c r="G77" s="1152" t="s">
        <v>3695</v>
      </c>
      <c r="H77" s="1152">
        <v>7</v>
      </c>
      <c r="I77" s="1152">
        <v>704</v>
      </c>
      <c r="J77" s="1152" t="s">
        <v>3756</v>
      </c>
      <c r="K77" s="1152" t="s">
        <v>21</v>
      </c>
      <c r="L77" s="1152" t="s">
        <v>3699</v>
      </c>
      <c r="M77" s="1152">
        <v>893.4</v>
      </c>
      <c r="N77" s="1152">
        <v>7415.22</v>
      </c>
      <c r="O77" s="1152">
        <v>83000</v>
      </c>
    </row>
    <row r="78" spans="2:15">
      <c r="B78" s="3207">
        <v>45657.333831018521</v>
      </c>
      <c r="C78" s="3207">
        <v>44896.333831018521</v>
      </c>
      <c r="D78" s="1152">
        <v>761</v>
      </c>
      <c r="E78" s="1152" t="s">
        <v>3755</v>
      </c>
      <c r="F78" s="1152" t="s">
        <v>3695</v>
      </c>
      <c r="G78" s="1152" t="s">
        <v>3695</v>
      </c>
      <c r="H78" s="1152">
        <v>4</v>
      </c>
      <c r="I78" s="1152">
        <v>404</v>
      </c>
      <c r="J78" s="1152" t="s">
        <v>3756</v>
      </c>
      <c r="K78" s="1152" t="s">
        <v>21</v>
      </c>
      <c r="L78" s="1152" t="s">
        <v>3699</v>
      </c>
      <c r="M78" s="1152">
        <v>893.4</v>
      </c>
      <c r="N78" s="1152">
        <v>7415.22</v>
      </c>
      <c r="O78" s="1152">
        <v>83000</v>
      </c>
    </row>
    <row r="79" spans="2:15">
      <c r="B79" s="3207">
        <v>45657.333831018521</v>
      </c>
      <c r="C79" s="3207">
        <v>44896.333831018521</v>
      </c>
      <c r="D79" s="1152">
        <v>761</v>
      </c>
      <c r="E79" s="1152" t="s">
        <v>3755</v>
      </c>
      <c r="F79" s="1152" t="s">
        <v>3695</v>
      </c>
      <c r="G79" s="1152" t="s">
        <v>3695</v>
      </c>
      <c r="H79" s="1152">
        <v>8</v>
      </c>
      <c r="I79" s="1152">
        <v>802</v>
      </c>
      <c r="J79" s="1152" t="s">
        <v>3756</v>
      </c>
      <c r="K79" s="1152" t="s">
        <v>21</v>
      </c>
      <c r="L79" s="1152" t="s">
        <v>3699</v>
      </c>
      <c r="M79" s="1152">
        <v>847.61</v>
      </c>
      <c r="N79" s="1152">
        <v>7035.16</v>
      </c>
      <c r="O79" s="1152">
        <v>83000</v>
      </c>
    </row>
    <row r="80" spans="2:15">
      <c r="B80" s="3207">
        <v>45657.333831018521</v>
      </c>
      <c r="C80" s="3207">
        <v>44896.333831018521</v>
      </c>
      <c r="D80" s="1152">
        <v>761</v>
      </c>
      <c r="E80" s="1152" t="s">
        <v>3755</v>
      </c>
      <c r="F80" s="1152" t="s">
        <v>3695</v>
      </c>
      <c r="G80" s="1152" t="s">
        <v>3695</v>
      </c>
      <c r="H80" s="1152">
        <v>9</v>
      </c>
      <c r="I80" s="1152">
        <v>901</v>
      </c>
      <c r="J80" s="1152" t="s">
        <v>3756</v>
      </c>
      <c r="K80" s="1152" t="s">
        <v>21</v>
      </c>
      <c r="L80" s="1152" t="s">
        <v>3699</v>
      </c>
      <c r="M80" s="1152">
        <v>874.57</v>
      </c>
      <c r="N80" s="1152">
        <v>7258.93</v>
      </c>
      <c r="O80" s="1152">
        <v>83000</v>
      </c>
    </row>
    <row r="81" spans="2:15">
      <c r="B81" s="3207">
        <v>45657.333831018521</v>
      </c>
      <c r="C81" s="3207">
        <v>44896.333831018521</v>
      </c>
      <c r="D81" s="1152">
        <v>761</v>
      </c>
      <c r="E81" s="1152" t="s">
        <v>3755</v>
      </c>
      <c r="F81" s="1152" t="s">
        <v>3695</v>
      </c>
      <c r="G81" s="1152" t="s">
        <v>3695</v>
      </c>
      <c r="H81" s="1152">
        <v>4</v>
      </c>
      <c r="I81" s="1152">
        <v>401</v>
      </c>
      <c r="J81" s="1152" t="s">
        <v>3756</v>
      </c>
      <c r="K81" s="1152" t="s">
        <v>21</v>
      </c>
      <c r="L81" s="1152" t="s">
        <v>3699</v>
      </c>
      <c r="M81" s="1152">
        <v>874.57</v>
      </c>
      <c r="N81" s="1152">
        <v>7258.93</v>
      </c>
      <c r="O81" s="1152">
        <v>83000</v>
      </c>
    </row>
    <row r="82" spans="2:15">
      <c r="B82" s="3207">
        <v>45657.333831018521</v>
      </c>
      <c r="C82" s="3207">
        <v>44896.333831018521</v>
      </c>
      <c r="D82" s="1152">
        <v>761</v>
      </c>
      <c r="E82" s="1152" t="s">
        <v>3755</v>
      </c>
      <c r="F82" s="1152" t="s">
        <v>3695</v>
      </c>
      <c r="G82" s="1152" t="s">
        <v>3695</v>
      </c>
      <c r="H82" s="1152">
        <v>11</v>
      </c>
      <c r="I82" s="1152">
        <v>1101</v>
      </c>
      <c r="J82" s="1152" t="s">
        <v>3756</v>
      </c>
      <c r="K82" s="1152" t="s">
        <v>21</v>
      </c>
      <c r="L82" s="1152" t="s">
        <v>3699</v>
      </c>
      <c r="M82" s="1152">
        <v>1198.32</v>
      </c>
      <c r="N82" s="1152">
        <v>9946.06</v>
      </c>
      <c r="O82" s="1152">
        <v>83000</v>
      </c>
    </row>
    <row r="83" spans="2:15">
      <c r="B83" s="1152"/>
      <c r="C83" s="1152"/>
      <c r="D83" s="1152"/>
      <c r="E83" s="1152"/>
      <c r="F83" s="1152"/>
      <c r="G83" s="1152"/>
      <c r="H83" s="1152"/>
      <c r="I83" s="1152"/>
      <c r="J83" s="1152"/>
      <c r="K83" s="1152"/>
      <c r="L83" s="1152"/>
      <c r="M83" s="1152">
        <f>SUM(M47:M82)</f>
        <v>31901.890000000003</v>
      </c>
      <c r="N83" s="1152">
        <f>SUM(N47:N82)</f>
        <v>264785.65000000008</v>
      </c>
      <c r="O83" s="1152">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19"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0"/>
      <c r="C1" s="190"/>
      <c r="D1" s="190"/>
      <c r="E1" s="190"/>
      <c r="F1" s="190"/>
      <c r="G1" s="1059">
        <f>MATCH(B1,'数据-取费表'!A6:A16,0)+5</f>
        <v>10</v>
      </c>
    </row>
    <row r="2" spans="1:9" s="192" customFormat="1" ht="18" customHeight="1">
      <c r="A2" s="193" t="s">
        <v>1462</v>
      </c>
      <c r="B2" s="194">
        <f ca="1">IF(D2="——",C52,C52-E2)</f>
        <v>236577</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f ca="1">ROUND(B2*10000/(IF(B1="",'数据-汇总表'!E3,INDIRECT("'数据-取费表'!k"&amp;$G$1))),0)</f>
        <v>46201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140961</v>
      </c>
      <c r="D5" s="203" t="s">
        <v>1469</v>
      </c>
      <c r="E5" s="204" t="s">
        <v>1470</v>
      </c>
      <c r="F5" s="204" t="s">
        <v>1471</v>
      </c>
      <c r="G5" s="205"/>
    </row>
    <row r="6" spans="1:9" s="206" customFormat="1" ht="13.5" customHeight="1">
      <c r="A6" s="729" t="s">
        <v>1472</v>
      </c>
      <c r="B6" s="207" t="s">
        <v>1473</v>
      </c>
      <c r="C6" s="208">
        <f>ROUND(基准地价修正商业!B2+基准地价修正办公!B2,0)</f>
        <v>135795</v>
      </c>
      <c r="D6" s="209"/>
      <c r="E6" s="210"/>
      <c r="F6" s="210"/>
      <c r="G6" s="211"/>
    </row>
    <row r="7" spans="1:9" s="206" customFormat="1" ht="13.5" customHeight="1">
      <c r="A7" s="729" t="s">
        <v>1474</v>
      </c>
      <c r="B7" s="207" t="s">
        <v>1475</v>
      </c>
      <c r="C7" s="212">
        <f>ROUND(C6*F7,0)</f>
        <v>4142</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1024</v>
      </c>
      <c r="D8" s="214"/>
      <c r="E8" s="212"/>
      <c r="F8" s="213"/>
      <c r="G8" s="1710" t="s">
        <v>3552</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1" t="s">
        <v>3554</v>
      </c>
      <c r="H9" s="3173">
        <f ca="1">C10</f>
        <v>1024</v>
      </c>
      <c r="I9" s="1712" t="s">
        <v>1479</v>
      </c>
    </row>
    <row r="10" spans="1:9" s="206" customFormat="1" ht="13.5" customHeight="1">
      <c r="A10" s="730" t="s">
        <v>356</v>
      </c>
      <c r="B10" s="216" t="s">
        <v>1480</v>
      </c>
      <c r="C10" s="217">
        <f ca="1">ROUND(D10*E10/10000,0)</f>
        <v>1024</v>
      </c>
      <c r="D10" s="792">
        <f ca="1">IF(B1="",'数据-汇总表'!E6,IF(INDIRECT("'数据-取费表'!c"&amp;$G$1)="住宅",INDIRECT("'数据-取费表'!s"&amp;$G$1),INDIRECT("'数据-取费表'!k"&amp;$G$1)+INDIRECT("'数据-取费表'!s"&amp;$G$1)))</f>
        <v>51206.530000000006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51206.530000000006</v>
      </c>
      <c r="E19" s="203">
        <f>'数据-取费表'!B31</f>
        <v>200</v>
      </c>
      <c r="F19" s="223"/>
      <c r="G19" s="1710" t="s">
        <v>3553</v>
      </c>
    </row>
    <row r="20" spans="1:7" s="206" customFormat="1" ht="13.5" customHeight="1">
      <c r="A20" s="247" t="s">
        <v>1493</v>
      </c>
      <c r="B20" s="202" t="s">
        <v>1494</v>
      </c>
      <c r="C20" s="224">
        <f ca="1">ROUND((C5+C19)*F20,0)</f>
        <v>2819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13652</v>
      </c>
      <c r="D22" s="227">
        <f ca="1">C26</f>
        <v>8.9999999999999998E-4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13520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132</v>
      </c>
      <c r="D25" s="230"/>
      <c r="E25" s="233"/>
      <c r="F25" s="231"/>
      <c r="G25" s="234" t="s">
        <v>1510</v>
      </c>
    </row>
    <row r="26" spans="1:7" s="206" customFormat="1">
      <c r="A26" s="731"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25880</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ROUND((C5+C19+C20)*F27*'数据-取费表'!B21/'数据-取费表'!B20,0)</f>
        <v>25880</v>
      </c>
      <c r="D28" s="227"/>
      <c r="E28" s="228"/>
      <c r="F28" s="238"/>
      <c r="G28" s="239"/>
    </row>
    <row r="29" spans="1:7" s="206" customFormat="1" ht="13.5" customHeight="1">
      <c r="A29" s="731"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198777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34820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30724</v>
      </c>
      <c r="D34" s="209"/>
      <c r="E34" s="212"/>
      <c r="F34" s="249">
        <f ca="1">IF('数据-取费表'!B24=0,1,IF(B1="",'数据-取费表'!N16,INDIRECT("'数据-取费表'!n"&amp;$G$1)))</f>
        <v>1</v>
      </c>
      <c r="G34" s="211" t="s">
        <v>1526</v>
      </c>
    </row>
    <row r="35" spans="1:7" ht="13.5" customHeight="1">
      <c r="A35" s="731" t="s">
        <v>351</v>
      </c>
      <c r="B35" s="207" t="s">
        <v>1527</v>
      </c>
      <c r="C35" s="212">
        <f ca="1">ROUND(C34*F35,0)</f>
        <v>2458</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1024</v>
      </c>
      <c r="D37" s="209">
        <f ca="1">D19</f>
        <v>51206.530000000006</v>
      </c>
      <c r="E37" s="241">
        <f>'数据-取费表'!B35</f>
        <v>200</v>
      </c>
      <c r="F37" s="251"/>
      <c r="G37" s="253" t="s">
        <v>1532</v>
      </c>
    </row>
    <row r="38" spans="1:7" ht="13.5" customHeight="1">
      <c r="A38" s="731"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1632</v>
      </c>
      <c r="D42" s="230"/>
      <c r="E42" s="230"/>
      <c r="F42" s="231"/>
      <c r="G42" s="3488" t="s">
        <v>1544</v>
      </c>
    </row>
    <row r="43" spans="1:7" ht="13.5" customHeight="1">
      <c r="A43" s="731" t="s">
        <v>347</v>
      </c>
      <c r="B43" s="207" t="s">
        <v>1545</v>
      </c>
      <c r="C43" s="230">
        <f ca="1">ROUND(IF('数据-取费表'!B22&lt;=1,C39*F22*'数据-取费表'!B21/2,C39*(POWER((1+F22),'数据-取费表'!B21/2)-1)),0)</f>
        <v>33</v>
      </c>
      <c r="D43" s="230"/>
      <c r="E43" s="230"/>
      <c r="F43" s="231"/>
      <c r="G43" s="3489"/>
    </row>
    <row r="44" spans="1:7" ht="13.5" customHeight="1">
      <c r="A44" s="731" t="s">
        <v>348</v>
      </c>
      <c r="B44" s="207" t="s">
        <v>1546</v>
      </c>
      <c r="C44" s="230">
        <f ca="1">ROUND(IF('数据-取费表'!B22&lt;=1,C40*F22*'数据-取费表'!B21/2,C40*(POWER((1+F22),'数据-取费表'!B21/2)-1)),4)</f>
        <v>8.9999999999999998E-4</v>
      </c>
      <c r="D44" s="230"/>
      <c r="E44" s="230"/>
      <c r="F44" s="231"/>
      <c r="G44" s="3490"/>
    </row>
    <row r="45" spans="1:7" s="206" customFormat="1" ht="13.5" customHeight="1">
      <c r="A45" s="247" t="s">
        <v>1547</v>
      </c>
      <c r="B45" s="236" t="s">
        <v>1513</v>
      </c>
      <c r="C45" s="237">
        <f ca="1">C46</f>
        <v>6393</v>
      </c>
      <c r="D45" s="227">
        <f ca="1">C47</f>
        <v>3.5999999999999999E-3</v>
      </c>
      <c r="E45" s="228" t="s">
        <v>1539</v>
      </c>
      <c r="F45" s="238">
        <f ca="1">F27</f>
        <v>0.18</v>
      </c>
      <c r="G45" s="239" t="s">
        <v>1548</v>
      </c>
    </row>
    <row r="46" spans="1:7" s="206" customFormat="1" ht="13.5" customHeight="1">
      <c r="A46" s="731" t="s">
        <v>346</v>
      </c>
      <c r="B46" s="240" t="s">
        <v>1549</v>
      </c>
      <c r="C46" s="241">
        <f ca="1">ROUND((C33+C39)*F27,0)</f>
        <v>6393</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47250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37800</v>
      </c>
      <c r="D51" s="224"/>
      <c r="E51" s="224"/>
      <c r="F51" s="256"/>
      <c r="G51" s="226" t="s">
        <v>1560</v>
      </c>
    </row>
    <row r="52" spans="1:7" s="200" customFormat="1" ht="16.8" thickBot="1">
      <c r="A52" s="257" t="s">
        <v>1561</v>
      </c>
      <c r="B52" s="258"/>
      <c r="C52" s="259">
        <f ca="1">C31+C51</f>
        <v>236577</v>
      </c>
      <c r="D52" s="258"/>
      <c r="E52" s="258"/>
      <c r="F52" s="258"/>
      <c r="G52" s="260"/>
    </row>
    <row r="55" spans="1:7" ht="15">
      <c r="B55" s="262" t="s">
        <v>1562</v>
      </c>
      <c r="C55" s="263"/>
    </row>
    <row r="56" spans="1:7">
      <c r="B56" s="265" t="s">
        <v>802</v>
      </c>
      <c r="C56" s="267">
        <f ca="1">1-C57</f>
        <v>0.84</v>
      </c>
    </row>
    <row r="57" spans="1:7">
      <c r="B57" s="265" t="s">
        <v>803</v>
      </c>
      <c r="C57" s="266">
        <f ca="1">ROUND(C51/C52,3)</f>
        <v>0.16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9"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5" zoomScaleNormal="80" zoomScaleSheetLayoutView="100" workbookViewId="0">
      <selection activeCell="V2" sqref="V2:V4"/>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1846.41</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24602</v>
      </c>
      <c r="C2" s="1842" t="s">
        <v>1935</v>
      </c>
      <c r="D2" s="162" t="s">
        <v>1936</v>
      </c>
      <c r="E2" s="3112"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Ⅱ—01</v>
      </c>
      <c r="J2" s="1838"/>
      <c r="K2" s="1053"/>
      <c r="L2" s="1843" t="s">
        <v>1939</v>
      </c>
      <c r="M2" s="808">
        <f>SUMPRODUCT((区片价!B10:B29=I2)*(区片价!C3:G3=E2)*(区片价!C10:G29))</f>
        <v>32350</v>
      </c>
      <c r="N2" s="810">
        <f>SUMPRODUCT((因素修正幅度!B10:B29=I2)*(因素修正幅度!C3:G3=E2)*(因素修正幅度!C10:G29))</f>
        <v>6.7000000000000004E-2</v>
      </c>
      <c r="O2" s="1053"/>
      <c r="P2" s="1053"/>
      <c r="Q2" s="1053"/>
      <c r="R2" s="1125">
        <v>1</v>
      </c>
      <c r="S2" s="3055">
        <f>ROUND(SUMPRODUCT((B106:B110=R2)*(C105:N105=G2)*(C106:N110)),4)</f>
        <v>1.5206</v>
      </c>
      <c r="T2" s="3055">
        <f t="shared" ref="T2:T16" si="0">ROUND($C$5*$C$22*$C$23*$C$24*S2*$C$28,0)</f>
        <v>38370</v>
      </c>
      <c r="U2" s="1126">
        <f>面积!H25+面积!H26</f>
        <v>1920.8700000000001</v>
      </c>
      <c r="V2" s="3055">
        <f>ROUND(T2*U2/10000,0)</f>
        <v>7370</v>
      </c>
      <c r="W2" s="1129"/>
      <c r="X2" s="1129"/>
      <c r="Y2" s="1129"/>
      <c r="Z2" s="1129"/>
      <c r="AA2" s="1129"/>
      <c r="AB2" s="1129"/>
      <c r="AC2" s="1130"/>
      <c r="AD2" s="1131"/>
      <c r="AE2" s="1131"/>
      <c r="AF2" s="1131"/>
      <c r="AG2" s="1131"/>
      <c r="AH2" s="1131"/>
      <c r="AI2" s="1131"/>
      <c r="AJ2" s="1132"/>
    </row>
    <row r="3" spans="1:36" ht="15.6">
      <c r="A3" s="195" t="s">
        <v>1940</v>
      </c>
      <c r="B3" s="196">
        <f>ROUND(B2*10000/D1,0)</f>
        <v>133242</v>
      </c>
      <c r="C3" s="1842" t="s">
        <v>1941</v>
      </c>
      <c r="D3" s="162" t="s">
        <v>1942</v>
      </c>
      <c r="E3" s="3110" t="s">
        <v>2437</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30462</v>
      </c>
      <c r="U3" s="1126">
        <f>面积!H27+面积!H28+面积!H29+面积!H30</f>
        <v>2565.87</v>
      </c>
      <c r="V3" s="3055">
        <f t="shared" ref="V3:V16" si="1">ROUND(T3*U3/10000,0)</f>
        <v>7816</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26321</v>
      </c>
      <c r="U4" s="1126">
        <f>面积!H31+面积!H32+面积!H33+面积!H34</f>
        <v>2869.1099999999997</v>
      </c>
      <c r="V4" s="3055">
        <f t="shared" si="1"/>
        <v>7552</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32333</v>
      </c>
      <c r="D5" s="1248">
        <f>ROUND(C6*C17+C20,0)</f>
        <v>32333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23818</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32350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22700</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二级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0.88249999999999995</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0.72299999999999998</v>
      </c>
      <c r="D24" s="1898" t="s">
        <v>2007</v>
      </c>
      <c r="E24" s="1244">
        <f>存贷款利率!E27/100</f>
        <v>4.3499999999999997E-2</v>
      </c>
      <c r="F24" s="1898" t="s">
        <v>1999</v>
      </c>
      <c r="G24" s="721">
        <f>SUMIF(M30:Q30,E2,M33:Q33)</f>
        <v>5.5E-2</v>
      </c>
      <c r="H24" s="1898" t="s">
        <v>2008</v>
      </c>
      <c r="I24" s="722">
        <f>SUMIF('数据-取费表'!C6:C15,E2,'数据-取费表'!F6:F15)/COUNTIF('数据-取费表'!C6:C15,E2)</f>
        <v>18.98</v>
      </c>
      <c r="J24" s="723">
        <f>IF(E2="住宅",70,IF(E2="商业",40,50))</f>
        <v>40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3551</v>
      </c>
      <c r="C25" s="461">
        <f>IF(B25="容积率修正",IF(G3&lt;10,D26,J26),C27)</f>
        <v>0</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0.92789999999999995</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1.0381</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24602</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466</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0</v>
      </c>
      <c r="D33" s="1936"/>
      <c r="E33" s="724">
        <f>ROUND(C33*D33/10000,0)</f>
        <v>0</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t="e">
        <f>ROUND(IF(E2="工业",C33*M42,IF(B25="楼层修正",SUM(V2:V16)*M41*10000/D34,C33*M41)),0)</f>
        <v>#DIV/0!</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17663</v>
      </c>
      <c r="D37" s="1936"/>
      <c r="E37" s="163">
        <f>ROUND(C37*D37/10000,0)</f>
        <v>0</v>
      </c>
      <c r="F37" s="163">
        <f>SUMIF(修正!A57:A68,G2,修正!B57:B68)</f>
        <v>0.7</v>
      </c>
      <c r="G37" s="163">
        <f>ROUND(IF(E2="工业",C37*$M$42,C37*$M$41),0)</f>
        <v>4416</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10093</v>
      </c>
      <c r="D38" s="1936">
        <f>面积!H22</f>
        <v>1846.41</v>
      </c>
      <c r="E38" s="163">
        <f t="shared" ref="E38:E42" si="4">ROUND(C38*D38/10000,0)</f>
        <v>1864</v>
      </c>
      <c r="F38" s="163">
        <f>SUMIF(修正!A57:A68,G2,修正!C57:C68)</f>
        <v>0.4</v>
      </c>
      <c r="G38" s="163">
        <f>ROUND(IF(E2="工业",C38*$M$42,C38*$M$41),0)</f>
        <v>2523</v>
      </c>
      <c r="H38" s="163">
        <f t="shared" ref="H38:H42" si="5">D38</f>
        <v>1846.41</v>
      </c>
      <c r="I38" s="163">
        <f t="shared" ref="I38:I42" si="6">ROUND(G38*H38/10000,0)</f>
        <v>466</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7570</v>
      </c>
      <c r="D39" s="1936"/>
      <c r="E39" s="163">
        <f t="shared" si="4"/>
        <v>0</v>
      </c>
      <c r="F39" s="163">
        <f>SUMIF(修正!A57:A68,G2,修正!D57:D68)</f>
        <v>0.3</v>
      </c>
      <c r="G39" s="163">
        <f>ROUND(IF(E2="工业",C39*$M$42,C39*$M$41),0)</f>
        <v>1893</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7570</v>
      </c>
      <c r="D40" s="1936"/>
      <c r="E40" s="163">
        <f t="shared" si="4"/>
        <v>0</v>
      </c>
      <c r="F40" s="167">
        <f>SUMIF(修正!A57:A68,G2,修正!E57:E68)</f>
        <v>0.3</v>
      </c>
      <c r="G40" s="163">
        <f>ROUND(IF(E2="工业",C40*$M$42,C40*$M$41),0)</f>
        <v>1893</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7173</v>
      </c>
      <c r="D41" s="1936"/>
      <c r="E41" s="163">
        <f t="shared" si="4"/>
        <v>0</v>
      </c>
      <c r="F41" s="167">
        <f>SUMIF(修正!A57:A68,G2,修正!F57:F68)</f>
        <v>0.3</v>
      </c>
      <c r="G41" s="163">
        <f>ROUND(IF(E2="工业",C41*$M$42,C41*$M$41),0)</f>
        <v>1793</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4782</v>
      </c>
      <c r="D42" s="1941"/>
      <c r="E42" s="179">
        <f t="shared" si="4"/>
        <v>0</v>
      </c>
      <c r="F42" s="720">
        <f>SUMIF(修正!A57:A68,G2,修正!G57:G68)</f>
        <v>0.2</v>
      </c>
      <c r="G42" s="179">
        <f>ROUND(IF(E2="工业",C42*$M$42,C42*$M$41),0)</f>
        <v>1196</v>
      </c>
      <c r="H42" s="179">
        <f t="shared" si="5"/>
        <v>0</v>
      </c>
      <c r="I42" s="179">
        <f t="shared" si="6"/>
        <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f>IF(E2="商业",SUMIF(L1:L12,G2,N1:N12),"——")</f>
        <v>6.7000000000000004E-2</v>
      </c>
      <c r="G50" s="997">
        <v>0.01</v>
      </c>
      <c r="H50" s="1000">
        <f t="shared" ref="H50:H58" si="8">IFERROR(ROUNDDOWN($F$50*I50/2,4),"——")</f>
        <v>0.01</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f t="shared" si="8"/>
        <v>7.3000000000000001E-3</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f t="shared" si="8"/>
        <v>4.0000000000000001E-3</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f t="shared" si="8"/>
        <v>1.6000000000000001E-3</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f t="shared" si="8"/>
        <v>2.5999999999999999E-3</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f t="shared" si="8"/>
        <v>1.6000000000000001E-3</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f t="shared" si="8"/>
        <v>1.6000000000000001E-3</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f t="shared" si="8"/>
        <v>2.5999999999999999E-3</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f t="shared" si="8"/>
        <v>1.6000000000000001E-3</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c r="D61" s="999">
        <f t="shared" ref="D61:D69" si="12">SUMIF($J$60:$N$60,C61,J61:N61)</f>
        <v>0</v>
      </c>
      <c r="E61" s="699">
        <f>ROUND(SUM(D61:D69),4)</f>
        <v>0</v>
      </c>
      <c r="F61" s="1671" t="str">
        <f>IF(E2="办公",SUMIF(L1:L12,G2,N1:N12),"——")</f>
        <v>——</v>
      </c>
      <c r="G61" s="997"/>
      <c r="H61" s="1000" t="str">
        <f t="shared" ref="H61:H69" si="13">IFERROR(ROUNDDOWN($F$61*I61/2,4),"——")</f>
        <v>——</v>
      </c>
      <c r="I61" s="3060">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c r="D62" s="999">
        <f t="shared" si="12"/>
        <v>0</v>
      </c>
      <c r="E62" s="700"/>
      <c r="F62" s="1671"/>
      <c r="G62" s="997"/>
      <c r="H62" s="1000" t="str">
        <f t="shared" si="13"/>
        <v>——</v>
      </c>
      <c r="I62" s="3060">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c r="D63" s="999">
        <f t="shared" si="12"/>
        <v>0</v>
      </c>
      <c r="E63" s="700"/>
      <c r="F63" s="1671"/>
      <c r="G63" s="997"/>
      <c r="H63" s="1000" t="str">
        <f t="shared" si="13"/>
        <v>——</v>
      </c>
      <c r="I63" s="3060">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c r="D64" s="999">
        <f t="shared" si="12"/>
        <v>0</v>
      </c>
      <c r="E64" s="700"/>
      <c r="F64" s="1671"/>
      <c r="G64" s="997"/>
      <c r="H64" s="1000" t="str">
        <f t="shared" si="13"/>
        <v>——</v>
      </c>
      <c r="I64" s="3060">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c r="D65" s="999">
        <f t="shared" si="12"/>
        <v>0</v>
      </c>
      <c r="E65" s="700"/>
      <c r="F65" s="1671"/>
      <c r="G65" s="997"/>
      <c r="H65" s="1000" t="str">
        <f t="shared" si="13"/>
        <v>——</v>
      </c>
      <c r="I65" s="3060">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6" t="s">
        <v>2057</v>
      </c>
      <c r="B66" s="1971" t="s">
        <v>2058</v>
      </c>
      <c r="C66" s="1883"/>
      <c r="D66" s="999">
        <f t="shared" si="12"/>
        <v>0</v>
      </c>
      <c r="E66" s="700"/>
      <c r="F66" s="1671"/>
      <c r="G66" s="997"/>
      <c r="H66" s="1000" t="str">
        <f t="shared" si="13"/>
        <v>——</v>
      </c>
      <c r="I66" s="3060">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c r="D67" s="999">
        <f t="shared" si="12"/>
        <v>0</v>
      </c>
      <c r="E67" s="700"/>
      <c r="F67" s="1671"/>
      <c r="G67" s="997"/>
      <c r="H67" s="1000" t="str">
        <f t="shared" si="13"/>
        <v>——</v>
      </c>
      <c r="I67" s="3060">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c r="D68" s="999">
        <f t="shared" si="12"/>
        <v>0</v>
      </c>
      <c r="E68" s="700"/>
      <c r="F68" s="1671"/>
      <c r="G68" s="997"/>
      <c r="H68" s="1000" t="str">
        <f t="shared" si="13"/>
        <v>——</v>
      </c>
      <c r="I68" s="3060">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c r="D69" s="999">
        <f t="shared" si="12"/>
        <v>0</v>
      </c>
      <c r="E69" s="701"/>
      <c r="F69" s="1671"/>
      <c r="G69" s="997"/>
      <c r="H69" s="1000" t="str">
        <f t="shared" si="13"/>
        <v>——</v>
      </c>
      <c r="I69" s="3061">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3268</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3269</v>
      </c>
      <c r="B92" s="2303"/>
      <c r="C92" s="2303" t="s">
        <v>3278</v>
      </c>
      <c r="D92" s="2303" t="s">
        <v>3279</v>
      </c>
      <c r="E92" s="3044" t="s">
        <v>3280</v>
      </c>
      <c r="F92" s="3074" t="s">
        <v>3281</v>
      </c>
      <c r="G92" s="2303" t="s">
        <v>3282</v>
      </c>
      <c r="H92" s="3081" t="s">
        <v>3285</v>
      </c>
      <c r="I92" s="2303" t="s">
        <v>3286</v>
      </c>
      <c r="J92" s="2146" t="s">
        <v>3287</v>
      </c>
      <c r="K92" s="2146" t="s">
        <v>3288</v>
      </c>
      <c r="L92" s="2146" t="s">
        <v>3289</v>
      </c>
      <c r="M92" s="2146" t="s">
        <v>3290</v>
      </c>
      <c r="N92" s="2146" t="s">
        <v>3291</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3271</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3272</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3273</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3274</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3275</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3276</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3277</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3296</v>
      </c>
      <c r="D105" s="3086" t="s">
        <v>3297</v>
      </c>
      <c r="E105" s="3086" t="s">
        <v>3298</v>
      </c>
      <c r="F105" s="3086" t="s">
        <v>3299</v>
      </c>
      <c r="G105" s="3086" t="s">
        <v>3300</v>
      </c>
      <c r="H105" s="3086" t="s">
        <v>3301</v>
      </c>
      <c r="I105" s="3086" t="s">
        <v>3302</v>
      </c>
      <c r="J105" s="3086" t="s">
        <v>3303</v>
      </c>
      <c r="K105" s="3086" t="s">
        <v>3304</v>
      </c>
      <c r="L105" s="3086" t="s">
        <v>3305</v>
      </c>
      <c r="M105" s="3086" t="s">
        <v>3306</v>
      </c>
      <c r="N105" s="3086" t="s">
        <v>3307</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0.92179999999999995</v>
      </c>
      <c r="E116" s="162" t="s">
        <v>3312</v>
      </c>
      <c r="F116" s="3093" t="str">
        <f>E2</f>
        <v>商业</v>
      </c>
      <c r="G116" s="162" t="s">
        <v>3313</v>
      </c>
      <c r="H116" s="3093" t="str">
        <f>G2</f>
        <v>二级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3326</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3327</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3328</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3329</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1875" defaultRowHeight="19.5" customHeight="1"/>
  <cols>
    <col min="1" max="13" width="15.21875" style="2805" customWidth="1"/>
    <col min="14" max="14" width="10" style="2805" customWidth="1"/>
    <col min="15" max="16" width="8.21875" style="2805"/>
    <col min="17" max="17" width="34.109375" style="2805" customWidth="1"/>
    <col min="18" max="18" width="8.21875" style="2805" customWidth="1"/>
    <col min="19" max="19" width="8.21875" style="2805"/>
    <col min="20" max="20" width="11.6640625" style="2805" customWidth="1"/>
    <col min="21" max="16384" width="8.21875" style="2805"/>
  </cols>
  <sheetData>
    <row r="1" spans="1:13" ht="19.5" customHeight="1" thickBot="1">
      <c r="A1" s="2802" t="s">
        <v>2592</v>
      </c>
      <c r="B1" s="2803" t="s">
        <v>2593</v>
      </c>
      <c r="C1" s="2803" t="s">
        <v>2594</v>
      </c>
      <c r="D1" s="2803" t="s">
        <v>2595</v>
      </c>
      <c r="E1" s="2803" t="s">
        <v>2596</v>
      </c>
      <c r="F1" s="2803" t="s">
        <v>2597</v>
      </c>
      <c r="G1" s="2803" t="s">
        <v>2598</v>
      </c>
      <c r="H1" s="2803" t="s">
        <v>2599</v>
      </c>
      <c r="I1" s="2803" t="s">
        <v>2600</v>
      </c>
      <c r="J1" s="2803" t="s">
        <v>2601</v>
      </c>
      <c r="K1" s="2803" t="s">
        <v>2602</v>
      </c>
      <c r="L1" s="2803" t="s">
        <v>2603</v>
      </c>
      <c r="M1" s="2804" t="s">
        <v>2604</v>
      </c>
    </row>
    <row r="2" spans="1:13" ht="19.5" customHeight="1">
      <c r="A2" s="2806" t="s">
        <v>2605</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2606</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2607</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2608</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2609</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2610</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2611</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2612</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2613</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2614</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2615</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2616</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2617</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2618</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2619</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2620</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2621</v>
      </c>
      <c r="B18" s="2828"/>
      <c r="C18" s="2829"/>
      <c r="D18" s="2829"/>
      <c r="E18" s="2828"/>
      <c r="F18" s="2829"/>
      <c r="G18" s="2829"/>
    </row>
    <row r="19" spans="1:13" ht="19.5" customHeight="1" thickBot="1">
      <c r="A19" s="2826" t="s">
        <v>2622</v>
      </c>
      <c r="B19" s="2831" t="s">
        <v>2623</v>
      </c>
      <c r="C19" s="2831" t="s">
        <v>2624</v>
      </c>
      <c r="D19" s="2832"/>
      <c r="E19" s="2826" t="s">
        <v>2625</v>
      </c>
      <c r="F19" s="2833"/>
      <c r="G19" s="2833"/>
    </row>
    <row r="20" spans="1:13" ht="19.5" customHeight="1">
      <c r="A20" s="3632" t="s">
        <v>2605</v>
      </c>
      <c r="B20" s="3627" t="s">
        <v>2626</v>
      </c>
      <c r="C20" s="2834" t="s">
        <v>2437</v>
      </c>
      <c r="D20" s="2835"/>
      <c r="E20" s="2836">
        <v>1</v>
      </c>
      <c r="F20" s="2837" t="s">
        <v>2438</v>
      </c>
      <c r="G20" s="2837"/>
    </row>
    <row r="21" spans="1:13" ht="19.5" customHeight="1">
      <c r="A21" s="3633"/>
      <c r="B21" s="3626"/>
      <c r="C21" s="2838" t="s">
        <v>2439</v>
      </c>
      <c r="D21" s="2839"/>
      <c r="E21" s="2840">
        <v>1</v>
      </c>
      <c r="F21" s="2837" t="s">
        <v>2440</v>
      </c>
      <c r="G21" s="2837"/>
    </row>
    <row r="22" spans="1:13" ht="19.5" customHeight="1">
      <c r="A22" s="3633"/>
      <c r="B22" s="3626"/>
      <c r="C22" s="2838" t="s">
        <v>2441</v>
      </c>
      <c r="D22" s="2839"/>
      <c r="E22" s="2840">
        <v>0.9</v>
      </c>
      <c r="F22" s="2837" t="s">
        <v>2442</v>
      </c>
      <c r="G22" s="2837"/>
    </row>
    <row r="23" spans="1:13" ht="19.5" customHeight="1">
      <c r="A23" s="3633"/>
      <c r="B23" s="3626"/>
      <c r="C23" s="2838" t="s">
        <v>2443</v>
      </c>
      <c r="D23" s="2839"/>
      <c r="E23" s="2840">
        <v>0.9</v>
      </c>
      <c r="F23" s="2837" t="s">
        <v>2444</v>
      </c>
      <c r="G23" s="2837"/>
    </row>
    <row r="24" spans="1:13" ht="19.5" customHeight="1">
      <c r="A24" s="3633"/>
      <c r="B24" s="3626"/>
      <c r="C24" s="2838" t="s">
        <v>2445</v>
      </c>
      <c r="D24" s="2839"/>
      <c r="E24" s="2840">
        <v>0.8</v>
      </c>
      <c r="F24" s="2837" t="s">
        <v>2446</v>
      </c>
      <c r="G24" s="2837"/>
    </row>
    <row r="25" spans="1:13" ht="19.5" customHeight="1" thickBot="1">
      <c r="A25" s="3634"/>
      <c r="B25" s="3628"/>
      <c r="C25" s="2841" t="s">
        <v>2447</v>
      </c>
      <c r="D25" s="2842"/>
      <c r="E25" s="2843">
        <v>0.8</v>
      </c>
      <c r="F25" s="2837" t="s">
        <v>2448</v>
      </c>
      <c r="G25" s="2837"/>
    </row>
    <row r="26" spans="1:13" ht="19.5" customHeight="1" thickBot="1">
      <c r="A26" s="2844" t="s">
        <v>2627</v>
      </c>
      <c r="B26" s="2845" t="s">
        <v>2626</v>
      </c>
      <c r="C26" s="2846" t="s">
        <v>2628</v>
      </c>
      <c r="D26" s="2847"/>
      <c r="E26" s="2848">
        <v>1</v>
      </c>
      <c r="F26" s="2837" t="s">
        <v>2449</v>
      </c>
      <c r="G26" s="2837"/>
    </row>
    <row r="27" spans="1:13" ht="19.5" customHeight="1">
      <c r="A27" s="3629" t="s">
        <v>2629</v>
      </c>
      <c r="B27" s="3627" t="s">
        <v>2610</v>
      </c>
      <c r="C27" s="2834" t="s">
        <v>2450</v>
      </c>
      <c r="D27" s="2835"/>
      <c r="E27" s="2836">
        <v>1</v>
      </c>
      <c r="F27" s="2837" t="s">
        <v>2451</v>
      </c>
      <c r="G27" s="2837"/>
    </row>
    <row r="28" spans="1:13" ht="19.5" customHeight="1">
      <c r="A28" s="3630"/>
      <c r="B28" s="3626"/>
      <c r="C28" s="2838" t="s">
        <v>2452</v>
      </c>
      <c r="D28" s="2839"/>
      <c r="E28" s="2840">
        <v>1</v>
      </c>
      <c r="F28" s="2837" t="s">
        <v>2453</v>
      </c>
      <c r="G28" s="2837"/>
    </row>
    <row r="29" spans="1:13" ht="19.5" customHeight="1">
      <c r="A29" s="3630"/>
      <c r="B29" s="3626"/>
      <c r="C29" s="2838" t="s">
        <v>2454</v>
      </c>
      <c r="D29" s="2839"/>
      <c r="E29" s="2840">
        <v>0.8</v>
      </c>
      <c r="F29" s="2837" t="s">
        <v>2455</v>
      </c>
      <c r="G29" s="2837"/>
    </row>
    <row r="30" spans="1:13" ht="19.5" customHeight="1">
      <c r="A30" s="3630"/>
      <c r="B30" s="3626"/>
      <c r="C30" s="2838" t="s">
        <v>2456</v>
      </c>
      <c r="D30" s="2839"/>
      <c r="E30" s="2840">
        <v>0.8</v>
      </c>
      <c r="F30" s="2837" t="s">
        <v>2457</v>
      </c>
      <c r="G30" s="2837"/>
    </row>
    <row r="31" spans="1:13" ht="19.5" customHeight="1">
      <c r="A31" s="3630"/>
      <c r="B31" s="3626"/>
      <c r="C31" s="2838" t="s">
        <v>2458</v>
      </c>
      <c r="D31" s="2839"/>
      <c r="E31" s="2840">
        <v>0.8</v>
      </c>
      <c r="F31" s="2837" t="s">
        <v>2459</v>
      </c>
      <c r="G31" s="2837"/>
    </row>
    <row r="32" spans="1:13" ht="19.5" customHeight="1">
      <c r="A32" s="3630"/>
      <c r="B32" s="3626"/>
      <c r="C32" s="2838" t="s">
        <v>2460</v>
      </c>
      <c r="D32" s="2839"/>
      <c r="E32" s="2840">
        <v>0.7</v>
      </c>
      <c r="F32" s="2837" t="s">
        <v>2461</v>
      </c>
      <c r="G32" s="2837"/>
    </row>
    <row r="33" spans="1:7" ht="19.5" customHeight="1">
      <c r="A33" s="3630"/>
      <c r="B33" s="3626"/>
      <c r="C33" s="2838" t="s">
        <v>2462</v>
      </c>
      <c r="D33" s="2839"/>
      <c r="E33" s="2840">
        <v>0.8</v>
      </c>
      <c r="F33" s="2837" t="s">
        <v>2463</v>
      </c>
      <c r="G33" s="2837"/>
    </row>
    <row r="34" spans="1:7" ht="19.5" customHeight="1">
      <c r="A34" s="3630"/>
      <c r="B34" s="3626"/>
      <c r="C34" s="2838" t="s">
        <v>2464</v>
      </c>
      <c r="D34" s="2839"/>
      <c r="E34" s="2840">
        <v>0.6</v>
      </c>
      <c r="F34" s="2837" t="s">
        <v>2465</v>
      </c>
      <c r="G34" s="2837"/>
    </row>
    <row r="35" spans="1:7" ht="19.5" customHeight="1">
      <c r="A35" s="3630"/>
      <c r="B35" s="3626"/>
      <c r="C35" s="2838" t="s">
        <v>2466</v>
      </c>
      <c r="D35" s="2839"/>
      <c r="E35" s="2840">
        <v>0.2</v>
      </c>
      <c r="F35" s="2837" t="s">
        <v>2467</v>
      </c>
      <c r="G35" s="2837"/>
    </row>
    <row r="36" spans="1:7" ht="19.5" customHeight="1">
      <c r="A36" s="3630"/>
      <c r="B36" s="3626"/>
      <c r="C36" s="2838" t="s">
        <v>2468</v>
      </c>
      <c r="D36" s="2839"/>
      <c r="E36" s="2840">
        <v>0.2</v>
      </c>
      <c r="F36" s="2837" t="s">
        <v>2469</v>
      </c>
      <c r="G36" s="2837"/>
    </row>
    <row r="37" spans="1:7" ht="19.5" customHeight="1">
      <c r="A37" s="3630"/>
      <c r="B37" s="3624" t="s">
        <v>2630</v>
      </c>
      <c r="C37" s="2838" t="s">
        <v>2470</v>
      </c>
      <c r="D37" s="2839"/>
      <c r="E37" s="2840">
        <v>0.6</v>
      </c>
      <c r="F37" s="2837" t="s">
        <v>2471</v>
      </c>
      <c r="G37" s="2837"/>
    </row>
    <row r="38" spans="1:7" ht="19.5" customHeight="1">
      <c r="A38" s="3630"/>
      <c r="B38" s="3626"/>
      <c r="C38" s="2838" t="s">
        <v>2472</v>
      </c>
      <c r="D38" s="2839"/>
      <c r="E38" s="2840">
        <v>0.6</v>
      </c>
      <c r="F38" s="2837" t="s">
        <v>2473</v>
      </c>
      <c r="G38" s="2837"/>
    </row>
    <row r="39" spans="1:7" ht="19.5" customHeight="1" thickBot="1">
      <c r="A39" s="3631"/>
      <c r="B39" s="3628"/>
      <c r="C39" s="2841" t="s">
        <v>2474</v>
      </c>
      <c r="D39" s="2842"/>
      <c r="E39" s="2843">
        <v>0.6</v>
      </c>
      <c r="F39" s="2837" t="s">
        <v>2475</v>
      </c>
      <c r="G39" s="2837"/>
    </row>
    <row r="40" spans="1:7" ht="19.5" customHeight="1" thickBot="1">
      <c r="A40" s="2844" t="s">
        <v>2607</v>
      </c>
      <c r="B40" s="2845" t="s">
        <v>2607</v>
      </c>
      <c r="C40" s="2846" t="s">
        <v>2631</v>
      </c>
      <c r="D40" s="2847"/>
      <c r="E40" s="2848">
        <v>1</v>
      </c>
      <c r="F40" s="2837" t="s">
        <v>2476</v>
      </c>
      <c r="G40" s="2837"/>
    </row>
    <row r="41" spans="1:7" ht="19.5" customHeight="1">
      <c r="A41" s="3632" t="s">
        <v>2608</v>
      </c>
      <c r="B41" s="3627" t="s">
        <v>2632</v>
      </c>
      <c r="C41" s="2834" t="s">
        <v>2477</v>
      </c>
      <c r="D41" s="2835"/>
      <c r="E41" s="2836">
        <v>1</v>
      </c>
      <c r="F41" s="2837" t="s">
        <v>2478</v>
      </c>
      <c r="G41" s="2837"/>
    </row>
    <row r="42" spans="1:7" ht="19.5" customHeight="1">
      <c r="A42" s="3633"/>
      <c r="B42" s="3626"/>
      <c r="C42" s="2838" t="s">
        <v>2479</v>
      </c>
      <c r="D42" s="2839"/>
      <c r="E42" s="2840">
        <v>1</v>
      </c>
      <c r="F42" s="2837" t="s">
        <v>2480</v>
      </c>
      <c r="G42" s="2837"/>
    </row>
    <row r="43" spans="1:7" ht="19.5" customHeight="1">
      <c r="A43" s="3633"/>
      <c r="B43" s="3625"/>
      <c r="C43" s="2838" t="s">
        <v>2481</v>
      </c>
      <c r="D43" s="2839"/>
      <c r="E43" s="2840">
        <v>1.5</v>
      </c>
      <c r="F43" s="2837" t="s">
        <v>2482</v>
      </c>
      <c r="G43" s="2837"/>
    </row>
    <row r="44" spans="1:7" ht="19.5" customHeight="1">
      <c r="A44" s="3633"/>
      <c r="B44" s="2849" t="s">
        <v>2633</v>
      </c>
      <c r="C44" s="2838" t="s">
        <v>2634</v>
      </c>
      <c r="D44" s="2839"/>
      <c r="E44" s="2840">
        <v>2</v>
      </c>
      <c r="F44" s="2837" t="s">
        <v>2483</v>
      </c>
      <c r="G44" s="2837"/>
    </row>
    <row r="45" spans="1:7" ht="19.5" customHeight="1">
      <c r="A45" s="3633"/>
      <c r="B45" s="3624" t="s">
        <v>2635</v>
      </c>
      <c r="C45" s="2838" t="s">
        <v>2484</v>
      </c>
      <c r="D45" s="2839"/>
      <c r="E45" s="2840">
        <v>1</v>
      </c>
      <c r="F45" s="2837" t="s">
        <v>2485</v>
      </c>
      <c r="G45" s="2837"/>
    </row>
    <row r="46" spans="1:7" ht="19.5" customHeight="1">
      <c r="A46" s="3633"/>
      <c r="B46" s="3626"/>
      <c r="C46" s="2838" t="s">
        <v>2486</v>
      </c>
      <c r="D46" s="2839"/>
      <c r="E46" s="2840">
        <v>1</v>
      </c>
      <c r="F46" s="2837" t="s">
        <v>2487</v>
      </c>
      <c r="G46" s="2837"/>
    </row>
    <row r="47" spans="1:7" ht="19.5" customHeight="1">
      <c r="A47" s="3633"/>
      <c r="B47" s="3626"/>
      <c r="C47" s="2838" t="s">
        <v>2488</v>
      </c>
      <c r="D47" s="2839"/>
      <c r="E47" s="2840">
        <v>1</v>
      </c>
      <c r="F47" s="2837" t="s">
        <v>2489</v>
      </c>
      <c r="G47" s="2837"/>
    </row>
    <row r="48" spans="1:7" ht="19.5" customHeight="1">
      <c r="A48" s="3633"/>
      <c r="B48" s="3626"/>
      <c r="C48" s="2838" t="s">
        <v>2490</v>
      </c>
      <c r="D48" s="2839"/>
      <c r="E48" s="2840">
        <v>1</v>
      </c>
      <c r="F48" s="2837" t="s">
        <v>2491</v>
      </c>
      <c r="G48" s="2837"/>
    </row>
    <row r="49" spans="1:7" ht="19.5" customHeight="1">
      <c r="A49" s="3633"/>
      <c r="B49" s="3626"/>
      <c r="C49" s="2838" t="s">
        <v>2492</v>
      </c>
      <c r="D49" s="2839"/>
      <c r="E49" s="2840">
        <v>1</v>
      </c>
      <c r="F49" s="2837" t="s">
        <v>2493</v>
      </c>
      <c r="G49" s="2837"/>
    </row>
    <row r="50" spans="1:7" ht="19.5" customHeight="1">
      <c r="A50" s="3633"/>
      <c r="B50" s="3626"/>
      <c r="C50" s="2838" t="s">
        <v>2494</v>
      </c>
      <c r="D50" s="2839"/>
      <c r="E50" s="2840">
        <v>1</v>
      </c>
      <c r="F50" s="2837" t="s">
        <v>2495</v>
      </c>
      <c r="G50" s="2837"/>
    </row>
    <row r="51" spans="1:7" ht="19.5" customHeight="1" thickBot="1">
      <c r="A51" s="3634"/>
      <c r="B51" s="3628"/>
      <c r="C51" s="2841" t="s">
        <v>2496</v>
      </c>
      <c r="D51" s="2842"/>
      <c r="E51" s="2843">
        <v>1</v>
      </c>
      <c r="F51" s="2837" t="s">
        <v>2497</v>
      </c>
      <c r="G51" s="2837"/>
    </row>
    <row r="52" spans="1:7" ht="19.5" customHeight="1">
      <c r="A52" s="2850"/>
      <c r="B52" s="2850"/>
      <c r="C52" s="2850"/>
      <c r="D52" s="2850"/>
      <c r="E52" s="2850"/>
      <c r="F52" s="2850"/>
      <c r="G52" s="2850"/>
    </row>
    <row r="54" spans="1:7" ht="19.5" customHeight="1">
      <c r="A54" s="2851"/>
      <c r="B54" s="2823" t="s">
        <v>2636</v>
      </c>
      <c r="C54" s="2823" t="s">
        <v>2636</v>
      </c>
      <c r="D54" s="2823" t="s">
        <v>2636</v>
      </c>
      <c r="E54" s="2826" t="s">
        <v>2636</v>
      </c>
      <c r="F54" s="2826" t="s">
        <v>2637</v>
      </c>
      <c r="G54" s="2826" t="s">
        <v>2638</v>
      </c>
    </row>
    <row r="55" spans="1:7" ht="19.5" customHeight="1">
      <c r="A55" s="2852"/>
      <c r="B55" s="2826" t="s">
        <v>2605</v>
      </c>
      <c r="C55" s="2826" t="s">
        <v>2605</v>
      </c>
      <c r="D55" s="2826" t="s">
        <v>2605</v>
      </c>
      <c r="E55" s="2823" t="s">
        <v>2606</v>
      </c>
      <c r="F55" s="2823" t="s">
        <v>2608</v>
      </c>
      <c r="G55" s="2823" t="s">
        <v>2639</v>
      </c>
    </row>
    <row r="56" spans="1:7" ht="19.5" customHeight="1">
      <c r="A56" s="2853"/>
      <c r="B56" s="2823">
        <v>1</v>
      </c>
      <c r="C56" s="2823">
        <v>2</v>
      </c>
      <c r="D56" s="2823">
        <v>3</v>
      </c>
      <c r="E56" s="2854" t="s">
        <v>2640</v>
      </c>
      <c r="F56" s="2854" t="s">
        <v>2640</v>
      </c>
      <c r="G56" s="2854" t="s">
        <v>2640</v>
      </c>
    </row>
    <row r="57" spans="1:7" ht="19.5" customHeight="1">
      <c r="A57" s="2855" t="s">
        <v>2593</v>
      </c>
      <c r="B57" s="2823">
        <v>0.7</v>
      </c>
      <c r="C57" s="2823">
        <v>0.4</v>
      </c>
      <c r="D57" s="2823">
        <v>0.3</v>
      </c>
      <c r="E57" s="2854">
        <v>0.3</v>
      </c>
      <c r="F57" s="2823">
        <v>0.3</v>
      </c>
      <c r="G57" s="2823">
        <v>0.2</v>
      </c>
    </row>
    <row r="58" spans="1:7" ht="19.5" customHeight="1">
      <c r="A58" s="2855" t="s">
        <v>2594</v>
      </c>
      <c r="B58" s="2823">
        <v>0.7</v>
      </c>
      <c r="C58" s="2823">
        <v>0.4</v>
      </c>
      <c r="D58" s="2823">
        <v>0.3</v>
      </c>
      <c r="E58" s="2823">
        <v>0.3</v>
      </c>
      <c r="F58" s="2823">
        <v>0.3</v>
      </c>
      <c r="G58" s="2823">
        <v>0.2</v>
      </c>
    </row>
    <row r="59" spans="1:7" ht="19.5" customHeight="1">
      <c r="A59" s="2855" t="s">
        <v>2595</v>
      </c>
      <c r="B59" s="2823">
        <v>0.6</v>
      </c>
      <c r="C59" s="2823">
        <v>0.3</v>
      </c>
      <c r="D59" s="2823">
        <v>0.25</v>
      </c>
      <c r="E59" s="2823">
        <v>0.25</v>
      </c>
      <c r="F59" s="2823">
        <v>0.25</v>
      </c>
      <c r="G59" s="2823">
        <v>0.15</v>
      </c>
    </row>
    <row r="60" spans="1:7" ht="19.5" customHeight="1">
      <c r="A60" s="2855" t="s">
        <v>2596</v>
      </c>
      <c r="B60" s="2823">
        <v>0.6</v>
      </c>
      <c r="C60" s="2823">
        <v>0.3</v>
      </c>
      <c r="D60" s="2823">
        <v>0.25</v>
      </c>
      <c r="E60" s="2823">
        <v>0.25</v>
      </c>
      <c r="F60" s="2823">
        <v>0.25</v>
      </c>
      <c r="G60" s="2823">
        <v>0.15</v>
      </c>
    </row>
    <row r="61" spans="1:7" ht="19.5" customHeight="1">
      <c r="A61" s="2855" t="s">
        <v>2597</v>
      </c>
      <c r="B61" s="2823">
        <v>0.6</v>
      </c>
      <c r="C61" s="2823">
        <v>0.3</v>
      </c>
      <c r="D61" s="2823">
        <v>0.25</v>
      </c>
      <c r="E61" s="2823">
        <v>0.25</v>
      </c>
      <c r="F61" s="2823">
        <v>0.25</v>
      </c>
      <c r="G61" s="2823">
        <v>0.15</v>
      </c>
    </row>
    <row r="62" spans="1:7" ht="19.5" customHeight="1">
      <c r="A62" s="2855" t="s">
        <v>2598</v>
      </c>
      <c r="B62" s="2823">
        <v>0.6</v>
      </c>
      <c r="C62" s="2823">
        <v>0.3</v>
      </c>
      <c r="D62" s="2823">
        <v>0.25</v>
      </c>
      <c r="E62" s="2823">
        <v>0.25</v>
      </c>
      <c r="F62" s="2823">
        <v>0.25</v>
      </c>
      <c r="G62" s="2823">
        <v>0.15</v>
      </c>
    </row>
    <row r="63" spans="1:7" ht="19.5" customHeight="1">
      <c r="A63" s="2855" t="s">
        <v>2599</v>
      </c>
      <c r="B63" s="2823">
        <v>0.6</v>
      </c>
      <c r="C63" s="2823">
        <v>0.3</v>
      </c>
      <c r="D63" s="2823">
        <v>0.25</v>
      </c>
      <c r="E63" s="2823">
        <v>0.25</v>
      </c>
      <c r="F63" s="2823">
        <v>0.25</v>
      </c>
      <c r="G63" s="2823">
        <v>0.15</v>
      </c>
    </row>
    <row r="64" spans="1:7" ht="19.5" customHeight="1">
      <c r="A64" s="2855" t="s">
        <v>2600</v>
      </c>
      <c r="B64" s="2823">
        <v>0.5</v>
      </c>
      <c r="C64" s="2823">
        <v>0.2</v>
      </c>
      <c r="D64" s="2823">
        <v>0.2</v>
      </c>
      <c r="E64" s="2823">
        <v>0.2</v>
      </c>
      <c r="F64" s="2823">
        <v>0.2</v>
      </c>
      <c r="G64" s="2823">
        <v>0.1</v>
      </c>
    </row>
    <row r="65" spans="1:7" ht="19.5" customHeight="1">
      <c r="A65" s="2855" t="s">
        <v>2601</v>
      </c>
      <c r="B65" s="2823">
        <v>0.5</v>
      </c>
      <c r="C65" s="2823">
        <v>0.2</v>
      </c>
      <c r="D65" s="2823">
        <v>0.2</v>
      </c>
      <c r="E65" s="2823">
        <v>0.2</v>
      </c>
      <c r="F65" s="2823">
        <v>0.2</v>
      </c>
      <c r="G65" s="2823">
        <v>0.1</v>
      </c>
    </row>
    <row r="66" spans="1:7" ht="19.5" customHeight="1">
      <c r="A66" s="2855" t="s">
        <v>2602</v>
      </c>
      <c r="B66" s="2823">
        <v>0.5</v>
      </c>
      <c r="C66" s="2823">
        <v>0.2</v>
      </c>
      <c r="D66" s="2823">
        <v>0.2</v>
      </c>
      <c r="E66" s="2823">
        <v>0.2</v>
      </c>
      <c r="F66" s="2823">
        <v>0.2</v>
      </c>
      <c r="G66" s="2823">
        <v>0.1</v>
      </c>
    </row>
    <row r="67" spans="1:7" ht="19.5" customHeight="1">
      <c r="A67" s="2855" t="s">
        <v>2603</v>
      </c>
      <c r="B67" s="2823">
        <v>0.5</v>
      </c>
      <c r="C67" s="2823">
        <v>0.2</v>
      </c>
      <c r="D67" s="2823">
        <v>0.2</v>
      </c>
      <c r="E67" s="2823">
        <v>0.2</v>
      </c>
      <c r="F67" s="2823">
        <v>0.2</v>
      </c>
      <c r="G67" s="2823">
        <v>0.1</v>
      </c>
    </row>
    <row r="68" spans="1:7" ht="19.5" customHeight="1">
      <c r="A68" s="2855" t="s">
        <v>2604</v>
      </c>
      <c r="B68" s="2823">
        <v>0.5</v>
      </c>
      <c r="C68" s="2823">
        <v>0.2</v>
      </c>
      <c r="D68" s="2823">
        <v>0.2</v>
      </c>
      <c r="E68" s="2823">
        <v>0.2</v>
      </c>
      <c r="F68" s="2823">
        <v>0.2</v>
      </c>
      <c r="G68" s="2823">
        <v>0.1</v>
      </c>
    </row>
    <row r="70" spans="1:7" ht="19.5" customHeight="1">
      <c r="A70" s="2837"/>
      <c r="B70" s="2856"/>
      <c r="C70" s="2856"/>
      <c r="D70" s="2856" t="s">
        <v>2641</v>
      </c>
      <c r="E70" s="2856"/>
      <c r="F70" s="2856"/>
    </row>
    <row r="71" spans="1:7" ht="19.5" customHeight="1">
      <c r="A71" s="2849" t="s">
        <v>2642</v>
      </c>
      <c r="B71" s="2849" t="s">
        <v>2643</v>
      </c>
      <c r="C71" s="2849" t="s">
        <v>2644</v>
      </c>
      <c r="D71" s="2849" t="s">
        <v>2645</v>
      </c>
      <c r="E71" s="2849" t="s">
        <v>2646</v>
      </c>
      <c r="F71" s="2849" t="s">
        <v>2647</v>
      </c>
    </row>
    <row r="72" spans="1:7" ht="14.4">
      <c r="A72" s="2849"/>
      <c r="B72" s="2849"/>
      <c r="C72" s="2849" t="s">
        <v>2648</v>
      </c>
      <c r="D72" s="2849"/>
      <c r="E72" s="2849" t="s">
        <v>2619</v>
      </c>
      <c r="F72" s="2849" t="s">
        <v>2619</v>
      </c>
    </row>
    <row r="73" spans="1:7" ht="14.4">
      <c r="A73" s="2849">
        <v>1</v>
      </c>
      <c r="B73" s="3624" t="s">
        <v>2649</v>
      </c>
      <c r="C73" s="2823" t="s">
        <v>2650</v>
      </c>
      <c r="D73" s="2823" t="s">
        <v>2651</v>
      </c>
      <c r="E73" s="2849">
        <v>0.2</v>
      </c>
      <c r="F73" s="2849">
        <v>25</v>
      </c>
    </row>
    <row r="74" spans="1:7" ht="24">
      <c r="A74" s="2849">
        <v>2</v>
      </c>
      <c r="B74" s="3626"/>
      <c r="C74" s="2823" t="s">
        <v>2652</v>
      </c>
      <c r="D74" s="2823" t="s">
        <v>2653</v>
      </c>
      <c r="E74" s="2849">
        <v>0.2</v>
      </c>
      <c r="F74" s="2849">
        <v>25</v>
      </c>
    </row>
    <row r="75" spans="1:7" ht="24">
      <c r="A75" s="2849">
        <v>3</v>
      </c>
      <c r="B75" s="3626"/>
      <c r="C75" s="2823" t="s">
        <v>2654</v>
      </c>
      <c r="D75" s="2823" t="s">
        <v>2655</v>
      </c>
      <c r="E75" s="2849">
        <v>0.2</v>
      </c>
      <c r="F75" s="2849">
        <v>25</v>
      </c>
    </row>
    <row r="76" spans="1:7" ht="14.4">
      <c r="A76" s="2849">
        <v>4</v>
      </c>
      <c r="B76" s="3626"/>
      <c r="C76" s="2823" t="s">
        <v>2656</v>
      </c>
      <c r="D76" s="2823" t="s">
        <v>2657</v>
      </c>
      <c r="E76" s="2849">
        <v>0.15</v>
      </c>
      <c r="F76" s="2849">
        <v>20</v>
      </c>
    </row>
    <row r="77" spans="1:7" ht="24">
      <c r="A77" s="2849">
        <v>5</v>
      </c>
      <c r="B77" s="3626"/>
      <c r="C77" s="2823" t="s">
        <v>2658</v>
      </c>
      <c r="D77" s="2823" t="s">
        <v>2659</v>
      </c>
      <c r="E77" s="2849">
        <v>0.15</v>
      </c>
      <c r="F77" s="2849">
        <v>20</v>
      </c>
    </row>
    <row r="78" spans="1:7" ht="24">
      <c r="A78" s="2849">
        <v>6</v>
      </c>
      <c r="B78" s="3626"/>
      <c r="C78" s="2823" t="s">
        <v>2660</v>
      </c>
      <c r="D78" s="2823" t="s">
        <v>2661</v>
      </c>
      <c r="E78" s="2849">
        <v>0.15</v>
      </c>
      <c r="F78" s="2849">
        <v>20</v>
      </c>
    </row>
    <row r="79" spans="1:7" ht="24">
      <c r="A79" s="2849">
        <v>7</v>
      </c>
      <c r="B79" s="3626"/>
      <c r="C79" s="2823" t="s">
        <v>2662</v>
      </c>
      <c r="D79" s="2823" t="s">
        <v>2663</v>
      </c>
      <c r="E79" s="2849">
        <v>0.15</v>
      </c>
      <c r="F79" s="2849">
        <v>20</v>
      </c>
    </row>
    <row r="80" spans="1:7" ht="24">
      <c r="A80" s="2849">
        <v>8</v>
      </c>
      <c r="B80" s="3626"/>
      <c r="C80" s="2823" t="s">
        <v>2664</v>
      </c>
      <c r="D80" s="2823" t="s">
        <v>2665</v>
      </c>
      <c r="E80" s="2849">
        <v>0.1</v>
      </c>
      <c r="F80" s="2849">
        <v>15</v>
      </c>
    </row>
    <row r="81" spans="1:6" ht="24">
      <c r="A81" s="2849">
        <v>9</v>
      </c>
      <c r="B81" s="3626"/>
      <c r="C81" s="2823" t="s">
        <v>2666</v>
      </c>
      <c r="D81" s="2823" t="s">
        <v>2667</v>
      </c>
      <c r="E81" s="2849">
        <v>0.1</v>
      </c>
      <c r="F81" s="2849">
        <v>15</v>
      </c>
    </row>
    <row r="82" spans="1:6" ht="24">
      <c r="A82" s="2849">
        <v>10</v>
      </c>
      <c r="B82" s="3626"/>
      <c r="C82" s="2823" t="s">
        <v>2668</v>
      </c>
      <c r="D82" s="2823" t="s">
        <v>2669</v>
      </c>
      <c r="E82" s="2849">
        <v>0.1</v>
      </c>
      <c r="F82" s="2849">
        <v>15</v>
      </c>
    </row>
    <row r="83" spans="1:6" ht="24">
      <c r="A83" s="2849">
        <v>11</v>
      </c>
      <c r="B83" s="3626"/>
      <c r="C83" s="2823" t="s">
        <v>2670</v>
      </c>
      <c r="D83" s="2823" t="s">
        <v>2671</v>
      </c>
      <c r="E83" s="2849">
        <v>0.1</v>
      </c>
      <c r="F83" s="2849">
        <v>15</v>
      </c>
    </row>
    <row r="84" spans="1:6" ht="24">
      <c r="A84" s="2849">
        <v>12</v>
      </c>
      <c r="B84" s="3626"/>
      <c r="C84" s="2823" t="s">
        <v>2672</v>
      </c>
      <c r="D84" s="2823" t="s">
        <v>2673</v>
      </c>
      <c r="E84" s="2849">
        <v>0.1</v>
      </c>
      <c r="F84" s="2849">
        <v>15</v>
      </c>
    </row>
    <row r="85" spans="1:6" ht="24">
      <c r="A85" s="2849">
        <v>13</v>
      </c>
      <c r="B85" s="3626"/>
      <c r="C85" s="2823" t="s">
        <v>2674</v>
      </c>
      <c r="D85" s="2823" t="s">
        <v>2675</v>
      </c>
      <c r="E85" s="2849">
        <v>0.1</v>
      </c>
      <c r="F85" s="2849">
        <v>15</v>
      </c>
    </row>
    <row r="86" spans="1:6" ht="24">
      <c r="A86" s="2849">
        <v>14</v>
      </c>
      <c r="B86" s="3626"/>
      <c r="C86" s="2823" t="s">
        <v>2676</v>
      </c>
      <c r="D86" s="2823" t="s">
        <v>2677</v>
      </c>
      <c r="E86" s="2849">
        <v>0.1</v>
      </c>
      <c r="F86" s="2849">
        <v>15</v>
      </c>
    </row>
    <row r="87" spans="1:6" ht="24">
      <c r="A87" s="2849">
        <v>15</v>
      </c>
      <c r="B87" s="3626"/>
      <c r="C87" s="2823" t="s">
        <v>2678</v>
      </c>
      <c r="D87" s="2823" t="s">
        <v>2679</v>
      </c>
      <c r="E87" s="2849">
        <v>0.1</v>
      </c>
      <c r="F87" s="2849">
        <v>15</v>
      </c>
    </row>
    <row r="88" spans="1:6" ht="24">
      <c r="A88" s="2849">
        <v>16</v>
      </c>
      <c r="B88" s="3626"/>
      <c r="C88" s="2823" t="s">
        <v>2680</v>
      </c>
      <c r="D88" s="2823" t="s">
        <v>2681</v>
      </c>
      <c r="E88" s="2849">
        <v>0.1</v>
      </c>
      <c r="F88" s="2849">
        <v>15</v>
      </c>
    </row>
    <row r="89" spans="1:6" ht="24">
      <c r="A89" s="2849">
        <v>17</v>
      </c>
      <c r="B89" s="3625"/>
      <c r="C89" s="2823" t="s">
        <v>2682</v>
      </c>
      <c r="D89" s="2823" t="s">
        <v>2683</v>
      </c>
      <c r="E89" s="2849">
        <v>0.1</v>
      </c>
      <c r="F89" s="2849">
        <v>15</v>
      </c>
    </row>
    <row r="90" spans="1:6" ht="14.4">
      <c r="A90" s="2849">
        <v>18</v>
      </c>
      <c r="B90" s="3624" t="s">
        <v>2684</v>
      </c>
      <c r="C90" s="2823" t="s">
        <v>2685</v>
      </c>
      <c r="D90" s="2823" t="s">
        <v>2686</v>
      </c>
      <c r="E90" s="2849">
        <v>0.2</v>
      </c>
      <c r="F90" s="2849">
        <v>25</v>
      </c>
    </row>
    <row r="91" spans="1:6" ht="24">
      <c r="A91" s="2849">
        <v>19</v>
      </c>
      <c r="B91" s="3626"/>
      <c r="C91" s="2823" t="s">
        <v>2687</v>
      </c>
      <c r="D91" s="2823" t="s">
        <v>2688</v>
      </c>
      <c r="E91" s="2849">
        <v>0.2</v>
      </c>
      <c r="F91" s="2849">
        <v>25</v>
      </c>
    </row>
    <row r="92" spans="1:6" ht="14.4">
      <c r="A92" s="2849">
        <v>20</v>
      </c>
      <c r="B92" s="3626"/>
      <c r="C92" s="2823" t="s">
        <v>2689</v>
      </c>
      <c r="D92" s="2823" t="s">
        <v>2690</v>
      </c>
      <c r="E92" s="2849">
        <v>0.15</v>
      </c>
      <c r="F92" s="2849">
        <v>20</v>
      </c>
    </row>
    <row r="93" spans="1:6" ht="24">
      <c r="A93" s="2849">
        <v>21</v>
      </c>
      <c r="B93" s="3626"/>
      <c r="C93" s="2823" t="s">
        <v>2691</v>
      </c>
      <c r="D93" s="2823" t="s">
        <v>2692</v>
      </c>
      <c r="E93" s="2849">
        <v>0.15</v>
      </c>
      <c r="F93" s="2849">
        <v>20</v>
      </c>
    </row>
    <row r="94" spans="1:6" ht="24">
      <c r="A94" s="2849">
        <v>22</v>
      </c>
      <c r="B94" s="3626"/>
      <c r="C94" s="2823" t="s">
        <v>2693</v>
      </c>
      <c r="D94" s="2823" t="s">
        <v>2694</v>
      </c>
      <c r="E94" s="2849">
        <v>0.15</v>
      </c>
      <c r="F94" s="2849">
        <v>20</v>
      </c>
    </row>
    <row r="95" spans="1:6" ht="36">
      <c r="A95" s="2849">
        <v>23</v>
      </c>
      <c r="B95" s="3626"/>
      <c r="C95" s="2823" t="s">
        <v>2695</v>
      </c>
      <c r="D95" s="2823" t="s">
        <v>2696</v>
      </c>
      <c r="E95" s="2849">
        <v>0.15</v>
      </c>
      <c r="F95" s="2849">
        <v>20</v>
      </c>
    </row>
    <row r="96" spans="1:6" ht="24">
      <c r="A96" s="2849">
        <v>24</v>
      </c>
      <c r="B96" s="3626"/>
      <c r="C96" s="2823" t="s">
        <v>2697</v>
      </c>
      <c r="D96" s="2823" t="s">
        <v>2698</v>
      </c>
      <c r="E96" s="2849">
        <v>0.1</v>
      </c>
      <c r="F96" s="2849">
        <v>15</v>
      </c>
    </row>
    <row r="97" spans="1:6" ht="24">
      <c r="A97" s="2849">
        <v>25</v>
      </c>
      <c r="B97" s="3626"/>
      <c r="C97" s="2823" t="s">
        <v>2699</v>
      </c>
      <c r="D97" s="2823" t="s">
        <v>2700</v>
      </c>
      <c r="E97" s="2849">
        <v>0.1</v>
      </c>
      <c r="F97" s="2849">
        <v>15</v>
      </c>
    </row>
    <row r="98" spans="1:6" ht="24">
      <c r="A98" s="2849">
        <v>26</v>
      </c>
      <c r="B98" s="3626"/>
      <c r="C98" s="2823" t="s">
        <v>2701</v>
      </c>
      <c r="D98" s="2823" t="s">
        <v>2702</v>
      </c>
      <c r="E98" s="2849">
        <v>0.1</v>
      </c>
      <c r="F98" s="2849">
        <v>15</v>
      </c>
    </row>
    <row r="99" spans="1:6" ht="24">
      <c r="A99" s="2849">
        <v>27</v>
      </c>
      <c r="B99" s="3626"/>
      <c r="C99" s="2823" t="s">
        <v>2703</v>
      </c>
      <c r="D99" s="2823" t="s">
        <v>2704</v>
      </c>
      <c r="E99" s="2849">
        <v>0.1</v>
      </c>
      <c r="F99" s="2849">
        <v>15</v>
      </c>
    </row>
    <row r="100" spans="1:6" ht="24">
      <c r="A100" s="2849">
        <v>28</v>
      </c>
      <c r="B100" s="3626"/>
      <c r="C100" s="2823" t="s">
        <v>2705</v>
      </c>
      <c r="D100" s="2823" t="s">
        <v>2706</v>
      </c>
      <c r="E100" s="2849">
        <v>0.1</v>
      </c>
      <c r="F100" s="2849">
        <v>15</v>
      </c>
    </row>
    <row r="101" spans="1:6" ht="24">
      <c r="A101" s="2849">
        <v>29</v>
      </c>
      <c r="B101" s="3626"/>
      <c r="C101" s="2823" t="s">
        <v>2707</v>
      </c>
      <c r="D101" s="2823" t="s">
        <v>2708</v>
      </c>
      <c r="E101" s="2849">
        <v>0.1</v>
      </c>
      <c r="F101" s="2849">
        <v>15</v>
      </c>
    </row>
    <row r="102" spans="1:6" ht="24">
      <c r="A102" s="2849">
        <v>30</v>
      </c>
      <c r="B102" s="3626"/>
      <c r="C102" s="2823" t="s">
        <v>2709</v>
      </c>
      <c r="D102" s="2823" t="s">
        <v>2710</v>
      </c>
      <c r="E102" s="2849">
        <v>0.1</v>
      </c>
      <c r="F102" s="2849">
        <v>15</v>
      </c>
    </row>
    <row r="103" spans="1:6" ht="24">
      <c r="A103" s="2849">
        <v>31</v>
      </c>
      <c r="B103" s="3626"/>
      <c r="C103" s="2823" t="s">
        <v>2711</v>
      </c>
      <c r="D103" s="2823" t="s">
        <v>2712</v>
      </c>
      <c r="E103" s="2849">
        <v>0.1</v>
      </c>
      <c r="F103" s="2849">
        <v>15</v>
      </c>
    </row>
    <row r="104" spans="1:6" ht="24">
      <c r="A104" s="2849">
        <v>32</v>
      </c>
      <c r="B104" s="3626"/>
      <c r="C104" s="2823" t="s">
        <v>2713</v>
      </c>
      <c r="D104" s="2823" t="s">
        <v>2714</v>
      </c>
      <c r="E104" s="2849">
        <v>0.1</v>
      </c>
      <c r="F104" s="2849">
        <v>15</v>
      </c>
    </row>
    <row r="105" spans="1:6" ht="24">
      <c r="A105" s="2849">
        <v>33</v>
      </c>
      <c r="B105" s="3626"/>
      <c r="C105" s="2823" t="s">
        <v>2715</v>
      </c>
      <c r="D105" s="2823" t="s">
        <v>2716</v>
      </c>
      <c r="E105" s="2849">
        <v>0.1</v>
      </c>
      <c r="F105" s="2849">
        <v>15</v>
      </c>
    </row>
    <row r="106" spans="1:6" ht="24">
      <c r="A106" s="2849">
        <v>34</v>
      </c>
      <c r="B106" s="3625"/>
      <c r="C106" s="2823" t="s">
        <v>2717</v>
      </c>
      <c r="D106" s="2823" t="s">
        <v>2718</v>
      </c>
      <c r="E106" s="2849">
        <v>0.1</v>
      </c>
      <c r="F106" s="2849">
        <v>15</v>
      </c>
    </row>
    <row r="107" spans="1:6" ht="36">
      <c r="A107" s="2849">
        <v>35</v>
      </c>
      <c r="B107" s="3624" t="s">
        <v>2719</v>
      </c>
      <c r="C107" s="2849" t="s">
        <v>2720</v>
      </c>
      <c r="D107" s="2823" t="s">
        <v>2721</v>
      </c>
      <c r="E107" s="2849">
        <v>0.15</v>
      </c>
      <c r="F107" s="2849">
        <v>20</v>
      </c>
    </row>
    <row r="108" spans="1:6" ht="24">
      <c r="A108" s="2849">
        <v>36</v>
      </c>
      <c r="B108" s="3626"/>
      <c r="C108" s="2849" t="s">
        <v>2722</v>
      </c>
      <c r="D108" s="2823" t="s">
        <v>2723</v>
      </c>
      <c r="E108" s="2849">
        <v>0.15</v>
      </c>
      <c r="F108" s="2849">
        <v>20</v>
      </c>
    </row>
    <row r="109" spans="1:6" ht="24">
      <c r="A109" s="2849">
        <v>37</v>
      </c>
      <c r="B109" s="3626"/>
      <c r="C109" s="2849" t="s">
        <v>2724</v>
      </c>
      <c r="D109" s="2823" t="s">
        <v>2725</v>
      </c>
      <c r="E109" s="2849">
        <v>0.15</v>
      </c>
      <c r="F109" s="2849">
        <v>20</v>
      </c>
    </row>
    <row r="110" spans="1:6" ht="24">
      <c r="A110" s="2849">
        <v>38</v>
      </c>
      <c r="B110" s="3626"/>
      <c r="C110" s="2849" t="s">
        <v>2726</v>
      </c>
      <c r="D110" s="2823" t="s">
        <v>2727</v>
      </c>
      <c r="E110" s="2849">
        <v>0.1</v>
      </c>
      <c r="F110" s="2849">
        <v>15</v>
      </c>
    </row>
    <row r="111" spans="1:6" ht="24">
      <c r="A111" s="2849">
        <v>39</v>
      </c>
      <c r="B111" s="3626"/>
      <c r="C111" s="2849" t="s">
        <v>2728</v>
      </c>
      <c r="D111" s="2823" t="s">
        <v>2729</v>
      </c>
      <c r="E111" s="2849">
        <v>0.1</v>
      </c>
      <c r="F111" s="2849">
        <v>15</v>
      </c>
    </row>
    <row r="112" spans="1:6" ht="24">
      <c r="A112" s="2849">
        <v>40</v>
      </c>
      <c r="B112" s="3625"/>
      <c r="C112" s="2849" t="s">
        <v>2730</v>
      </c>
      <c r="D112" s="2823" t="s">
        <v>2731</v>
      </c>
      <c r="E112" s="2849">
        <v>0.1</v>
      </c>
      <c r="F112" s="2849">
        <v>15</v>
      </c>
    </row>
    <row r="113" spans="1:6" ht="24">
      <c r="A113" s="2849">
        <v>41</v>
      </c>
      <c r="B113" s="3623" t="s">
        <v>2732</v>
      </c>
      <c r="C113" s="2849" t="s">
        <v>2733</v>
      </c>
      <c r="D113" s="2823" t="s">
        <v>2734</v>
      </c>
      <c r="E113" s="2849">
        <v>0.1</v>
      </c>
      <c r="F113" s="2849">
        <v>15</v>
      </c>
    </row>
    <row r="114" spans="1:6" ht="24">
      <c r="A114" s="2849">
        <v>42</v>
      </c>
      <c r="B114" s="3623"/>
      <c r="C114" s="2849" t="s">
        <v>2735</v>
      </c>
      <c r="D114" s="2823" t="s">
        <v>2736</v>
      </c>
      <c r="E114" s="2849">
        <v>0.1</v>
      </c>
      <c r="F114" s="2849">
        <v>15</v>
      </c>
    </row>
    <row r="115" spans="1:6" ht="24">
      <c r="A115" s="2849">
        <v>43</v>
      </c>
      <c r="B115" s="3623"/>
      <c r="C115" s="2849" t="s">
        <v>2737</v>
      </c>
      <c r="D115" s="2823" t="s">
        <v>2738</v>
      </c>
      <c r="E115" s="2849">
        <v>0.1</v>
      </c>
      <c r="F115" s="2849">
        <v>15</v>
      </c>
    </row>
    <row r="116" spans="1:6" ht="24">
      <c r="A116" s="2849">
        <v>44</v>
      </c>
      <c r="B116" s="3624" t="s">
        <v>2739</v>
      </c>
      <c r="C116" s="2849" t="s">
        <v>2740</v>
      </c>
      <c r="D116" s="2823" t="s">
        <v>2741</v>
      </c>
      <c r="E116" s="2849">
        <v>0.1</v>
      </c>
      <c r="F116" s="2849">
        <v>15</v>
      </c>
    </row>
    <row r="117" spans="1:6" ht="24">
      <c r="A117" s="2849">
        <v>45</v>
      </c>
      <c r="B117" s="3625"/>
      <c r="C117" s="2823" t="s">
        <v>2742</v>
      </c>
      <c r="D117" s="2823" t="s">
        <v>2743</v>
      </c>
      <c r="E117" s="2849">
        <v>0.1</v>
      </c>
      <c r="F117" s="2849">
        <v>15</v>
      </c>
    </row>
    <row r="118" spans="1:6" ht="24">
      <c r="A118" s="2849">
        <v>46</v>
      </c>
      <c r="B118" s="3624" t="s">
        <v>2744</v>
      </c>
      <c r="C118" s="2849" t="s">
        <v>2745</v>
      </c>
      <c r="D118" s="2823" t="s">
        <v>2746</v>
      </c>
      <c r="E118" s="2849">
        <v>0.1</v>
      </c>
      <c r="F118" s="2849">
        <v>15</v>
      </c>
    </row>
    <row r="119" spans="1:6" ht="24">
      <c r="A119" s="2849">
        <v>47</v>
      </c>
      <c r="B119" s="3625"/>
      <c r="C119" s="2849" t="s">
        <v>2747</v>
      </c>
      <c r="D119" s="2823" t="s">
        <v>2748</v>
      </c>
      <c r="E119" s="2849">
        <v>0.1</v>
      </c>
      <c r="F119" s="2849">
        <v>15</v>
      </c>
    </row>
    <row r="120" spans="1:6" ht="24">
      <c r="A120" s="2849">
        <v>48</v>
      </c>
      <c r="B120" s="3624" t="s">
        <v>2749</v>
      </c>
      <c r="C120" s="2849" t="s">
        <v>2750</v>
      </c>
      <c r="D120" s="2823" t="s">
        <v>2751</v>
      </c>
      <c r="E120" s="2849">
        <v>0.1</v>
      </c>
      <c r="F120" s="2849">
        <v>15</v>
      </c>
    </row>
    <row r="121" spans="1:6" ht="24">
      <c r="A121" s="2849">
        <v>49</v>
      </c>
      <c r="B121" s="3625"/>
      <c r="C121" s="2849" t="s">
        <v>2752</v>
      </c>
      <c r="D121" s="2823" t="s">
        <v>2753</v>
      </c>
      <c r="E121" s="2849">
        <v>0.1</v>
      </c>
      <c r="F121" s="2849">
        <v>15</v>
      </c>
    </row>
    <row r="122" spans="1:6" ht="24">
      <c r="A122" s="2849">
        <v>50</v>
      </c>
      <c r="B122" s="3623" t="s">
        <v>2754</v>
      </c>
      <c r="C122" s="2849" t="s">
        <v>2755</v>
      </c>
      <c r="D122" s="2823" t="s">
        <v>2756</v>
      </c>
      <c r="E122" s="2849">
        <v>0.1</v>
      </c>
      <c r="F122" s="2849">
        <v>15</v>
      </c>
    </row>
    <row r="123" spans="1:6" ht="24">
      <c r="A123" s="2849">
        <v>51</v>
      </c>
      <c r="B123" s="3623"/>
      <c r="C123" s="2849" t="s">
        <v>2757</v>
      </c>
      <c r="D123" s="2823" t="s">
        <v>2758</v>
      </c>
      <c r="E123" s="2849">
        <v>0.1</v>
      </c>
      <c r="F123" s="2849">
        <v>15</v>
      </c>
    </row>
    <row r="124" spans="1:6" ht="24">
      <c r="A124" s="2849">
        <v>52</v>
      </c>
      <c r="B124" s="3623" t="s">
        <v>2759</v>
      </c>
      <c r="C124" s="2849" t="s">
        <v>2760</v>
      </c>
      <c r="D124" s="2823" t="s">
        <v>2761</v>
      </c>
      <c r="E124" s="2849">
        <v>0.1</v>
      </c>
      <c r="F124" s="2849">
        <v>15</v>
      </c>
    </row>
    <row r="125" spans="1:6" ht="24">
      <c r="A125" s="2849">
        <v>53</v>
      </c>
      <c r="B125" s="3623"/>
      <c r="C125" s="2849" t="s">
        <v>2762</v>
      </c>
      <c r="D125" s="2823" t="s">
        <v>2763</v>
      </c>
      <c r="E125" s="2849">
        <v>0.1</v>
      </c>
      <c r="F125" s="2849">
        <v>15</v>
      </c>
    </row>
    <row r="126" spans="1:6" ht="24">
      <c r="A126" s="2849">
        <v>54</v>
      </c>
      <c r="B126" s="2849" t="s">
        <v>2764</v>
      </c>
      <c r="C126" s="2849" t="s">
        <v>2765</v>
      </c>
      <c r="D126" s="2823" t="s">
        <v>2766</v>
      </c>
      <c r="E126" s="2849">
        <v>0.1</v>
      </c>
      <c r="F126" s="2849">
        <v>15</v>
      </c>
    </row>
    <row r="127" spans="1:6" ht="24">
      <c r="A127" s="2849">
        <v>55</v>
      </c>
      <c r="B127" s="3623" t="s">
        <v>2767</v>
      </c>
      <c r="C127" s="2849" t="s">
        <v>2768</v>
      </c>
      <c r="D127" s="2823" t="s">
        <v>2769</v>
      </c>
      <c r="E127" s="2849">
        <v>0.1</v>
      </c>
      <c r="F127" s="2849">
        <v>15</v>
      </c>
    </row>
    <row r="128" spans="1:6" ht="24">
      <c r="A128" s="2849">
        <v>56</v>
      </c>
      <c r="B128" s="3623"/>
      <c r="C128" s="2849" t="s">
        <v>2770</v>
      </c>
      <c r="D128" s="2823" t="s">
        <v>2771</v>
      </c>
      <c r="E128" s="2849">
        <v>0.1</v>
      </c>
      <c r="F128" s="2849">
        <v>15</v>
      </c>
    </row>
    <row r="129" spans="1:6" ht="24">
      <c r="A129" s="2849">
        <v>57</v>
      </c>
      <c r="B129" s="3623"/>
      <c r="C129" s="2849" t="s">
        <v>2772</v>
      </c>
      <c r="D129" s="2823" t="s">
        <v>2773</v>
      </c>
      <c r="E129" s="2849">
        <v>0.1</v>
      </c>
      <c r="F129" s="2849">
        <v>15</v>
      </c>
    </row>
    <row r="130" spans="1:6" ht="24">
      <c r="A130" s="2849">
        <v>58</v>
      </c>
      <c r="B130" s="3623" t="s">
        <v>2774</v>
      </c>
      <c r="C130" s="2849" t="s">
        <v>2775</v>
      </c>
      <c r="D130" s="2823" t="s">
        <v>2776</v>
      </c>
      <c r="E130" s="2849">
        <v>0.1</v>
      </c>
      <c r="F130" s="2849">
        <v>15</v>
      </c>
    </row>
    <row r="131" spans="1:6" ht="24">
      <c r="A131" s="2849">
        <v>59</v>
      </c>
      <c r="B131" s="3623"/>
      <c r="C131" s="2849" t="s">
        <v>2777</v>
      </c>
      <c r="D131" s="2823" t="s">
        <v>2778</v>
      </c>
      <c r="E131" s="2849">
        <v>0.1</v>
      </c>
      <c r="F131" s="2849">
        <v>15</v>
      </c>
    </row>
    <row r="132" spans="1:6" ht="24">
      <c r="A132" s="2849">
        <v>60</v>
      </c>
      <c r="B132" s="3624" t="s">
        <v>2779</v>
      </c>
      <c r="C132" s="2849" t="s">
        <v>2780</v>
      </c>
      <c r="D132" s="2823" t="s">
        <v>2781</v>
      </c>
      <c r="E132" s="2849">
        <v>0.1</v>
      </c>
      <c r="F132" s="2849">
        <v>15</v>
      </c>
    </row>
    <row r="133" spans="1:6" ht="24">
      <c r="A133" s="2849">
        <v>61</v>
      </c>
      <c r="B133" s="3625"/>
      <c r="C133" s="2849" t="s">
        <v>2782</v>
      </c>
      <c r="D133" s="2823" t="s">
        <v>2783</v>
      </c>
      <c r="E133" s="2849">
        <v>0.1</v>
      </c>
      <c r="F133" s="2849">
        <v>15</v>
      </c>
    </row>
    <row r="134" spans="1:6" ht="24">
      <c r="A134" s="2849">
        <v>62</v>
      </c>
      <c r="B134" s="2849" t="s">
        <v>2784</v>
      </c>
      <c r="C134" s="2849" t="s">
        <v>2785</v>
      </c>
      <c r="D134" s="2823" t="s">
        <v>2786</v>
      </c>
      <c r="E134" s="2849">
        <v>0.1</v>
      </c>
      <c r="F134" s="2849">
        <v>15</v>
      </c>
    </row>
    <row r="135" spans="1:6" ht="24">
      <c r="A135" s="2849">
        <v>63</v>
      </c>
      <c r="B135" s="3623" t="s">
        <v>2787</v>
      </c>
      <c r="C135" s="2849" t="s">
        <v>2788</v>
      </c>
      <c r="D135" s="2823" t="s">
        <v>2789</v>
      </c>
      <c r="E135" s="2849">
        <v>0.1</v>
      </c>
      <c r="F135" s="2849">
        <v>15</v>
      </c>
    </row>
    <row r="136" spans="1:6" ht="24">
      <c r="A136" s="2849">
        <v>64</v>
      </c>
      <c r="B136" s="3623"/>
      <c r="C136" s="2849" t="s">
        <v>2790</v>
      </c>
      <c r="D136" s="2823" t="s">
        <v>2791</v>
      </c>
      <c r="E136" s="2849">
        <v>0.1</v>
      </c>
      <c r="F136" s="2849">
        <v>15</v>
      </c>
    </row>
    <row r="137" spans="1:6" ht="24">
      <c r="A137" s="2849">
        <v>65</v>
      </c>
      <c r="B137" s="2849" t="s">
        <v>2792</v>
      </c>
      <c r="C137" s="2849" t="s">
        <v>2793</v>
      </c>
      <c r="D137" s="2823" t="s">
        <v>2794</v>
      </c>
      <c r="E137" s="2849">
        <v>0.1</v>
      </c>
      <c r="F137" s="2849">
        <v>15</v>
      </c>
    </row>
    <row r="138" spans="1:6" ht="14.4">
      <c r="A138" s="2849"/>
      <c r="B138" s="2849"/>
      <c r="C138" s="2849"/>
      <c r="D138" s="2849"/>
      <c r="E138" s="2849" t="s">
        <v>2795</v>
      </c>
      <c r="F138" s="2849"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4.4"/>
  <cols>
    <col min="1" max="13" width="9" style="2871"/>
  </cols>
  <sheetData>
    <row r="1" spans="1:20" ht="16.2" thickBot="1">
      <c r="A1" s="2857" t="s">
        <v>2796</v>
      </c>
      <c r="B1" s="2857"/>
      <c r="C1" s="2857"/>
      <c r="D1" s="2857"/>
      <c r="E1" s="2857"/>
      <c r="F1" s="2857"/>
      <c r="G1" s="2857"/>
      <c r="H1" s="2857"/>
      <c r="I1" s="2857"/>
      <c r="J1" s="2857"/>
      <c r="K1" s="2857"/>
      <c r="L1" s="2857"/>
      <c r="M1" s="2857"/>
      <c r="N1" s="704"/>
    </row>
    <row r="2" spans="1:20">
      <c r="A2" s="2858" t="s">
        <v>2797</v>
      </c>
      <c r="B2" s="2859" t="s">
        <v>2593</v>
      </c>
      <c r="C2" s="2859" t="s">
        <v>2594</v>
      </c>
      <c r="D2" s="2859" t="s">
        <v>2595</v>
      </c>
      <c r="E2" s="2859" t="s">
        <v>2596</v>
      </c>
      <c r="F2" s="2859" t="s">
        <v>2597</v>
      </c>
      <c r="G2" s="2859" t="s">
        <v>2598</v>
      </c>
      <c r="H2" s="2860" t="s">
        <v>2599</v>
      </c>
      <c r="I2" s="2860" t="s">
        <v>2600</v>
      </c>
      <c r="J2" s="2861" t="s">
        <v>2601</v>
      </c>
      <c r="K2" s="2861" t="s">
        <v>2602</v>
      </c>
      <c r="L2" s="2861" t="s">
        <v>2603</v>
      </c>
      <c r="M2" s="2862" t="s">
        <v>2604</v>
      </c>
      <c r="Q2" s="2872" t="s">
        <v>2802</v>
      </c>
      <c r="R2" s="2872" t="s">
        <v>2803</v>
      </c>
      <c r="S2" s="2872" t="s">
        <v>2804</v>
      </c>
      <c r="T2" s="2872" t="s">
        <v>2805</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6.2" thickBot="1">
      <c r="A93" s="2857" t="s">
        <v>2798</v>
      </c>
      <c r="B93" s="2857"/>
      <c r="C93" s="2857"/>
      <c r="D93" s="2857"/>
      <c r="E93" s="2857"/>
      <c r="F93" s="2857"/>
      <c r="G93" s="2857"/>
      <c r="H93" s="2857"/>
      <c r="I93" s="2857"/>
      <c r="J93" s="2857"/>
      <c r="K93" s="2857"/>
      <c r="L93" s="2857"/>
      <c r="M93" s="2857"/>
    </row>
    <row r="94" spans="1:20">
      <c r="A94" s="2858" t="s">
        <v>2797</v>
      </c>
      <c r="B94" s="2859" t="s">
        <v>2593</v>
      </c>
      <c r="C94" s="2859" t="s">
        <v>2594</v>
      </c>
      <c r="D94" s="2859" t="s">
        <v>2595</v>
      </c>
      <c r="E94" s="2859" t="s">
        <v>2596</v>
      </c>
      <c r="F94" s="2859" t="s">
        <v>2597</v>
      </c>
      <c r="G94" s="2859" t="s">
        <v>2598</v>
      </c>
      <c r="H94" s="2860" t="s">
        <v>2599</v>
      </c>
      <c r="I94" s="2860" t="s">
        <v>2600</v>
      </c>
      <c r="J94" s="2861" t="s">
        <v>2601</v>
      </c>
      <c r="K94" s="2861" t="s">
        <v>2602</v>
      </c>
      <c r="L94" s="2861" t="s">
        <v>2603</v>
      </c>
      <c r="M94" s="2862" t="s">
        <v>2604</v>
      </c>
      <c r="N94">
        <f>SUMPRODUCT((A95:A184=ROUNDDOWN(基准地价修正商业!G3,1))*(B94:M94=基准地价修正商业!G2)*(B95:M184))</f>
        <v>0.9264</v>
      </c>
      <c r="Q94" s="2872" t="s">
        <v>2802</v>
      </c>
      <c r="R94" s="2872" t="s">
        <v>2803</v>
      </c>
      <c r="S94" s="2872" t="s">
        <v>2804</v>
      </c>
      <c r="T94" s="2872" t="s">
        <v>2805</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5.6">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5.6">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6.2" thickBot="1">
      <c r="A185" s="2857" t="s">
        <v>2799</v>
      </c>
      <c r="B185" s="2857"/>
      <c r="C185" s="2857"/>
      <c r="D185" s="2857"/>
      <c r="E185" s="2857"/>
      <c r="F185" s="2857"/>
      <c r="G185" s="2857"/>
      <c r="H185" s="2857"/>
      <c r="I185" s="2857"/>
      <c r="J185" s="2857"/>
      <c r="K185" s="2857"/>
      <c r="L185" s="2857"/>
      <c r="M185" s="2857"/>
    </row>
    <row r="186" spans="1:20">
      <c r="A186" s="2858" t="s">
        <v>2797</v>
      </c>
      <c r="B186" s="2859" t="s">
        <v>2593</v>
      </c>
      <c r="C186" s="2859" t="s">
        <v>2594</v>
      </c>
      <c r="D186" s="2859" t="s">
        <v>2595</v>
      </c>
      <c r="E186" s="2859" t="s">
        <v>2596</v>
      </c>
      <c r="F186" s="2859" t="s">
        <v>2597</v>
      </c>
      <c r="G186" s="2859" t="s">
        <v>2598</v>
      </c>
      <c r="H186" s="2860" t="s">
        <v>2599</v>
      </c>
      <c r="I186" s="2860" t="s">
        <v>2600</v>
      </c>
      <c r="J186" s="2861" t="s">
        <v>2601</v>
      </c>
      <c r="K186" s="2861" t="s">
        <v>2602</v>
      </c>
      <c r="L186" s="2861" t="s">
        <v>2603</v>
      </c>
      <c r="M186" s="2862" t="s">
        <v>2604</v>
      </c>
      <c r="Q186" s="2872" t="s">
        <v>2802</v>
      </c>
      <c r="R186" s="2872" t="s">
        <v>2803</v>
      </c>
      <c r="S186" s="2872" t="s">
        <v>2804</v>
      </c>
      <c r="T186" s="2872" t="s">
        <v>2805</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6.2" thickBot="1">
      <c r="A277" s="2857" t="s">
        <v>2800</v>
      </c>
      <c r="B277" s="2857"/>
      <c r="C277" s="2857"/>
      <c r="D277" s="2857"/>
      <c r="E277" s="2857"/>
      <c r="F277" s="2857"/>
      <c r="G277" s="2857"/>
      <c r="H277" s="2857"/>
      <c r="I277" s="2857"/>
      <c r="J277" s="2857"/>
      <c r="K277" s="2857"/>
      <c r="L277" s="2857"/>
      <c r="M277" s="2857"/>
    </row>
    <row r="278" spans="1:21">
      <c r="A278" s="2858" t="s">
        <v>2797</v>
      </c>
      <c r="B278" s="2859" t="s">
        <v>2593</v>
      </c>
      <c r="C278" s="2859" t="s">
        <v>2594</v>
      </c>
      <c r="D278" s="2859" t="s">
        <v>2595</v>
      </c>
      <c r="E278" s="2859" t="s">
        <v>2596</v>
      </c>
      <c r="F278" s="2859" t="s">
        <v>2597</v>
      </c>
      <c r="G278" s="2859" t="s">
        <v>2598</v>
      </c>
      <c r="H278" s="2860" t="s">
        <v>2599</v>
      </c>
      <c r="I278" s="2860" t="s">
        <v>2600</v>
      </c>
      <c r="J278" s="2861" t="s">
        <v>2601</v>
      </c>
      <c r="K278" s="2861" t="s">
        <v>2602</v>
      </c>
      <c r="L278" s="2861" t="s">
        <v>2603</v>
      </c>
      <c r="M278" s="2862" t="s">
        <v>2604</v>
      </c>
      <c r="Q278" s="2872" t="s">
        <v>2802</v>
      </c>
      <c r="R278" s="2872" t="s">
        <v>2803</v>
      </c>
      <c r="S278" s="2872" t="s">
        <v>2806</v>
      </c>
      <c r="T278" s="2872" t="s">
        <v>2807</v>
      </c>
      <c r="U278" s="2872" t="s">
        <v>2805</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6.2" thickBot="1">
      <c r="A369" s="2857" t="s">
        <v>2801</v>
      </c>
      <c r="B369" s="2870"/>
      <c r="C369" s="2870"/>
      <c r="D369" s="2870"/>
      <c r="E369" s="2870"/>
      <c r="F369" s="2870"/>
      <c r="G369" s="2870"/>
      <c r="H369" s="2870"/>
      <c r="I369" s="2870"/>
      <c r="J369" s="2870"/>
      <c r="K369" s="2870"/>
      <c r="L369" s="2870"/>
      <c r="M369" s="2870"/>
    </row>
    <row r="370" spans="1:20">
      <c r="A370" s="2858" t="s">
        <v>2797</v>
      </c>
      <c r="B370" s="2859" t="s">
        <v>2593</v>
      </c>
      <c r="C370" s="2859" t="s">
        <v>2594</v>
      </c>
      <c r="D370" s="2859" t="s">
        <v>2595</v>
      </c>
      <c r="E370" s="2859" t="s">
        <v>2596</v>
      </c>
      <c r="F370" s="2859" t="s">
        <v>2597</v>
      </c>
      <c r="G370" s="2859" t="s">
        <v>2598</v>
      </c>
      <c r="H370" s="2860" t="s">
        <v>2599</v>
      </c>
      <c r="I370" s="2860" t="s">
        <v>2600</v>
      </c>
      <c r="J370" s="2861" t="s">
        <v>2601</v>
      </c>
      <c r="K370" s="2861" t="s">
        <v>2602</v>
      </c>
      <c r="L370" s="2861" t="s">
        <v>2603</v>
      </c>
      <c r="M370" s="2862" t="s">
        <v>2604</v>
      </c>
      <c r="N370">
        <f>SUMPRODUCT((A371:A460=ROUNDDOWN(基准地价修正商业!G3,1))*(B370:M370=基准地价修正商业!G2)*(B371:M460))</f>
        <v>0.87739999999999996</v>
      </c>
      <c r="Q370" s="2872" t="s">
        <v>2802</v>
      </c>
      <c r="R370" s="2872" t="s">
        <v>2803</v>
      </c>
      <c r="S370" s="2872" t="s">
        <v>2804</v>
      </c>
      <c r="T370" s="2872" t="s">
        <v>2805</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928</v>
      </c>
      <c r="B2" s="3319" t="s">
        <v>929</v>
      </c>
      <c r="C2" s="3319" t="s">
        <v>930</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6">
      <c r="A3" s="3314"/>
      <c r="B3" s="3314"/>
      <c r="C3" s="3314"/>
      <c r="D3" s="798" t="s">
        <v>925</v>
      </c>
      <c r="E3" s="798" t="s">
        <v>931</v>
      </c>
      <c r="F3" s="798" t="s">
        <v>925</v>
      </c>
      <c r="G3" s="798" t="s">
        <v>926</v>
      </c>
      <c r="H3" s="798" t="s">
        <v>925</v>
      </c>
      <c r="I3" s="798" t="s">
        <v>926</v>
      </c>
    </row>
    <row r="4" spans="1:9" ht="45">
      <c r="A4" s="1399" t="str">
        <f>项目基本情况!S2</f>
        <v>北京市西城区平安里西大街28号楼1层101等[34]套房地产</v>
      </c>
      <c r="B4" s="798">
        <f>项目基本情况!C17</f>
        <v>51206.530000000006</v>
      </c>
      <c r="C4" s="798">
        <f>项目基本情况!C18</f>
        <v>6088.55</v>
      </c>
      <c r="D4" s="798">
        <f>结果表!D118</f>
        <v>0</v>
      </c>
      <c r="E4" s="798">
        <f>结果表!E118</f>
        <v>0</v>
      </c>
      <c r="F4" s="798">
        <f>结果表!F118</f>
        <v>0</v>
      </c>
      <c r="G4" s="798">
        <f>结果表!G118</f>
        <v>0</v>
      </c>
      <c r="H4" s="798">
        <f ca="1">结果表!H118</f>
        <v>330646</v>
      </c>
      <c r="I4" s="798">
        <f ca="1">结果表!I118</f>
        <v>64571</v>
      </c>
    </row>
    <row r="5" spans="1:9" ht="30" customHeight="1">
      <c r="A5" s="3314" t="s">
        <v>927</v>
      </c>
      <c r="B5" s="3314"/>
      <c r="C5" s="3314"/>
      <c r="D5" s="3314" t="str">
        <f>结果表!D119</f>
        <v>零元整</v>
      </c>
      <c r="E5" s="3314"/>
      <c r="F5" s="3314" t="str">
        <f>结果表!F119</f>
        <v>零元整</v>
      </c>
      <c r="G5" s="3314"/>
      <c r="H5" s="3314" t="str">
        <f ca="1">结果表!H119</f>
        <v>叁拾叁亿零陆佰肆拾陆万元整</v>
      </c>
      <c r="I5" s="3314"/>
    </row>
    <row r="6" spans="1:9" ht="15.6">
      <c r="A6" s="3313" t="str">
        <f>结果表!A120</f>
        <v>估价师知悉的法定优先受偿款</v>
      </c>
      <c r="B6" s="3313"/>
      <c r="C6" s="3313"/>
      <c r="D6" s="3313">
        <f>结果表!D120</f>
        <v>0</v>
      </c>
      <c r="E6" s="3313"/>
      <c r="F6" s="3313"/>
      <c r="G6" s="3313"/>
      <c r="H6" s="3313"/>
      <c r="I6" s="3313"/>
    </row>
    <row r="7" spans="1:9" ht="15">
      <c r="A7" s="3314" t="s">
        <v>927</v>
      </c>
      <c r="B7" s="3314"/>
      <c r="C7" s="3314"/>
      <c r="D7" s="3315" t="str">
        <f>结果表!D121</f>
        <v>零元整</v>
      </c>
      <c r="E7" s="3316"/>
      <c r="F7" s="3316"/>
      <c r="G7" s="3316"/>
      <c r="H7" s="3316"/>
      <c r="I7" s="3317"/>
    </row>
    <row r="8" spans="1:9" ht="15.6">
      <c r="A8" s="3313" t="str">
        <f>结果表!A122</f>
        <v>房地产抵押价值</v>
      </c>
      <c r="B8" s="3313"/>
      <c r="C8" s="3313"/>
      <c r="D8" s="3313">
        <f ca="1">结果表!D122</f>
        <v>330646</v>
      </c>
      <c r="E8" s="3313"/>
      <c r="F8" s="3313"/>
      <c r="G8" s="3313"/>
      <c r="H8" s="3313"/>
      <c r="I8" s="3313"/>
    </row>
    <row r="9" spans="1:9" ht="15">
      <c r="A9" s="3314" t="s">
        <v>927</v>
      </c>
      <c r="B9" s="3314"/>
      <c r="C9" s="3314"/>
      <c r="D9" s="3314" t="str">
        <f ca="1">结果表!D123</f>
        <v>叁拾叁亿零陆佰肆拾陆万元整</v>
      </c>
      <c r="E9" s="3314"/>
      <c r="F9" s="3314"/>
      <c r="G9" s="3314"/>
      <c r="H9" s="3314"/>
      <c r="I9" s="3314"/>
    </row>
    <row r="10" spans="1:9" ht="15.6">
      <c r="A10" s="3313" t="str">
        <f>结果表!A124</f>
        <v/>
      </c>
      <c r="B10" s="3313"/>
      <c r="C10" s="3313"/>
      <c r="D10" s="3313" t="str">
        <f>结果表!D124</f>
        <v>——</v>
      </c>
      <c r="E10" s="3313"/>
      <c r="F10" s="3313"/>
      <c r="G10" s="3313"/>
      <c r="H10" s="3313"/>
      <c r="I10" s="3313"/>
    </row>
    <row r="11" spans="1:9" ht="15">
      <c r="A11" s="3314" t="s">
        <v>927</v>
      </c>
      <c r="B11" s="3314"/>
      <c r="C11" s="3314"/>
      <c r="D11" s="3314" t="e">
        <f>结果表!D125</f>
        <v>#VALUE!</v>
      </c>
      <c r="E11" s="3314"/>
      <c r="F11" s="3314"/>
      <c r="G11" s="3314"/>
      <c r="H11" s="3314"/>
      <c r="I11" s="3314"/>
    </row>
    <row r="12" spans="1:9" ht="15.6">
      <c r="A12" s="3313" t="str">
        <f>结果表!A126</f>
        <v>抵押净值</v>
      </c>
      <c r="B12" s="3313"/>
      <c r="C12" s="3313"/>
      <c r="D12" s="3313">
        <f ca="1">结果表!D126</f>
        <v>125701</v>
      </c>
      <c r="E12" s="3313"/>
      <c r="F12" s="3313"/>
      <c r="G12" s="3313"/>
      <c r="H12" s="3313"/>
      <c r="I12" s="3313"/>
    </row>
    <row r="13" spans="1:9" ht="15.6" thickBot="1">
      <c r="A13" s="3311" t="s">
        <v>927</v>
      </c>
      <c r="B13" s="3311"/>
      <c r="C13" s="3311"/>
      <c r="D13" s="3311" t="str">
        <f ca="1">结果表!D127</f>
        <v>壹拾贰亿伍仟柒佰零壹万元整</v>
      </c>
      <c r="E13" s="3311"/>
      <c r="F13" s="3311"/>
      <c r="G13" s="3311"/>
      <c r="H13" s="3311"/>
      <c r="I13" s="3311"/>
    </row>
    <row r="14" spans="1:9" ht="14.4" thickTop="1">
      <c r="A14" s="3312" t="s">
        <v>932</v>
      </c>
      <c r="B14" s="3312"/>
      <c r="C14" s="3312"/>
      <c r="D14" s="3312"/>
      <c r="E14" s="3312"/>
      <c r="F14" s="3312"/>
      <c r="G14" s="3312"/>
      <c r="H14" s="3312"/>
      <c r="I14" s="3312"/>
    </row>
    <row r="16" spans="1:9" ht="17.399999999999999">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68311</v>
      </c>
      <c r="C2" s="2" t="s">
        <v>106</v>
      </c>
      <c r="D2" s="191"/>
      <c r="E2" s="191"/>
      <c r="F2" s="191"/>
      <c r="G2" s="191"/>
    </row>
    <row r="3" spans="1:7" s="192" customFormat="1" ht="18" customHeight="1" thickBot="1">
      <c r="A3" s="195" t="s">
        <v>58</v>
      </c>
      <c r="B3" s="196">
        <f ca="1">ROUND(B2*10000/'数据-汇总表'!E3,0)</f>
        <v>13340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1024</v>
      </c>
      <c r="D10" s="792">
        <f>'数据-汇总表'!E6</f>
        <v>51206.530000000006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1024</v>
      </c>
      <c r="D19" s="204">
        <f>'数据-汇总表'!E3</f>
        <v>51206.530000000006</v>
      </c>
      <c r="E19" s="203">
        <f>'数据-取费表'!B31</f>
        <v>200</v>
      </c>
      <c r="F19" s="223"/>
      <c r="G19" s="1" t="s">
        <v>436</v>
      </c>
    </row>
    <row r="20" spans="1:7" s="206" customFormat="1" ht="13.5" customHeight="1">
      <c r="A20" s="728" t="s">
        <v>419</v>
      </c>
      <c r="B20" s="202" t="s">
        <v>77</v>
      </c>
      <c r="C20" s="224">
        <f>ROUND((C5+C19)*F20,0)</f>
        <v>433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2095</v>
      </c>
      <c r="D22" s="227">
        <f ca="1">C26</f>
        <v>8.9999999999999998E-4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98</v>
      </c>
      <c r="D24" s="230"/>
      <c r="E24" s="230"/>
      <c r="F24" s="231"/>
      <c r="G24" s="232" t="s">
        <v>82</v>
      </c>
    </row>
    <row r="25" spans="1:7" s="206" customFormat="1" ht="24">
      <c r="A25" s="731" t="s">
        <v>348</v>
      </c>
      <c r="B25" s="207" t="s">
        <v>420</v>
      </c>
      <c r="C25" s="1039">
        <f ca="1">ROUND(IF('数据-取费表'!B22&lt;=1,C20*F22*'数据-取费表'!B23/2,C20*(POWER((1+F22),'数据-取费表'!B23/2)-1)),0)</f>
        <v>20</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6.4">
      <c r="A27" s="728" t="s">
        <v>342</v>
      </c>
      <c r="B27" s="236" t="s">
        <v>85</v>
      </c>
      <c r="C27" s="237">
        <f>C28</f>
        <v>3972</v>
      </c>
      <c r="D27" s="227">
        <f>C29</f>
        <v>3.5999999999999999E-3</v>
      </c>
      <c r="E27" s="228" t="s">
        <v>99</v>
      </c>
      <c r="F27" s="238">
        <f>'数据-取费表'!Q16</f>
        <v>0.18</v>
      </c>
      <c r="G27" s="239" t="s">
        <v>431</v>
      </c>
    </row>
    <row r="28" spans="1:7" s="206" customFormat="1" ht="13.5" customHeight="1">
      <c r="A28" s="731" t="s">
        <v>349</v>
      </c>
      <c r="B28" s="240" t="s">
        <v>424</v>
      </c>
      <c r="C28" s="241">
        <f>ROUND((C5+C19+C20)*F27*'数据-取费表'!B21/'数据-取费表'!B20,0)</f>
        <v>3972</v>
      </c>
      <c r="D28" s="227"/>
      <c r="E28" s="228"/>
      <c r="F28" s="238"/>
      <c r="G28" s="239"/>
    </row>
    <row r="29" spans="1:7" s="206" customFormat="1" ht="13.5" customHeight="1">
      <c r="A29" s="731" t="s">
        <v>347</v>
      </c>
      <c r="B29" s="240" t="s">
        <v>425</v>
      </c>
      <c r="C29" s="230">
        <f>ROUND(C21*F27*'数据-取费表'!B21/'数据-取费表'!B20,4)</f>
        <v>3.5999999999999999E-3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34820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30724</v>
      </c>
      <c r="D34" s="209"/>
      <c r="E34" s="212"/>
      <c r="F34" s="249">
        <f>IF('数据-取费表'!B24=0,1,'数据-取费表'!N16)</f>
        <v>1</v>
      </c>
      <c r="G34" s="211" t="s">
        <v>89</v>
      </c>
    </row>
    <row r="35" spans="1:7" ht="13.5" customHeight="1">
      <c r="A35" s="731" t="s">
        <v>351</v>
      </c>
      <c r="B35" s="207" t="s">
        <v>33</v>
      </c>
      <c r="C35" s="212">
        <f>ROUND(C34*F35,0)</f>
        <v>2458</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1024</v>
      </c>
      <c r="D37" s="209">
        <f>'数据-汇总表'!E3</f>
        <v>51206.530000000006</v>
      </c>
      <c r="E37" s="241">
        <f>'数据-取费表'!B35</f>
        <v>200</v>
      </c>
      <c r="F37" s="251"/>
      <c r="G37" s="253" t="s">
        <v>92</v>
      </c>
    </row>
    <row r="38" spans="1:7" ht="13.5" customHeight="1">
      <c r="A38" s="731" t="s">
        <v>354</v>
      </c>
      <c r="B38" s="207" t="s">
        <v>36</v>
      </c>
      <c r="C38" s="212">
        <f>ROUND(C34*F38,0)</f>
        <v>614</v>
      </c>
      <c r="D38" s="212"/>
      <c r="E38" s="212"/>
      <c r="F38" s="251">
        <f>'数据-取费表'!B36</f>
        <v>0.02</v>
      </c>
      <c r="G38" s="211" t="s">
        <v>90</v>
      </c>
    </row>
    <row r="39" spans="1:7" s="206" customFormat="1" ht="13.5" customHeight="1">
      <c r="A39" s="728" t="s">
        <v>338</v>
      </c>
      <c r="B39" s="202" t="s">
        <v>77</v>
      </c>
      <c r="C39" s="224">
        <f>ROUND(C33*F20,0)</f>
        <v>696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1665</v>
      </c>
      <c r="D41" s="227">
        <f ca="1">C44</f>
        <v>8.9999999999999998E-4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1632</v>
      </c>
      <c r="D42" s="230"/>
      <c r="E42" s="230"/>
      <c r="F42" s="231"/>
      <c r="G42" s="3488" t="s">
        <v>94</v>
      </c>
    </row>
    <row r="43" spans="1:7" ht="13.5" customHeight="1">
      <c r="A43" s="731" t="s">
        <v>347</v>
      </c>
      <c r="B43" s="207" t="s">
        <v>426</v>
      </c>
      <c r="C43" s="230">
        <f ca="1">ROUND(IF('数据-取费表'!B22&lt;=1,C39*F22*'数据-取费表'!B21/2,C39*(POWER((1+F22),'数据-取费表'!B21/2)-1)),0)</f>
        <v>33</v>
      </c>
      <c r="D43" s="230"/>
      <c r="E43" s="230"/>
      <c r="F43" s="231"/>
      <c r="G43" s="3489"/>
    </row>
    <row r="44" spans="1:7" ht="13.5" customHeight="1">
      <c r="A44" s="731" t="s">
        <v>348</v>
      </c>
      <c r="B44" s="207" t="s">
        <v>428</v>
      </c>
      <c r="C44" s="230">
        <f ca="1">ROUND(IF('数据-取费表'!B22&lt;=1,C40*F22*'数据-取费表'!B21/2,C40*(POWER((1+F22),'数据-取费表'!B21/2)-1)),4)</f>
        <v>8.9999999999999998E-4</v>
      </c>
      <c r="D44" s="230"/>
      <c r="E44" s="230"/>
      <c r="F44" s="231"/>
      <c r="G44" s="3490"/>
    </row>
    <row r="45" spans="1:7" s="206" customFormat="1" ht="13.5" customHeight="1">
      <c r="A45" s="728" t="s">
        <v>341</v>
      </c>
      <c r="B45" s="236" t="s">
        <v>85</v>
      </c>
      <c r="C45" s="237">
        <f>C46</f>
        <v>6393</v>
      </c>
      <c r="D45" s="227">
        <f>C47</f>
        <v>3.5999999999999999E-3</v>
      </c>
      <c r="E45" s="228" t="s">
        <v>102</v>
      </c>
      <c r="F45" s="238"/>
      <c r="G45" s="239" t="s">
        <v>434</v>
      </c>
    </row>
    <row r="46" spans="1:7" s="206" customFormat="1" ht="13.5" customHeight="1">
      <c r="A46" s="731" t="s">
        <v>349</v>
      </c>
      <c r="B46" s="240" t="s">
        <v>427</v>
      </c>
      <c r="C46" s="241">
        <f>ROUND((C33+C39)*F27,0)</f>
        <v>6393</v>
      </c>
      <c r="D46" s="255"/>
      <c r="E46" s="228"/>
      <c r="F46" s="238"/>
      <c r="G46" s="239"/>
    </row>
    <row r="47" spans="1:7" s="206" customFormat="1" ht="13.5" customHeight="1">
      <c r="A47" s="731" t="s">
        <v>347</v>
      </c>
      <c r="B47" s="240" t="s">
        <v>429</v>
      </c>
      <c r="C47" s="230">
        <f>ROUND(C40*F27,4)</f>
        <v>3.5999999999999999E-3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47252</v>
      </c>
      <c r="D49" s="224"/>
      <c r="E49" s="224"/>
      <c r="F49" s="256"/>
      <c r="G49" s="226" t="s">
        <v>435</v>
      </c>
    </row>
    <row r="50" spans="1:7" s="250" customFormat="1" ht="24">
      <c r="A50" s="728" t="s">
        <v>344</v>
      </c>
      <c r="B50" s="202" t="s">
        <v>97</v>
      </c>
      <c r="C50" s="224"/>
      <c r="D50" s="224"/>
      <c r="E50" s="224"/>
      <c r="F50" s="256">
        <f>IF('数据-取费表'!B24=0,'数据-取费表'!N16,1)</f>
        <v>0.8</v>
      </c>
      <c r="G50" s="239" t="s">
        <v>98</v>
      </c>
    </row>
    <row r="51" spans="1:7" ht="16.5" customHeight="1">
      <c r="A51" s="728" t="s">
        <v>345</v>
      </c>
      <c r="B51" s="202" t="s">
        <v>105</v>
      </c>
      <c r="C51" s="224">
        <f ca="1">ROUND(C49*F50,0)</f>
        <v>37802</v>
      </c>
      <c r="D51" s="224"/>
      <c r="E51" s="224"/>
      <c r="F51" s="256"/>
      <c r="G51" s="226" t="s">
        <v>37</v>
      </c>
    </row>
    <row r="52" spans="1:7" s="200" customFormat="1" ht="16.8" thickBot="1">
      <c r="A52" s="257" t="s">
        <v>38</v>
      </c>
      <c r="B52" s="258"/>
      <c r="C52" s="259">
        <f ca="1">C31+C51</f>
        <v>68311</v>
      </c>
      <c r="D52" s="258"/>
      <c r="E52" s="258"/>
      <c r="F52" s="258"/>
      <c r="G52" s="260"/>
    </row>
    <row r="55" spans="1:7" ht="15">
      <c r="B55" s="262" t="s">
        <v>39</v>
      </c>
      <c r="C55" s="263"/>
    </row>
    <row r="56" spans="1:7">
      <c r="B56" s="265" t="s">
        <v>40</v>
      </c>
      <c r="C56" s="266">
        <f ca="1">ROUND(C51/C52,3)</f>
        <v>0.55300000000000005</v>
      </c>
    </row>
    <row r="57" spans="1:7">
      <c r="B57" s="265" t="s">
        <v>41</v>
      </c>
      <c r="C57" s="267">
        <f ca="1">1-C56</f>
        <v>0.44699999999999995</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topLeftCell="A25" zoomScaleNormal="80" zoomScaleSheetLayoutView="100" workbookViewId="0">
      <selection activeCell="E33" sqref="E3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41592.490000000005</v>
      </c>
      <c r="E1" s="1838"/>
      <c r="F1" s="1838"/>
      <c r="G1" s="1838"/>
      <c r="H1" s="1838"/>
      <c r="I1" s="1838"/>
      <c r="J1" s="1838"/>
      <c r="K1" s="1053"/>
      <c r="L1" s="1839" t="s">
        <v>1928</v>
      </c>
      <c r="M1" s="807">
        <f>SUMPRODUCT((区片价!B5:B9=I2)*(区片价!C3:G3=E2)*(区片价!C5:G9))</f>
        <v>36850</v>
      </c>
      <c r="N1" s="810">
        <f>SUMPRODUCT((因素修正幅度!B5:B9=I2)*(因素修正幅度!C3:G3=E2)*(因素修正幅度!C5:G9))</f>
        <v>9.8000000000000004E-2</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111193</v>
      </c>
      <c r="C2" s="1842" t="s">
        <v>1935</v>
      </c>
      <c r="D2" s="162" t="s">
        <v>1936</v>
      </c>
      <c r="E2" s="3112"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Ⅰ—02</v>
      </c>
      <c r="J2" s="1838"/>
      <c r="K2" s="1053"/>
      <c r="L2" s="1843" t="s">
        <v>1939</v>
      </c>
      <c r="M2" s="808">
        <f>SUMPRODUCT((区片价!B10:B29=I2)*(区片价!C3:G3=E2)*(区片价!C10:G29))</f>
        <v>0</v>
      </c>
      <c r="N2" s="810">
        <f>SUMPRODUCT((因素修正幅度!B10:B29=I2)*(因素修正幅度!C3:G3=E2)*(因素修正幅度!C10:G29))</f>
        <v>0</v>
      </c>
      <c r="O2" s="1053"/>
      <c r="P2" s="1053"/>
      <c r="Q2" s="1053"/>
      <c r="R2" s="1125">
        <v>1</v>
      </c>
      <c r="S2" s="3055">
        <f>ROUND(SUMPRODUCT((B106:B110=R2)*(C105:N105=G2)*(C106:N110)),4)</f>
        <v>1.5206</v>
      </c>
      <c r="T2" s="3055">
        <f t="shared" ref="T2:T16" si="0">ROUND($C$5*$C$22*$C$23*$C$24*S2*$C$28,0)</f>
        <v>52043</v>
      </c>
      <c r="U2" s="1126">
        <f>面积!H25+面积!H26</f>
        <v>1920.8700000000001</v>
      </c>
      <c r="V2" s="3055">
        <f>ROUND(T2*U2/10000,0)</f>
        <v>9997</v>
      </c>
      <c r="W2" s="1129"/>
      <c r="X2" s="1129"/>
      <c r="Y2" s="1129"/>
      <c r="Z2" s="1129"/>
      <c r="AA2" s="1129"/>
      <c r="AB2" s="1129"/>
      <c r="AC2" s="1130"/>
      <c r="AD2" s="1131"/>
      <c r="AE2" s="1131"/>
      <c r="AF2" s="1131"/>
      <c r="AG2" s="1131"/>
      <c r="AH2" s="1131"/>
      <c r="AI2" s="1131"/>
      <c r="AJ2" s="1132"/>
    </row>
    <row r="3" spans="1:36" ht="15.6">
      <c r="A3" s="195" t="s">
        <v>1940</v>
      </c>
      <c r="B3" s="196">
        <f>ROUND(B2*10000/D1,0)</f>
        <v>26734</v>
      </c>
      <c r="C3" s="1842" t="s">
        <v>1941</v>
      </c>
      <c r="D3" s="162" t="s">
        <v>1942</v>
      </c>
      <c r="E3" s="3110" t="s">
        <v>3550</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41317</v>
      </c>
      <c r="U3" s="1126">
        <f>面积!H27+面积!H28+面积!H29+面积!H30</f>
        <v>2565.87</v>
      </c>
      <c r="V3" s="3055">
        <f t="shared" ref="V3:V16" si="1">ROUND(T3*U3/10000,0)</f>
        <v>10601</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35701</v>
      </c>
      <c r="U4" s="1126">
        <f>面积!H31+面积!H32+面积!H33+面积!H34</f>
        <v>2869.1099999999997</v>
      </c>
      <c r="V4" s="3055">
        <f t="shared" si="1"/>
        <v>10243</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38307</v>
      </c>
      <c r="D5" s="1248">
        <f>ROUND(C6*C17+C20,0)</f>
        <v>36833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32305</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36850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30789</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一级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v>1.04</v>
      </c>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0.93120000000000003</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0.84630000000000005</v>
      </c>
      <c r="D24" s="1898" t="s">
        <v>2007</v>
      </c>
      <c r="E24" s="1244">
        <f>存贷款利率!E27/100</f>
        <v>4.3499999999999997E-2</v>
      </c>
      <c r="F24" s="1898" t="s">
        <v>1999</v>
      </c>
      <c r="G24" s="721">
        <f>SUMIF(M30:Q30,E2,M33:Q33)</f>
        <v>5.5E-2</v>
      </c>
      <c r="H24" s="1898" t="s">
        <v>2008</v>
      </c>
      <c r="I24" s="722">
        <f>SUMIF('数据-取费表'!C6:C15,E2,'数据-取费表'!F6:F15)/COUNTIF('数据-取费表'!C6:C15,E2)</f>
        <v>28.98</v>
      </c>
      <c r="J24" s="723">
        <f>IF(E2="住宅",70,IF(E2="商业",40,50))</f>
        <v>50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3333</v>
      </c>
      <c r="C25" s="461">
        <f>IF(B25="容积率修正",IF(G3&lt;10,D26,J26),C27)</f>
        <v>0.92610000000000003</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0.92610000000000003</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1.0553999999999999</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111193</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1043</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31696</v>
      </c>
      <c r="D33" s="1936">
        <f>'数据-汇总表'!E21</f>
        <v>33765.460000000006</v>
      </c>
      <c r="E33" s="724">
        <f>ROUND(C33*D33/10000,0)</f>
        <v>107023</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f>ROUND(IF(E2="工业",C33*M42,IF(B25="楼层修正",SUM(V2:V16)*M41*10000/D34,C33*M41)),0)</f>
        <v>7924</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23036</v>
      </c>
      <c r="D37" s="1936"/>
      <c r="E37" s="163">
        <f>ROUND(C37*D37/10000,0)</f>
        <v>0</v>
      </c>
      <c r="F37" s="163">
        <f>SUMIF(修正!A57:A68,G2,修正!B57:B68)</f>
        <v>0.7</v>
      </c>
      <c r="G37" s="163">
        <f>ROUND(IF(E2="工业",C37*$M$42,C37*$M$41),0)</f>
        <v>5759</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13163</v>
      </c>
      <c r="D38" s="1936"/>
      <c r="E38" s="163">
        <f t="shared" ref="E38:E42" si="4">ROUND(C38*D38/10000,0)</f>
        <v>0</v>
      </c>
      <c r="F38" s="163">
        <f>SUMIF(修正!A57:A68,G2,修正!C57:C68)</f>
        <v>0.4</v>
      </c>
      <c r="G38" s="163">
        <f>ROUND(IF(E2="工业",C38*$M$42,C38*$M$41),0)</f>
        <v>3291</v>
      </c>
      <c r="H38" s="163">
        <f t="shared" ref="H38:H42" si="5">D38</f>
        <v>0</v>
      </c>
      <c r="I38" s="163">
        <f t="shared" ref="I38:I42" si="6">ROUND(G38*H38/10000,0)</f>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9873</v>
      </c>
      <c r="D39" s="1936"/>
      <c r="E39" s="163">
        <f t="shared" si="4"/>
        <v>0</v>
      </c>
      <c r="F39" s="163">
        <f>SUMIF(修正!A57:A68,G2,修正!D57:D68)</f>
        <v>0.3</v>
      </c>
      <c r="G39" s="163">
        <f>ROUND(IF(E2="工业",C39*$M$42,C39*$M$41),0)</f>
        <v>2468</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9873</v>
      </c>
      <c r="D40" s="1936"/>
      <c r="E40" s="163">
        <f t="shared" si="4"/>
        <v>0</v>
      </c>
      <c r="F40" s="167">
        <f>SUMIF(修正!A57:A68,G2,修正!E57:E68)</f>
        <v>0.3</v>
      </c>
      <c r="G40" s="163">
        <f>ROUND(IF(E2="工业",C40*$M$42,C40*$M$41),0)</f>
        <v>2468</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7992</v>
      </c>
      <c r="D41" s="1936">
        <f>'数据-汇总表'!N23</f>
        <v>0</v>
      </c>
      <c r="E41" s="163">
        <f t="shared" si="4"/>
        <v>0</v>
      </c>
      <c r="F41" s="167">
        <f>SUMIF(修正!A57:A68,G2,修正!F57:F68)</f>
        <v>0.3</v>
      </c>
      <c r="G41" s="163">
        <f>ROUND(IF(E2="工业",C41*$M$42,C41*$M$41),0)</f>
        <v>1998</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5328</v>
      </c>
      <c r="D42" s="1941">
        <f>'数据-汇总表'!E22</f>
        <v>7827.03</v>
      </c>
      <c r="E42" s="179">
        <f t="shared" si="4"/>
        <v>4170</v>
      </c>
      <c r="F42" s="720">
        <f>SUMIF(修正!A57:A68,G2,修正!G57:G68)</f>
        <v>0.2</v>
      </c>
      <c r="G42" s="179">
        <f>ROUND(IF(E2="工业",C42*$M$42,C42*$M$41),0)</f>
        <v>1332</v>
      </c>
      <c r="H42" s="179">
        <f t="shared" si="5"/>
        <v>7827.03</v>
      </c>
      <c r="I42" s="179">
        <f t="shared" si="6"/>
        <v>1043</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t="str">
        <f>IF(E2="商业",SUMIF(L1:L12,G2,N1:N12),"——")</f>
        <v>——</v>
      </c>
      <c r="G50" s="997">
        <v>0.01</v>
      </c>
      <c r="H50" s="1000" t="str">
        <f t="shared" ref="H50:H58" si="8">IFERROR(ROUNDDOWN($F$50*I50/2,4),"——")</f>
        <v>——</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t="str">
        <f t="shared" si="8"/>
        <v>——</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t="str">
        <f t="shared" si="8"/>
        <v>——</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t="str">
        <f t="shared" si="8"/>
        <v>——</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t="str">
        <f t="shared" si="8"/>
        <v>——</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t="str">
        <f t="shared" si="8"/>
        <v>——</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t="str">
        <f t="shared" si="8"/>
        <v>——</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t="str">
        <f t="shared" si="8"/>
        <v>——</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t="str">
        <f t="shared" si="8"/>
        <v>——</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1.0553999999999999</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t="s">
        <v>3548</v>
      </c>
      <c r="D61" s="999">
        <f t="shared" ref="D61:D69" si="12">SUMIF($J$60:$N$60,C61,J61:N61)</f>
        <v>1.2200000000000001E-2</v>
      </c>
      <c r="E61" s="699">
        <f>ROUND(SUM(D61:D69),4)</f>
        <v>5.5399999999999998E-2</v>
      </c>
      <c r="F61" s="1671">
        <f>IF(E2="办公",SUMIF(L1:L12,G2,N1:N12),"——")</f>
        <v>9.8000000000000004E-2</v>
      </c>
      <c r="G61" s="997">
        <v>1.2200000000000001E-2</v>
      </c>
      <c r="H61" s="1000">
        <f t="shared" ref="H61:H69" si="13">IFERROR(ROUNDDOWN($F$61*I61/2,4),"——")</f>
        <v>1.2200000000000001E-2</v>
      </c>
      <c r="I61" s="3060">
        <v>0.25</v>
      </c>
      <c r="J61" s="998">
        <f t="shared" ref="J61:J69" si="14">K61+$G61</f>
        <v>2.4400000000000002E-2</v>
      </c>
      <c r="K61" s="998">
        <f t="shared" ref="K61:K69" si="15">$L61+$G61</f>
        <v>1.2200000000000001E-2</v>
      </c>
      <c r="L61" s="998">
        <v>0</v>
      </c>
      <c r="M61" s="998">
        <f t="shared" ref="M61:N69" si="16">L61-$G61</f>
        <v>-1.2200000000000001E-2</v>
      </c>
      <c r="N61" s="998">
        <f t="shared" si="16"/>
        <v>-2.4400000000000002E-2</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t="s">
        <v>3548</v>
      </c>
      <c r="D62" s="999">
        <f t="shared" si="12"/>
        <v>1.2699999999999999E-2</v>
      </c>
      <c r="E62" s="700"/>
      <c r="F62" s="1671"/>
      <c r="G62" s="997">
        <v>1.2699999999999999E-2</v>
      </c>
      <c r="H62" s="1000">
        <f t="shared" si="13"/>
        <v>1.2699999999999999E-2</v>
      </c>
      <c r="I62" s="3060">
        <v>0.26</v>
      </c>
      <c r="J62" s="998">
        <f t="shared" si="14"/>
        <v>2.5399999999999999E-2</v>
      </c>
      <c r="K62" s="998">
        <f t="shared" si="15"/>
        <v>1.2699999999999999E-2</v>
      </c>
      <c r="L62" s="998">
        <v>0</v>
      </c>
      <c r="M62" s="998">
        <f t="shared" si="16"/>
        <v>-1.2699999999999999E-2</v>
      </c>
      <c r="N62" s="998">
        <f t="shared" si="16"/>
        <v>-2.5399999999999999E-2</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t="s">
        <v>3548</v>
      </c>
      <c r="D63" s="999">
        <f t="shared" si="12"/>
        <v>5.3E-3</v>
      </c>
      <c r="E63" s="700"/>
      <c r="F63" s="1671"/>
      <c r="G63" s="997">
        <v>5.3E-3</v>
      </c>
      <c r="H63" s="1000">
        <f t="shared" si="13"/>
        <v>5.3E-3</v>
      </c>
      <c r="I63" s="3060">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t="s">
        <v>3548</v>
      </c>
      <c r="D64" s="999">
        <f t="shared" si="12"/>
        <v>2.3999999999999998E-3</v>
      </c>
      <c r="E64" s="700"/>
      <c r="F64" s="1671"/>
      <c r="G64" s="997">
        <v>2.3999999999999998E-3</v>
      </c>
      <c r="H64" s="1000">
        <f t="shared" si="13"/>
        <v>2.3999999999999998E-3</v>
      </c>
      <c r="I64" s="3060">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t="s">
        <v>3549</v>
      </c>
      <c r="D65" s="999">
        <f t="shared" si="12"/>
        <v>4.7999999999999996E-3</v>
      </c>
      <c r="E65" s="700"/>
      <c r="F65" s="1671"/>
      <c r="G65" s="997">
        <v>2.3999999999999998E-3</v>
      </c>
      <c r="H65" s="1000">
        <f t="shared" si="13"/>
        <v>2.3999999999999998E-3</v>
      </c>
      <c r="I65" s="3060">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36">
      <c r="A66" s="1966" t="s">
        <v>2057</v>
      </c>
      <c r="B66" s="1971" t="s">
        <v>2058</v>
      </c>
      <c r="C66" s="1883" t="s">
        <v>3548</v>
      </c>
      <c r="D66" s="999">
        <f t="shared" si="12"/>
        <v>2.8999999999999998E-3</v>
      </c>
      <c r="E66" s="700"/>
      <c r="F66" s="1671"/>
      <c r="G66" s="997">
        <v>2.8999999999999998E-3</v>
      </c>
      <c r="H66" s="1000">
        <f t="shared" si="13"/>
        <v>2.8999999999999998E-3</v>
      </c>
      <c r="I66" s="3060">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t="s">
        <v>3548</v>
      </c>
      <c r="D67" s="999">
        <f t="shared" si="12"/>
        <v>2.8999999999999998E-3</v>
      </c>
      <c r="E67" s="700"/>
      <c r="F67" s="1671"/>
      <c r="G67" s="997">
        <v>2.8999999999999998E-3</v>
      </c>
      <c r="H67" s="1000">
        <f t="shared" si="13"/>
        <v>2.8999999999999998E-3</v>
      </c>
      <c r="I67" s="3060">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t="s">
        <v>3549</v>
      </c>
      <c r="D68" s="999">
        <f t="shared" si="12"/>
        <v>8.8000000000000005E-3</v>
      </c>
      <c r="E68" s="700"/>
      <c r="F68" s="1671"/>
      <c r="G68" s="997">
        <v>4.4000000000000003E-3</v>
      </c>
      <c r="H68" s="1000">
        <f t="shared" si="13"/>
        <v>4.4000000000000003E-3</v>
      </c>
      <c r="I68" s="3060">
        <v>0.09</v>
      </c>
      <c r="J68" s="998">
        <f t="shared" si="14"/>
        <v>8.8000000000000005E-3</v>
      </c>
      <c r="K68" s="998">
        <f t="shared" si="15"/>
        <v>4.4000000000000003E-3</v>
      </c>
      <c r="L68" s="998">
        <v>0</v>
      </c>
      <c r="M68" s="998">
        <f t="shared" si="16"/>
        <v>-4.4000000000000003E-3</v>
      </c>
      <c r="N68" s="998">
        <f t="shared" si="16"/>
        <v>-8.8000000000000005E-3</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t="s">
        <v>3548</v>
      </c>
      <c r="D69" s="999">
        <f t="shared" si="12"/>
        <v>3.3999999999999998E-3</v>
      </c>
      <c r="E69" s="701"/>
      <c r="F69" s="1671"/>
      <c r="G69" s="997">
        <v>3.3999999999999998E-3</v>
      </c>
      <c r="H69" s="1000">
        <f t="shared" si="13"/>
        <v>3.3999999999999998E-3</v>
      </c>
      <c r="I69" s="3061">
        <v>7.0000000000000007E-2</v>
      </c>
      <c r="J69" s="998">
        <f t="shared" si="14"/>
        <v>6.7999999999999996E-3</v>
      </c>
      <c r="K69" s="998">
        <f t="shared" si="15"/>
        <v>3.3999999999999998E-3</v>
      </c>
      <c r="L69" s="998">
        <v>0</v>
      </c>
      <c r="M69" s="998">
        <f t="shared" si="16"/>
        <v>-3.3999999999999998E-3</v>
      </c>
      <c r="N69" s="998">
        <f t="shared" si="16"/>
        <v>-6.7999999999999996E-3</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3267</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2044</v>
      </c>
      <c r="B92" s="2303"/>
      <c r="C92" s="2303" t="s">
        <v>2046</v>
      </c>
      <c r="D92" s="2303" t="s">
        <v>2047</v>
      </c>
      <c r="E92" s="3044" t="s">
        <v>2048</v>
      </c>
      <c r="F92" s="3074" t="s">
        <v>3281</v>
      </c>
      <c r="G92" s="2303" t="s">
        <v>1989</v>
      </c>
      <c r="H92" s="3081" t="s">
        <v>3285</v>
      </c>
      <c r="I92" s="2303" t="s">
        <v>2051</v>
      </c>
      <c r="J92" s="2146" t="s">
        <v>1721</v>
      </c>
      <c r="K92" s="2146" t="s">
        <v>1722</v>
      </c>
      <c r="L92" s="2146" t="s">
        <v>1723</v>
      </c>
      <c r="M92" s="2146" t="s">
        <v>1724</v>
      </c>
      <c r="N92" s="2146" t="s">
        <v>1725</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2053</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2054</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2056</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2057</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2059</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2060</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2061</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1961</v>
      </c>
      <c r="D105" s="3086" t="s">
        <v>1962</v>
      </c>
      <c r="E105" s="3086" t="s">
        <v>1963</v>
      </c>
      <c r="F105" s="3086" t="s">
        <v>1964</v>
      </c>
      <c r="G105" s="3086" t="s">
        <v>1965</v>
      </c>
      <c r="H105" s="3086" t="s">
        <v>1966</v>
      </c>
      <c r="I105" s="3086" t="s">
        <v>1967</v>
      </c>
      <c r="J105" s="3086" t="s">
        <v>1968</v>
      </c>
      <c r="K105" s="3086" t="s">
        <v>1969</v>
      </c>
      <c r="L105" s="3086" t="s">
        <v>1970</v>
      </c>
      <c r="M105" s="3086" t="s">
        <v>1971</v>
      </c>
      <c r="N105" s="3086" t="s">
        <v>1972</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0.91659999999999997</v>
      </c>
      <c r="E116" s="162" t="s">
        <v>1936</v>
      </c>
      <c r="F116" s="3093" t="str">
        <f>E2</f>
        <v>办公</v>
      </c>
      <c r="G116" s="162" t="s">
        <v>1937</v>
      </c>
      <c r="H116" s="3093" t="str">
        <f>G2</f>
        <v>一级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1990</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1991</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1992</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1993</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3200-000000000000}">
      <formula1>"不用分区数据,中心城区,中心城区以外"</formula1>
    </dataValidation>
    <dataValidation type="list" allowBlank="1" showInputMessage="1" showErrorMessage="1" sqref="H20:O20" xr:uid="{00000000-0002-0000-3200-000001000000}">
      <formula1>七通一平</formula1>
    </dataValidation>
    <dataValidation type="list" allowBlank="1" showInputMessage="1" showErrorMessage="1" sqref="H23" xr:uid="{00000000-0002-0000-3200-000002000000}">
      <formula1>"地价指数,季度增幅（自定义）,按公示增长率计算"</formula1>
    </dataValidation>
    <dataValidation type="list" allowBlank="1" showInputMessage="1" showErrorMessage="1" sqref="C61:C69 C72:C80 C50:C58 C83:C91 C93:C101" xr:uid="{00000000-0002-0000-3200-000003000000}">
      <formula1>五等判定</formula1>
    </dataValidation>
    <dataValidation type="list" allowBlank="1" showInputMessage="1" showErrorMessage="1" sqref="E3" xr:uid="{00000000-0002-0000-3200-000004000000}">
      <formula1>二级分类</formula1>
    </dataValidation>
    <dataValidation type="list" allowBlank="1" showInputMessage="1" showErrorMessage="1" sqref="C8" xr:uid="{00000000-0002-0000-3200-000005000000}">
      <formula1>商业街名称</formula1>
    </dataValidation>
    <dataValidation type="list" allowBlank="1" showInputMessage="1" showErrorMessage="1" sqref="F3" xr:uid="{00000000-0002-0000-3200-000006000000}">
      <formula1>"宗地容积率,估价对象容积率,自定义容积率"</formula1>
    </dataValidation>
    <dataValidation type="list" allowBlank="1" showInputMessage="1" showErrorMessage="1" sqref="E2" xr:uid="{00000000-0002-0000-3200-000007000000}">
      <formula1>"商业,办公,住宅,工业,公共服务"</formula1>
    </dataValidation>
    <dataValidation type="list" allowBlank="1" showInputMessage="1" showErrorMessage="1" sqref="F21" xr:uid="{00000000-0002-0000-3200-000008000000}">
      <formula1>"与级别开发程度一致,与级别开发程度不一致"</formula1>
    </dataValidation>
    <dataValidation type="list" allowBlank="1" showInputMessage="1" showErrorMessage="1" sqref="B25" xr:uid="{00000000-0002-0000-3200-000009000000}">
      <formula1>"容积率修正,楼层修正"</formula1>
    </dataValidation>
    <dataValidation type="list" allowBlank="1" showInputMessage="1" showErrorMessage="1" sqref="C15:D15" xr:uid="{00000000-0002-0000-3200-00000A000000}">
      <formula1>"有,无"</formula1>
    </dataValidation>
    <dataValidation type="list" allowBlank="1" showInputMessage="1" showErrorMessage="1" sqref="E15" xr:uid="{00000000-0002-0000-32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8671875" defaultRowHeight="10.8"/>
  <cols>
    <col min="1" max="1" width="9.6640625" style="2774" customWidth="1"/>
    <col min="2" max="2" width="18.6640625" style="2774" customWidth="1"/>
    <col min="3" max="6" width="10.21875" style="2774" customWidth="1"/>
    <col min="7" max="7" width="10.44140625" style="2774" bestFit="1" customWidth="1"/>
    <col min="8" max="8" width="8.88671875" style="2773"/>
    <col min="9" max="9" width="13.33203125" style="2773" customWidth="1"/>
    <col min="10" max="13" width="13.33203125" style="2774" customWidth="1"/>
    <col min="14" max="14" width="18.21875" style="2774" customWidth="1"/>
    <col min="15" max="17" width="15.109375" style="2774" customWidth="1"/>
    <col min="18" max="20" width="11.44140625" style="2774" customWidth="1"/>
    <col min="21" max="16384" width="8.88671875" style="2774"/>
  </cols>
  <sheetData>
    <row r="1" spans="1:20" ht="11.4" thickBot="1">
      <c r="A1" s="3637" t="s">
        <v>2837</v>
      </c>
      <c r="B1" s="3637"/>
      <c r="C1" s="3637"/>
      <c r="D1" s="3637"/>
      <c r="E1" s="3637"/>
      <c r="F1" s="3637"/>
      <c r="G1" s="3638"/>
      <c r="I1" s="2930" t="s">
        <v>2838</v>
      </c>
      <c r="J1" s="2931" t="s">
        <v>2839</v>
      </c>
      <c r="K1" s="2931" t="s">
        <v>2840</v>
      </c>
      <c r="L1" s="2931" t="s">
        <v>2841</v>
      </c>
      <c r="M1" s="2931" t="s">
        <v>2842</v>
      </c>
      <c r="N1" s="2931" t="s">
        <v>2843</v>
      </c>
      <c r="O1" s="2931" t="s">
        <v>2844</v>
      </c>
      <c r="P1" s="2931" t="s">
        <v>2845</v>
      </c>
      <c r="Q1" s="2931" t="s">
        <v>2846</v>
      </c>
      <c r="R1" s="2931" t="s">
        <v>2847</v>
      </c>
      <c r="S1" s="2931" t="s">
        <v>2848</v>
      </c>
      <c r="T1" s="2932" t="s">
        <v>2849</v>
      </c>
    </row>
    <row r="2" spans="1:20" ht="11.4" thickBot="1">
      <c r="A2" s="2933" t="s">
        <v>2850</v>
      </c>
      <c r="B2" s="2933"/>
      <c r="C2" s="2933"/>
      <c r="D2" s="2933"/>
      <c r="E2" s="2933"/>
      <c r="F2" s="2933"/>
      <c r="G2" s="2934" t="s">
        <v>2851</v>
      </c>
      <c r="I2" s="2935" t="s">
        <v>2852</v>
      </c>
      <c r="J2" s="2935" t="s">
        <v>2853</v>
      </c>
      <c r="K2" s="2935" t="s">
        <v>2854</v>
      </c>
      <c r="L2" s="2935" t="s">
        <v>2855</v>
      </c>
      <c r="M2" s="2935" t="s">
        <v>2856</v>
      </c>
      <c r="N2" s="2935" t="s">
        <v>2857</v>
      </c>
      <c r="O2" s="2935" t="s">
        <v>2858</v>
      </c>
      <c r="P2" s="2935" t="s">
        <v>2859</v>
      </c>
      <c r="Q2" s="2935" t="s">
        <v>2860</v>
      </c>
      <c r="R2" s="2935" t="s">
        <v>2861</v>
      </c>
      <c r="S2" s="2935" t="s">
        <v>2862</v>
      </c>
      <c r="T2" s="2935" t="s">
        <v>2863</v>
      </c>
    </row>
    <row r="3" spans="1:20" s="2941" customFormat="1">
      <c r="A3" s="3635" t="s">
        <v>2864</v>
      </c>
      <c r="B3" s="2936"/>
      <c r="C3" s="2937" t="s">
        <v>2809</v>
      </c>
      <c r="D3" s="2937" t="s">
        <v>2865</v>
      </c>
      <c r="E3" s="2937" t="s">
        <v>2811</v>
      </c>
      <c r="F3" s="2937" t="s">
        <v>2866</v>
      </c>
      <c r="G3" s="2937" t="s">
        <v>2629</v>
      </c>
      <c r="H3" s="2938"/>
      <c r="I3" s="2939" t="s">
        <v>2867</v>
      </c>
      <c r="J3" s="2940" t="s">
        <v>128</v>
      </c>
      <c r="K3" s="2940" t="s">
        <v>129</v>
      </c>
      <c r="L3" s="2939" t="s">
        <v>130</v>
      </c>
      <c r="M3" s="2939" t="s">
        <v>131</v>
      </c>
      <c r="N3" s="2939" t="s">
        <v>132</v>
      </c>
      <c r="O3" s="2939" t="s">
        <v>133</v>
      </c>
      <c r="P3" s="2939" t="s">
        <v>134</v>
      </c>
      <c r="Q3" s="2939" t="s">
        <v>135</v>
      </c>
      <c r="R3" s="2939" t="s">
        <v>136</v>
      </c>
      <c r="S3" s="2939" t="s">
        <v>2868</v>
      </c>
      <c r="T3" s="2939" t="s">
        <v>2869</v>
      </c>
    </row>
    <row r="4" spans="1:20" s="2941" customFormat="1" ht="11.4" thickBot="1">
      <c r="A4" s="3636"/>
      <c r="B4" s="2942" t="s">
        <v>2870</v>
      </c>
      <c r="C4" s="2942" t="s">
        <v>2871</v>
      </c>
      <c r="D4" s="2942" t="s">
        <v>2871</v>
      </c>
      <c r="E4" s="2942" t="s">
        <v>2871</v>
      </c>
      <c r="F4" s="2943" t="s">
        <v>2871</v>
      </c>
      <c r="G4" s="2943" t="s">
        <v>2871</v>
      </c>
      <c r="H4" s="2938"/>
      <c r="I4" s="2940" t="s">
        <v>137</v>
      </c>
      <c r="J4" s="2940" t="s">
        <v>111</v>
      </c>
      <c r="K4" s="2940" t="s">
        <v>138</v>
      </c>
      <c r="L4" s="2939" t="s">
        <v>139</v>
      </c>
      <c r="M4" s="2939" t="s">
        <v>140</v>
      </c>
      <c r="N4" s="2939" t="s">
        <v>141</v>
      </c>
      <c r="O4" s="2939" t="s">
        <v>142</v>
      </c>
      <c r="P4" s="2939" t="s">
        <v>143</v>
      </c>
      <c r="Q4" s="2939" t="s">
        <v>2872</v>
      </c>
      <c r="R4" s="2939" t="s">
        <v>2873</v>
      </c>
      <c r="S4" s="2939" t="s">
        <v>2874</v>
      </c>
      <c r="T4" s="2939" t="s">
        <v>2875</v>
      </c>
    </row>
    <row r="5" spans="1:20">
      <c r="A5" s="2944" t="s">
        <v>2838</v>
      </c>
      <c r="B5" s="2935" t="s">
        <v>2852</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2876</v>
      </c>
      <c r="R5" s="2939" t="s">
        <v>2877</v>
      </c>
      <c r="S5" s="2939" t="s">
        <v>153</v>
      </c>
      <c r="T5" s="2939" t="s">
        <v>2878</v>
      </c>
    </row>
    <row r="6" spans="1:20" ht="11.4" thickBot="1">
      <c r="A6" s="2939" t="s">
        <v>144</v>
      </c>
      <c r="B6" s="2939" t="s">
        <v>2867</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2879</v>
      </c>
      <c r="Q6" s="2939" t="s">
        <v>2880</v>
      </c>
      <c r="R6" s="2939" t="s">
        <v>161</v>
      </c>
      <c r="S6" s="2939" t="s">
        <v>2881</v>
      </c>
      <c r="T6" s="2939" t="s">
        <v>2882</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2883</v>
      </c>
      <c r="Q7" s="2939" t="s">
        <v>2884</v>
      </c>
      <c r="R7" s="2939" t="s">
        <v>2885</v>
      </c>
      <c r="S7" s="2939" t="s">
        <v>2886</v>
      </c>
      <c r="T7" s="2939" t="s">
        <v>2887</v>
      </c>
    </row>
    <row r="8" spans="1:20" ht="11.4"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2888</v>
      </c>
      <c r="Q8" s="2939" t="s">
        <v>174</v>
      </c>
      <c r="R8" s="2939" t="s">
        <v>2889</v>
      </c>
      <c r="S8" s="2939" t="s">
        <v>2890</v>
      </c>
      <c r="T8" s="2946" t="s">
        <v>2891</v>
      </c>
    </row>
    <row r="9" spans="1:20" ht="11.4"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2892</v>
      </c>
      <c r="Q9" s="2939" t="s">
        <v>182</v>
      </c>
      <c r="R9" s="2939" t="s">
        <v>183</v>
      </c>
      <c r="S9" s="2939" t="s">
        <v>200</v>
      </c>
    </row>
    <row r="10" spans="1:20">
      <c r="A10" s="2944" t="s">
        <v>184</v>
      </c>
      <c r="B10" s="2935" t="s">
        <v>2853</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2893</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2894</v>
      </c>
      <c r="P11" s="2939" t="s">
        <v>191</v>
      </c>
      <c r="Q11" s="2939" t="s">
        <v>199</v>
      </c>
      <c r="R11" s="2939" t="s">
        <v>2895</v>
      </c>
      <c r="S11" s="2939" t="s">
        <v>2896</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2897</v>
      </c>
      <c r="P12" s="2939" t="s">
        <v>2898</v>
      </c>
      <c r="Q12" s="2939" t="s">
        <v>2899</v>
      </c>
      <c r="R12" s="2939" t="s">
        <v>2900</v>
      </c>
      <c r="S12" s="2939" t="s">
        <v>2901</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2902</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2903</v>
      </c>
      <c r="K14" s="2940" t="s">
        <v>215</v>
      </c>
      <c r="L14" s="2939" t="s">
        <v>216</v>
      </c>
      <c r="M14" s="2939" t="s">
        <v>217</v>
      </c>
      <c r="N14" s="2939" t="s">
        <v>218</v>
      </c>
      <c r="O14" s="2939" t="s">
        <v>240</v>
      </c>
      <c r="P14" s="2939" t="s">
        <v>213</v>
      </c>
      <c r="Q14" s="2939" t="s">
        <v>2904</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2905</v>
      </c>
      <c r="P15" s="2939" t="s">
        <v>2906</v>
      </c>
      <c r="Q15" s="2939" t="s">
        <v>242</v>
      </c>
      <c r="R15" s="2939" t="s">
        <v>2907</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2908</v>
      </c>
      <c r="P16" s="2939" t="s">
        <v>227</v>
      </c>
      <c r="Q16" s="2939" t="s">
        <v>250</v>
      </c>
      <c r="R16" s="2939" t="s">
        <v>207</v>
      </c>
      <c r="S16" s="2939" t="s">
        <v>2909</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2910</v>
      </c>
      <c r="P17" s="2939" t="s">
        <v>2911</v>
      </c>
      <c r="Q17" s="2939" t="s">
        <v>256</v>
      </c>
      <c r="R17" s="2939" t="s">
        <v>2912</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2913</v>
      </c>
      <c r="P18" s="2939" t="s">
        <v>241</v>
      </c>
      <c r="Q18" s="2939" t="s">
        <v>2914</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2915</v>
      </c>
      <c r="P19" s="2939" t="s">
        <v>249</v>
      </c>
      <c r="Q19" s="2939" t="s">
        <v>2916</v>
      </c>
      <c r="R19" s="2939" t="s">
        <v>265</v>
      </c>
      <c r="S19" s="2939" t="s">
        <v>2917</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2918</v>
      </c>
      <c r="P20" s="2939" t="s">
        <v>2919</v>
      </c>
      <c r="Q20" s="2939" t="s">
        <v>290</v>
      </c>
      <c r="R20" s="2939" t="s">
        <v>2920</v>
      </c>
      <c r="S20" s="2939" t="s">
        <v>277</v>
      </c>
    </row>
    <row r="21" spans="1:19" ht="14.25" customHeight="1" thickBot="1">
      <c r="A21" s="2939" t="s">
        <v>184</v>
      </c>
      <c r="B21" s="2940" t="s">
        <v>208</v>
      </c>
      <c r="C21" s="2939">
        <v>32370</v>
      </c>
      <c r="D21" s="2939">
        <v>26730</v>
      </c>
      <c r="E21" s="2939">
        <v>26640</v>
      </c>
      <c r="F21" s="2939"/>
      <c r="G21" s="2939">
        <v>19440</v>
      </c>
      <c r="J21" s="2946" t="s">
        <v>2921</v>
      </c>
      <c r="K21" s="2940" t="s">
        <v>267</v>
      </c>
      <c r="L21" s="2939" t="s">
        <v>268</v>
      </c>
      <c r="M21" s="2939" t="s">
        <v>269</v>
      </c>
      <c r="N21" s="2939" t="s">
        <v>270</v>
      </c>
      <c r="O21" s="2939" t="s">
        <v>264</v>
      </c>
      <c r="P21" s="2939" t="s">
        <v>283</v>
      </c>
      <c r="Q21" s="2939" t="s">
        <v>293</v>
      </c>
      <c r="R21" s="2939" t="s">
        <v>2922</v>
      </c>
      <c r="S21" s="2946" t="s">
        <v>2923</v>
      </c>
    </row>
    <row r="22" spans="1:19" ht="14.25" customHeight="1">
      <c r="A22" s="2939" t="s">
        <v>184</v>
      </c>
      <c r="B22" s="2940" t="s">
        <v>2903</v>
      </c>
      <c r="C22" s="2939">
        <v>29830</v>
      </c>
      <c r="D22" s="2939">
        <v>27600</v>
      </c>
      <c r="E22" s="2939">
        <v>28150</v>
      </c>
      <c r="F22" s="2939"/>
      <c r="G22" s="2939">
        <v>20080</v>
      </c>
      <c r="K22" s="2940" t="s">
        <v>2924</v>
      </c>
      <c r="L22" s="2939" t="s">
        <v>272</v>
      </c>
      <c r="M22" s="2939" t="s">
        <v>273</v>
      </c>
      <c r="N22" s="2939" t="s">
        <v>274</v>
      </c>
      <c r="O22" s="2939" t="s">
        <v>2925</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2926</v>
      </c>
      <c r="L23" s="2939" t="s">
        <v>278</v>
      </c>
      <c r="M23" s="2939" t="s">
        <v>279</v>
      </c>
      <c r="N23" s="2939" t="s">
        <v>2927</v>
      </c>
      <c r="O23" s="2939" t="s">
        <v>2928</v>
      </c>
      <c r="P23" s="2939" t="s">
        <v>289</v>
      </c>
      <c r="Q23" s="2939" t="s">
        <v>298</v>
      </c>
      <c r="R23" s="2939" t="s">
        <v>2929</v>
      </c>
    </row>
    <row r="24" spans="1:19" ht="14.25" customHeight="1">
      <c r="A24" s="2939" t="s">
        <v>184</v>
      </c>
      <c r="B24" s="2940" t="s">
        <v>230</v>
      </c>
      <c r="C24" s="2939">
        <v>27930</v>
      </c>
      <c r="D24" s="2939">
        <v>32260</v>
      </c>
      <c r="E24" s="2939">
        <v>32120</v>
      </c>
      <c r="F24" s="2939"/>
      <c r="G24" s="2939">
        <v>23470</v>
      </c>
      <c r="K24" s="2940" t="s">
        <v>2930</v>
      </c>
      <c r="L24" s="2939" t="s">
        <v>281</v>
      </c>
      <c r="M24" s="2939" t="s">
        <v>282</v>
      </c>
      <c r="N24" s="2939" t="s">
        <v>2931</v>
      </c>
      <c r="O24" s="2939" t="s">
        <v>285</v>
      </c>
      <c r="P24" s="2939" t="s">
        <v>2932</v>
      </c>
      <c r="Q24" s="2948" t="s">
        <v>2933</v>
      </c>
      <c r="R24" s="2939" t="s">
        <v>2934</v>
      </c>
    </row>
    <row r="25" spans="1:19" ht="14.25" customHeight="1">
      <c r="A25" s="2939" t="s">
        <v>184</v>
      </c>
      <c r="B25" s="2940" t="s">
        <v>235</v>
      </c>
      <c r="C25" s="2939">
        <v>32230</v>
      </c>
      <c r="D25" s="2939">
        <v>29640</v>
      </c>
      <c r="E25" s="2939">
        <v>29510</v>
      </c>
      <c r="F25" s="2939"/>
      <c r="G25" s="2939">
        <v>21560</v>
      </c>
      <c r="K25" s="2940" t="s">
        <v>2935</v>
      </c>
      <c r="L25" s="2939" t="s">
        <v>2936</v>
      </c>
      <c r="M25" s="2939" t="s">
        <v>284</v>
      </c>
      <c r="N25" s="2939" t="s">
        <v>292</v>
      </c>
      <c r="O25" s="2939" t="s">
        <v>288</v>
      </c>
      <c r="P25" s="2939" t="s">
        <v>275</v>
      </c>
      <c r="Q25" s="2948" t="s">
        <v>271</v>
      </c>
      <c r="R25" s="2939" t="s">
        <v>2937</v>
      </c>
    </row>
    <row r="26" spans="1:19" ht="14.25" customHeight="1" thickBot="1">
      <c r="A26" s="2939" t="s">
        <v>184</v>
      </c>
      <c r="B26" s="2940" t="s">
        <v>244</v>
      </c>
      <c r="C26" s="2939">
        <v>31690</v>
      </c>
      <c r="D26" s="2939">
        <v>27650</v>
      </c>
      <c r="E26" s="2939">
        <v>28200</v>
      </c>
      <c r="F26" s="2939"/>
      <c r="G26" s="2939">
        <v>20110</v>
      </c>
      <c r="K26" s="2945" t="s">
        <v>2938</v>
      </c>
      <c r="L26" s="2939" t="s">
        <v>2939</v>
      </c>
      <c r="M26" s="2939" t="s">
        <v>287</v>
      </c>
      <c r="N26" s="2939" t="s">
        <v>294</v>
      </c>
      <c r="O26" s="2939" t="s">
        <v>2940</v>
      </c>
      <c r="P26" s="2939" t="s">
        <v>2941</v>
      </c>
      <c r="Q26" s="2948" t="s">
        <v>276</v>
      </c>
      <c r="R26" s="2939" t="s">
        <v>2942</v>
      </c>
    </row>
    <row r="27" spans="1:19" ht="14.25" customHeight="1">
      <c r="A27" s="2939" t="s">
        <v>184</v>
      </c>
      <c r="B27" s="2940" t="s">
        <v>251</v>
      </c>
      <c r="C27" s="2939">
        <v>29610</v>
      </c>
      <c r="D27" s="2939">
        <v>27770</v>
      </c>
      <c r="E27" s="2939">
        <v>28300</v>
      </c>
      <c r="F27" s="2939"/>
      <c r="G27" s="2939">
        <v>20210</v>
      </c>
      <c r="L27" s="2939" t="s">
        <v>2943</v>
      </c>
      <c r="M27" s="2939" t="s">
        <v>291</v>
      </c>
      <c r="N27" s="2939" t="s">
        <v>297</v>
      </c>
      <c r="O27" s="2939" t="s">
        <v>2944</v>
      </c>
      <c r="P27" s="2939" t="s">
        <v>2945</v>
      </c>
      <c r="Q27" s="2939" t="s">
        <v>2946</v>
      </c>
      <c r="R27" s="2939" t="s">
        <v>2947</v>
      </c>
    </row>
    <row r="28" spans="1:19" ht="14.25" customHeight="1">
      <c r="A28" s="2939" t="s">
        <v>184</v>
      </c>
      <c r="B28" s="2940" t="s">
        <v>259</v>
      </c>
      <c r="C28" s="2939"/>
      <c r="D28" s="2939">
        <v>31520</v>
      </c>
      <c r="E28" s="2939">
        <v>31410</v>
      </c>
      <c r="F28" s="2939"/>
      <c r="G28" s="2939">
        <v>22940</v>
      </c>
      <c r="L28" s="2939" t="s">
        <v>2948</v>
      </c>
      <c r="M28" s="2939" t="s">
        <v>2949</v>
      </c>
      <c r="N28" s="2939" t="s">
        <v>2950</v>
      </c>
      <c r="O28" s="2939" t="s">
        <v>2951</v>
      </c>
      <c r="P28" s="2939" t="s">
        <v>2952</v>
      </c>
      <c r="Q28" s="2939" t="s">
        <v>2953</v>
      </c>
      <c r="R28" s="2939" t="s">
        <v>2954</v>
      </c>
    </row>
    <row r="29" spans="1:19" ht="14.25" customHeight="1" thickBot="1">
      <c r="A29" s="2947" t="s">
        <v>184</v>
      </c>
      <c r="B29" s="2949" t="s">
        <v>2921</v>
      </c>
      <c r="C29" s="2950"/>
      <c r="D29" s="2950">
        <v>29460</v>
      </c>
      <c r="E29" s="2950">
        <v>28640</v>
      </c>
      <c r="F29" s="2950"/>
      <c r="G29" s="2950">
        <v>21430</v>
      </c>
      <c r="L29" s="2939" t="s">
        <v>2955</v>
      </c>
      <c r="M29" s="2939" t="s">
        <v>2956</v>
      </c>
      <c r="N29" s="2939" t="s">
        <v>2957</v>
      </c>
      <c r="O29" s="2939" t="s">
        <v>2958</v>
      </c>
      <c r="P29" s="2939" t="s">
        <v>2959</v>
      </c>
      <c r="Q29" s="2939" t="s">
        <v>2960</v>
      </c>
      <c r="R29" s="2939" t="s">
        <v>280</v>
      </c>
    </row>
    <row r="30" spans="1:19" ht="14.25" customHeight="1">
      <c r="A30" s="2944" t="s">
        <v>296</v>
      </c>
      <c r="B30" s="2935" t="s">
        <v>2854</v>
      </c>
      <c r="C30" s="2935">
        <v>26890</v>
      </c>
      <c r="D30" s="2935">
        <v>26770</v>
      </c>
      <c r="E30" s="2935">
        <v>25700</v>
      </c>
      <c r="F30" s="2935">
        <v>8180</v>
      </c>
      <c r="G30" s="2951">
        <v>18740</v>
      </c>
      <c r="L30" s="2939" t="s">
        <v>2961</v>
      </c>
      <c r="M30" s="2939" t="s">
        <v>2962</v>
      </c>
      <c r="N30" s="2939" t="s">
        <v>2963</v>
      </c>
      <c r="O30" s="2939" t="s">
        <v>2964</v>
      </c>
      <c r="P30" s="2939" t="s">
        <v>2965</v>
      </c>
      <c r="Q30" s="2939" t="s">
        <v>2966</v>
      </c>
      <c r="R30" s="2939" t="s">
        <v>2967</v>
      </c>
    </row>
    <row r="31" spans="1:19" ht="14.25" customHeight="1">
      <c r="A31" s="2939" t="s">
        <v>296</v>
      </c>
      <c r="B31" s="2940" t="s">
        <v>129</v>
      </c>
      <c r="C31" s="2939">
        <v>24550</v>
      </c>
      <c r="D31" s="2939">
        <v>23990</v>
      </c>
      <c r="E31" s="2939">
        <v>22930</v>
      </c>
      <c r="F31" s="2939">
        <v>7470</v>
      </c>
      <c r="G31" s="2952">
        <v>16790</v>
      </c>
      <c r="L31" s="2939" t="s">
        <v>2968</v>
      </c>
      <c r="M31" s="2939" t="s">
        <v>2969</v>
      </c>
      <c r="N31" s="2939" t="s">
        <v>2970</v>
      </c>
      <c r="O31" s="2939" t="s">
        <v>2971</v>
      </c>
      <c r="P31" s="2939" t="s">
        <v>2972</v>
      </c>
      <c r="Q31" s="2939" t="s">
        <v>2973</v>
      </c>
      <c r="R31" s="2939" t="s">
        <v>2974</v>
      </c>
    </row>
    <row r="32" spans="1:19" ht="14.25" customHeight="1" thickBot="1">
      <c r="A32" s="2939" t="s">
        <v>296</v>
      </c>
      <c r="B32" s="2940" t="s">
        <v>138</v>
      </c>
      <c r="C32" s="2939">
        <v>27210</v>
      </c>
      <c r="D32" s="2939">
        <v>23240</v>
      </c>
      <c r="E32" s="2939">
        <v>23260</v>
      </c>
      <c r="F32" s="2939">
        <v>7130</v>
      </c>
      <c r="G32" s="2952">
        <v>16270</v>
      </c>
      <c r="L32" s="2939" t="s">
        <v>2975</v>
      </c>
      <c r="M32" s="2939" t="s">
        <v>2976</v>
      </c>
      <c r="N32" s="2939" t="s">
        <v>300</v>
      </c>
      <c r="O32" s="2939" t="s">
        <v>2977</v>
      </c>
      <c r="P32" s="2939" t="s">
        <v>299</v>
      </c>
      <c r="Q32" s="2939" t="s">
        <v>2978</v>
      </c>
      <c r="R32" s="2946" t="s">
        <v>2979</v>
      </c>
    </row>
    <row r="33" spans="1:17" ht="14.25" customHeight="1" thickBot="1">
      <c r="A33" s="2939" t="s">
        <v>296</v>
      </c>
      <c r="B33" s="2940" t="s">
        <v>147</v>
      </c>
      <c r="C33" s="2939">
        <v>27300</v>
      </c>
      <c r="D33" s="2939">
        <v>22980</v>
      </c>
      <c r="E33" s="2939">
        <v>24260</v>
      </c>
      <c r="F33" s="2939">
        <v>5860</v>
      </c>
      <c r="G33" s="2952">
        <v>16090</v>
      </c>
      <c r="L33" s="2946" t="s">
        <v>2980</v>
      </c>
      <c r="M33" s="2939" t="s">
        <v>2981</v>
      </c>
      <c r="N33" s="2939" t="s">
        <v>301</v>
      </c>
      <c r="O33" s="2939" t="s">
        <v>2982</v>
      </c>
      <c r="P33" s="2939" t="s">
        <v>2983</v>
      </c>
      <c r="Q33" s="2939" t="s">
        <v>2984</v>
      </c>
    </row>
    <row r="34" spans="1:17" ht="14.25" customHeight="1">
      <c r="A34" s="2939" t="s">
        <v>296</v>
      </c>
      <c r="B34" s="2940" t="s">
        <v>156</v>
      </c>
      <c r="C34" s="2939">
        <v>23090</v>
      </c>
      <c r="D34" s="2939">
        <v>23390</v>
      </c>
      <c r="E34" s="2939">
        <v>23510</v>
      </c>
      <c r="F34" s="2939">
        <v>6700</v>
      </c>
      <c r="G34" s="2952">
        <v>16370</v>
      </c>
      <c r="M34" s="2939" t="s">
        <v>2985</v>
      </c>
      <c r="N34" s="2939" t="s">
        <v>302</v>
      </c>
      <c r="O34" s="2939" t="s">
        <v>2986</v>
      </c>
      <c r="P34" s="2939" t="s">
        <v>2987</v>
      </c>
      <c r="Q34" s="2939" t="s">
        <v>2988</v>
      </c>
    </row>
    <row r="35" spans="1:17" ht="14.25" customHeight="1">
      <c r="A35" s="2939" t="s">
        <v>296</v>
      </c>
      <c r="B35" s="2940" t="s">
        <v>163</v>
      </c>
      <c r="C35" s="2939">
        <v>27270</v>
      </c>
      <c r="D35" s="2939">
        <v>24270</v>
      </c>
      <c r="E35" s="2939">
        <v>24950</v>
      </c>
      <c r="F35" s="2939">
        <v>6600</v>
      </c>
      <c r="G35" s="2952">
        <v>16990</v>
      </c>
      <c r="M35" s="2939" t="s">
        <v>2989</v>
      </c>
      <c r="N35" s="2939" t="s">
        <v>2990</v>
      </c>
      <c r="O35" s="2939" t="s">
        <v>2991</v>
      </c>
      <c r="P35" s="2939" t="s">
        <v>2992</v>
      </c>
      <c r="Q35" s="2939" t="s">
        <v>2993</v>
      </c>
    </row>
    <row r="36" spans="1:17" ht="14.25" customHeight="1">
      <c r="A36" s="2939" t="s">
        <v>296</v>
      </c>
      <c r="B36" s="2940" t="s">
        <v>169</v>
      </c>
      <c r="C36" s="2939">
        <v>23490</v>
      </c>
      <c r="D36" s="2939">
        <v>23020</v>
      </c>
      <c r="E36" s="2939">
        <v>25230</v>
      </c>
      <c r="F36" s="2939">
        <v>6780</v>
      </c>
      <c r="G36" s="2952">
        <v>16120</v>
      </c>
      <c r="M36" s="2939" t="s">
        <v>2994</v>
      </c>
      <c r="N36" s="2939" t="s">
        <v>2995</v>
      </c>
      <c r="O36" s="2939" t="s">
        <v>2996</v>
      </c>
      <c r="P36" s="2939" t="s">
        <v>2997</v>
      </c>
      <c r="Q36" s="2939" t="s">
        <v>2998</v>
      </c>
    </row>
    <row r="37" spans="1:17" ht="14.25" customHeight="1">
      <c r="A37" s="2939" t="s">
        <v>296</v>
      </c>
      <c r="B37" s="2940" t="s">
        <v>176</v>
      </c>
      <c r="C37" s="2939">
        <v>24380</v>
      </c>
      <c r="D37" s="2939">
        <v>22240</v>
      </c>
      <c r="E37" s="2939">
        <v>25980</v>
      </c>
      <c r="F37" s="2939">
        <v>8160</v>
      </c>
      <c r="G37" s="2952">
        <v>15570</v>
      </c>
      <c r="M37" s="2939" t="s">
        <v>2999</v>
      </c>
      <c r="N37" s="2939" t="s">
        <v>3000</v>
      </c>
      <c r="O37" s="2939" t="s">
        <v>3001</v>
      </c>
      <c r="P37" s="2939" t="s">
        <v>3002</v>
      </c>
      <c r="Q37" s="2939" t="s">
        <v>3003</v>
      </c>
    </row>
    <row r="38" spans="1:17" ht="14.25" customHeight="1">
      <c r="A38" s="2939" t="s">
        <v>296</v>
      </c>
      <c r="B38" s="2940" t="s">
        <v>186</v>
      </c>
      <c r="C38" s="2939">
        <v>23120</v>
      </c>
      <c r="D38" s="2939">
        <v>24630</v>
      </c>
      <c r="E38" s="2939">
        <v>25030</v>
      </c>
      <c r="F38" s="2939">
        <v>7710</v>
      </c>
      <c r="G38" s="2952">
        <v>17240</v>
      </c>
      <c r="M38" s="2939" t="s">
        <v>3004</v>
      </c>
      <c r="N38" s="2939" t="s">
        <v>3005</v>
      </c>
      <c r="O38" s="2939" t="s">
        <v>3006</v>
      </c>
      <c r="P38" s="2939" t="s">
        <v>3007</v>
      </c>
      <c r="Q38" s="2939" t="s">
        <v>3008</v>
      </c>
    </row>
    <row r="39" spans="1:17" ht="14.25" customHeight="1">
      <c r="A39" s="2939" t="s">
        <v>296</v>
      </c>
      <c r="B39" s="2940" t="s">
        <v>195</v>
      </c>
      <c r="C39" s="2939">
        <v>22330</v>
      </c>
      <c r="D39" s="2939">
        <v>21140</v>
      </c>
      <c r="E39" s="2939">
        <v>23970</v>
      </c>
      <c r="F39" s="2939">
        <v>7940</v>
      </c>
      <c r="G39" s="2952">
        <v>14790</v>
      </c>
      <c r="M39" s="2939" t="s">
        <v>3009</v>
      </c>
      <c r="N39" s="2939" t="s">
        <v>3010</v>
      </c>
      <c r="O39" s="2939" t="s">
        <v>3011</v>
      </c>
      <c r="P39" s="2939" t="s">
        <v>3012</v>
      </c>
      <c r="Q39" s="2939" t="s">
        <v>3013</v>
      </c>
    </row>
    <row r="40" spans="1:17" ht="14.25" customHeight="1">
      <c r="A40" s="2939" t="s">
        <v>296</v>
      </c>
      <c r="B40" s="2940" t="s">
        <v>202</v>
      </c>
      <c r="C40" s="2939">
        <v>24740</v>
      </c>
      <c r="D40" s="2939">
        <v>24690</v>
      </c>
      <c r="E40" s="2939">
        <v>22610</v>
      </c>
      <c r="F40" s="2939"/>
      <c r="G40" s="2952">
        <v>17280</v>
      </c>
      <c r="M40" s="2939" t="s">
        <v>3014</v>
      </c>
      <c r="N40" s="2939" t="s">
        <v>3015</v>
      </c>
      <c r="O40" s="2939" t="s">
        <v>3016</v>
      </c>
      <c r="P40" s="2939" t="s">
        <v>3017</v>
      </c>
      <c r="Q40" s="2939" t="s">
        <v>3018</v>
      </c>
    </row>
    <row r="41" spans="1:17" ht="14.25" customHeight="1" thickBot="1">
      <c r="A41" s="2939" t="s">
        <v>296</v>
      </c>
      <c r="B41" s="2940" t="s">
        <v>209</v>
      </c>
      <c r="C41" s="2939">
        <v>21220</v>
      </c>
      <c r="D41" s="2939">
        <v>21120</v>
      </c>
      <c r="E41" s="2939">
        <v>22590</v>
      </c>
      <c r="F41" s="2939"/>
      <c r="G41" s="2952">
        <v>14780</v>
      </c>
      <c r="M41" s="2946" t="s">
        <v>3019</v>
      </c>
      <c r="N41" s="2939" t="s">
        <v>3020</v>
      </c>
      <c r="O41" s="2939" t="s">
        <v>3021</v>
      </c>
      <c r="P41" s="2939" t="s">
        <v>3022</v>
      </c>
      <c r="Q41" s="2939" t="s">
        <v>3023</v>
      </c>
    </row>
    <row r="42" spans="1:17" ht="14.25" customHeight="1">
      <c r="A42" s="2939" t="s">
        <v>296</v>
      </c>
      <c r="B42" s="2940" t="s">
        <v>215</v>
      </c>
      <c r="C42" s="2939">
        <v>24800</v>
      </c>
      <c r="D42" s="2939">
        <v>22280</v>
      </c>
      <c r="E42" s="2939">
        <v>24350</v>
      </c>
      <c r="F42" s="2939"/>
      <c r="G42" s="2952">
        <v>15590</v>
      </c>
      <c r="N42" s="2939" t="s">
        <v>3024</v>
      </c>
      <c r="O42" s="2939" t="s">
        <v>3025</v>
      </c>
      <c r="P42" s="2939" t="s">
        <v>3026</v>
      </c>
      <c r="Q42" s="2939" t="s">
        <v>3027</v>
      </c>
    </row>
    <row r="43" spans="1:17" ht="14.25" customHeight="1">
      <c r="A43" s="2939" t="s">
        <v>3028</v>
      </c>
      <c r="B43" s="2940" t="s">
        <v>223</v>
      </c>
      <c r="C43" s="2939">
        <v>21210</v>
      </c>
      <c r="D43" s="2939">
        <v>21160</v>
      </c>
      <c r="E43" s="2939">
        <v>22650</v>
      </c>
      <c r="F43" s="2939"/>
      <c r="G43" s="2952">
        <v>14800</v>
      </c>
      <c r="N43" s="2939" t="s">
        <v>3029</v>
      </c>
      <c r="O43" s="2939" t="s">
        <v>3030</v>
      </c>
      <c r="P43" s="2939" t="s">
        <v>3031</v>
      </c>
      <c r="Q43" s="2939" t="s">
        <v>3032</v>
      </c>
    </row>
    <row r="44" spans="1:17" ht="14.25" customHeight="1" thickBot="1">
      <c r="A44" s="2939" t="s">
        <v>296</v>
      </c>
      <c r="B44" s="2940" t="s">
        <v>231</v>
      </c>
      <c r="C44" s="2939">
        <v>22370</v>
      </c>
      <c r="D44" s="2939">
        <v>23140</v>
      </c>
      <c r="E44" s="2939">
        <v>25090</v>
      </c>
      <c r="F44" s="2939"/>
      <c r="G44" s="2952">
        <v>16190</v>
      </c>
      <c r="N44" s="2939" t="s">
        <v>3033</v>
      </c>
      <c r="O44" s="2939" t="s">
        <v>3034</v>
      </c>
      <c r="P44" s="2946" t="s">
        <v>3035</v>
      </c>
      <c r="Q44" s="2939" t="s">
        <v>3036</v>
      </c>
    </row>
    <row r="45" spans="1:17" ht="14.25" customHeight="1" thickBot="1">
      <c r="A45" s="2939" t="s">
        <v>296</v>
      </c>
      <c r="B45" s="2940" t="s">
        <v>236</v>
      </c>
      <c r="C45" s="2939">
        <v>21240</v>
      </c>
      <c r="D45" s="2939">
        <v>27050</v>
      </c>
      <c r="E45" s="2939">
        <v>28000</v>
      </c>
      <c r="F45" s="2939"/>
      <c r="G45" s="2952">
        <v>18940</v>
      </c>
      <c r="N45" s="2939" t="s">
        <v>3037</v>
      </c>
      <c r="O45" s="2946" t="s">
        <v>3038</v>
      </c>
      <c r="Q45" s="2939" t="s">
        <v>3039</v>
      </c>
    </row>
    <row r="46" spans="1:17" ht="14.25" customHeight="1">
      <c r="A46" s="2939" t="s">
        <v>296</v>
      </c>
      <c r="B46" s="2940" t="s">
        <v>245</v>
      </c>
      <c r="C46" s="2939">
        <v>23240</v>
      </c>
      <c r="D46" s="2939">
        <v>23000</v>
      </c>
      <c r="E46" s="2939">
        <v>24980</v>
      </c>
      <c r="F46" s="2939"/>
      <c r="G46" s="2952">
        <v>16100</v>
      </c>
      <c r="N46" s="2939" t="s">
        <v>3040</v>
      </c>
      <c r="Q46" s="2939" t="s">
        <v>3041</v>
      </c>
    </row>
    <row r="47" spans="1:17" ht="14.25" customHeight="1">
      <c r="A47" s="2939" t="s">
        <v>296</v>
      </c>
      <c r="B47" s="2940" t="s">
        <v>252</v>
      </c>
      <c r="C47" s="2939">
        <v>27150</v>
      </c>
      <c r="D47" s="2939">
        <v>23310</v>
      </c>
      <c r="E47" s="2939">
        <v>25150</v>
      </c>
      <c r="F47" s="2939"/>
      <c r="G47" s="2952">
        <v>16310</v>
      </c>
      <c r="N47" s="2939" t="s">
        <v>3042</v>
      </c>
      <c r="Q47" s="2939" t="s">
        <v>3043</v>
      </c>
    </row>
    <row r="48" spans="1:17" ht="14.25" customHeight="1">
      <c r="A48" s="2939" t="s">
        <v>296</v>
      </c>
      <c r="B48" s="2940" t="s">
        <v>260</v>
      </c>
      <c r="C48" s="2939">
        <v>23100</v>
      </c>
      <c r="D48" s="2939">
        <v>21110</v>
      </c>
      <c r="E48" s="2939">
        <v>23080</v>
      </c>
      <c r="F48" s="2939"/>
      <c r="G48" s="2952">
        <v>14780</v>
      </c>
      <c r="N48" s="2939" t="s">
        <v>3044</v>
      </c>
      <c r="Q48" s="2939" t="s">
        <v>3045</v>
      </c>
    </row>
    <row r="49" spans="1:17" ht="14.25" customHeight="1">
      <c r="A49" s="2939" t="s">
        <v>296</v>
      </c>
      <c r="B49" s="2940" t="s">
        <v>267</v>
      </c>
      <c r="C49" s="2939">
        <v>23400</v>
      </c>
      <c r="D49" s="2939">
        <v>22920</v>
      </c>
      <c r="E49" s="2939">
        <v>24900</v>
      </c>
      <c r="F49" s="2939"/>
      <c r="G49" s="2952">
        <v>16040</v>
      </c>
      <c r="N49" s="2939" t="s">
        <v>3046</v>
      </c>
      <c r="Q49" s="2939" t="s">
        <v>3047</v>
      </c>
    </row>
    <row r="50" spans="1:17" ht="14.25" customHeight="1">
      <c r="A50" s="2939" t="s">
        <v>296</v>
      </c>
      <c r="B50" s="2940" t="s">
        <v>2924</v>
      </c>
      <c r="C50" s="2939">
        <v>21200</v>
      </c>
      <c r="D50" s="2939">
        <v>26540</v>
      </c>
      <c r="E50" s="2939">
        <v>23200</v>
      </c>
      <c r="F50" s="2939"/>
      <c r="G50" s="2952">
        <v>18580</v>
      </c>
      <c r="N50" s="2939" t="s">
        <v>3048</v>
      </c>
      <c r="Q50" s="2940" t="s">
        <v>3049</v>
      </c>
    </row>
    <row r="51" spans="1:17" ht="14.25" customHeight="1" thickBot="1">
      <c r="A51" s="2939" t="s">
        <v>296</v>
      </c>
      <c r="B51" s="2940" t="s">
        <v>2926</v>
      </c>
      <c r="C51" s="2939">
        <v>23000</v>
      </c>
      <c r="D51" s="2939">
        <v>23460</v>
      </c>
      <c r="E51" s="2939">
        <v>25290</v>
      </c>
      <c r="F51" s="2939"/>
      <c r="G51" s="2952">
        <v>16420</v>
      </c>
      <c r="N51" s="2939" t="s">
        <v>3050</v>
      </c>
      <c r="Q51" s="2946" t="s">
        <v>3051</v>
      </c>
    </row>
    <row r="52" spans="1:17" ht="14.25" customHeight="1">
      <c r="A52" s="2939" t="s">
        <v>296</v>
      </c>
      <c r="B52" s="2940" t="s">
        <v>2930</v>
      </c>
      <c r="C52" s="2939">
        <v>26660</v>
      </c>
      <c r="D52" s="2939">
        <v>22350</v>
      </c>
      <c r="E52" s="2939">
        <v>22920</v>
      </c>
      <c r="F52" s="2939"/>
      <c r="G52" s="2952">
        <v>15640</v>
      </c>
      <c r="N52" s="2939" t="s">
        <v>3052</v>
      </c>
    </row>
    <row r="53" spans="1:17" ht="14.25" customHeight="1">
      <c r="A53" s="2939" t="s">
        <v>296</v>
      </c>
      <c r="B53" s="2940" t="s">
        <v>2935</v>
      </c>
      <c r="C53" s="2939">
        <v>23580</v>
      </c>
      <c r="D53" s="2939"/>
      <c r="E53" s="2939">
        <v>24280</v>
      </c>
      <c r="F53" s="2939"/>
      <c r="G53" s="2952"/>
      <c r="N53" s="2939" t="s">
        <v>3053</v>
      </c>
    </row>
    <row r="54" spans="1:17" ht="14.25" customHeight="1" thickBot="1">
      <c r="A54" s="2953" t="s">
        <v>296</v>
      </c>
      <c r="B54" s="2945" t="s">
        <v>2938</v>
      </c>
      <c r="C54" s="2946">
        <v>22460</v>
      </c>
      <c r="D54" s="2946"/>
      <c r="E54" s="2946"/>
      <c r="F54" s="2946"/>
      <c r="G54" s="2954"/>
      <c r="N54" s="2939" t="s">
        <v>3054</v>
      </c>
    </row>
    <row r="55" spans="1:17" ht="14.25" customHeight="1">
      <c r="A55" s="2944" t="s">
        <v>110</v>
      </c>
      <c r="B55" s="2935" t="s">
        <v>3055</v>
      </c>
      <c r="C55" s="2939">
        <v>21970</v>
      </c>
      <c r="D55" s="2939">
        <v>20370</v>
      </c>
      <c r="E55" s="2939">
        <v>20180</v>
      </c>
      <c r="F55" s="2939">
        <v>5730</v>
      </c>
      <c r="G55" s="2939">
        <v>13820</v>
      </c>
      <c r="N55" s="2939" t="s">
        <v>3056</v>
      </c>
    </row>
    <row r="56" spans="1:17" ht="14.25" customHeight="1">
      <c r="A56" s="2939" t="s">
        <v>110</v>
      </c>
      <c r="B56" s="2939" t="s">
        <v>130</v>
      </c>
      <c r="C56" s="2939">
        <v>20470</v>
      </c>
      <c r="D56" s="2939">
        <v>20700</v>
      </c>
      <c r="E56" s="2939">
        <v>20380</v>
      </c>
      <c r="F56" s="2939">
        <v>4760</v>
      </c>
      <c r="G56" s="2939">
        <v>14050</v>
      </c>
      <c r="N56" s="2939" t="s">
        <v>3057</v>
      </c>
    </row>
    <row r="57" spans="1:17" ht="14.25" customHeight="1">
      <c r="A57" s="2939" t="s">
        <v>110</v>
      </c>
      <c r="B57" s="2939" t="s">
        <v>139</v>
      </c>
      <c r="C57" s="2939">
        <v>20790</v>
      </c>
      <c r="D57" s="2939">
        <v>21370</v>
      </c>
      <c r="E57" s="2939">
        <v>20890</v>
      </c>
      <c r="F57" s="2939">
        <v>4910</v>
      </c>
      <c r="G57" s="2939">
        <v>14510</v>
      </c>
      <c r="N57" s="2939" t="s">
        <v>3058</v>
      </c>
    </row>
    <row r="58" spans="1:17" ht="14.25" customHeight="1">
      <c r="A58" s="2939" t="s">
        <v>110</v>
      </c>
      <c r="B58" s="2939" t="s">
        <v>148</v>
      </c>
      <c r="C58" s="2939">
        <v>21460</v>
      </c>
      <c r="D58" s="2939">
        <v>20920</v>
      </c>
      <c r="E58" s="2939">
        <v>23410</v>
      </c>
      <c r="F58" s="2939">
        <v>5100</v>
      </c>
      <c r="G58" s="2939">
        <v>14200</v>
      </c>
      <c r="N58" s="2939" t="s">
        <v>3059</v>
      </c>
    </row>
    <row r="59" spans="1:17" ht="14.25" customHeight="1">
      <c r="A59" s="2939" t="s">
        <v>110</v>
      </c>
      <c r="B59" s="2939" t="s">
        <v>157</v>
      </c>
      <c r="C59" s="2939">
        <v>21000</v>
      </c>
      <c r="D59" s="2939">
        <v>21550</v>
      </c>
      <c r="E59" s="2939">
        <v>21150</v>
      </c>
      <c r="F59" s="2939">
        <v>5250</v>
      </c>
      <c r="G59" s="2939">
        <v>14630</v>
      </c>
      <c r="N59" s="2939" t="s">
        <v>3060</v>
      </c>
    </row>
    <row r="60" spans="1:17" ht="14.25" customHeight="1">
      <c r="A60" s="2939" t="s">
        <v>110</v>
      </c>
      <c r="B60" s="2939" t="s">
        <v>164</v>
      </c>
      <c r="C60" s="2939">
        <v>21640</v>
      </c>
      <c r="D60" s="2939">
        <v>21260</v>
      </c>
      <c r="E60" s="2939">
        <v>24040</v>
      </c>
      <c r="F60" s="2939">
        <v>4470</v>
      </c>
      <c r="G60" s="2939">
        <v>14430</v>
      </c>
      <c r="N60" s="2939" t="s">
        <v>3061</v>
      </c>
    </row>
    <row r="61" spans="1:17" ht="14.25" customHeight="1">
      <c r="A61" s="2939" t="s">
        <v>110</v>
      </c>
      <c r="B61" s="2939" t="s">
        <v>170</v>
      </c>
      <c r="C61" s="2939">
        <v>21330</v>
      </c>
      <c r="D61" s="2939">
        <v>18640</v>
      </c>
      <c r="E61" s="2939">
        <v>21190</v>
      </c>
      <c r="F61" s="2939">
        <v>4180</v>
      </c>
      <c r="G61" s="2939">
        <v>12650</v>
      </c>
      <c r="N61" s="2939" t="s">
        <v>3062</v>
      </c>
    </row>
    <row r="62" spans="1:17" ht="14.25" customHeight="1">
      <c r="A62" s="2939" t="s">
        <v>110</v>
      </c>
      <c r="B62" s="2939" t="s">
        <v>177</v>
      </c>
      <c r="C62" s="2939">
        <v>18710</v>
      </c>
      <c r="D62" s="2939">
        <v>19400</v>
      </c>
      <c r="E62" s="2939">
        <v>23750</v>
      </c>
      <c r="F62" s="2939">
        <v>4860</v>
      </c>
      <c r="G62" s="2939">
        <v>13170</v>
      </c>
      <c r="N62" s="2939" t="s">
        <v>3063</v>
      </c>
    </row>
    <row r="63" spans="1:17" ht="14.25" customHeight="1">
      <c r="A63" s="2939" t="s">
        <v>110</v>
      </c>
      <c r="B63" s="2939" t="s">
        <v>187</v>
      </c>
      <c r="C63" s="2939">
        <v>19480</v>
      </c>
      <c r="D63" s="2939">
        <v>16830</v>
      </c>
      <c r="E63" s="2939">
        <v>21590</v>
      </c>
      <c r="F63" s="2939">
        <v>4560</v>
      </c>
      <c r="G63" s="2939">
        <v>11420</v>
      </c>
      <c r="N63" s="2939" t="s">
        <v>3064</v>
      </c>
    </row>
    <row r="64" spans="1:17" ht="14.25" customHeight="1" thickBot="1">
      <c r="A64" s="2939" t="s">
        <v>110</v>
      </c>
      <c r="B64" s="2939" t="s">
        <v>196</v>
      </c>
      <c r="C64" s="2939">
        <v>16920</v>
      </c>
      <c r="D64" s="2939">
        <v>19190</v>
      </c>
      <c r="E64" s="2939">
        <v>22200</v>
      </c>
      <c r="F64" s="2939">
        <v>4390</v>
      </c>
      <c r="G64" s="2939">
        <v>13030</v>
      </c>
      <c r="N64" s="2946" t="s">
        <v>3065</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2936</v>
      </c>
      <c r="C78" s="2939">
        <v>19820</v>
      </c>
      <c r="D78" s="2939">
        <v>19780</v>
      </c>
      <c r="E78" s="2939">
        <v>18560</v>
      </c>
      <c r="F78" s="2939"/>
      <c r="G78" s="2939">
        <v>13430</v>
      </c>
    </row>
    <row r="79" spans="1:7" s="2773" customFormat="1" ht="14.25" customHeight="1">
      <c r="A79" s="2939" t="s">
        <v>110</v>
      </c>
      <c r="B79" s="2939" t="s">
        <v>2939</v>
      </c>
      <c r="C79" s="2939">
        <v>21660</v>
      </c>
      <c r="D79" s="2939">
        <v>18000</v>
      </c>
      <c r="E79" s="2939">
        <v>22570</v>
      </c>
      <c r="F79" s="2939"/>
      <c r="G79" s="2939">
        <v>12220</v>
      </c>
    </row>
    <row r="80" spans="1:7" s="2773" customFormat="1" ht="14.25" customHeight="1">
      <c r="A80" s="2939" t="s">
        <v>110</v>
      </c>
      <c r="B80" s="2939" t="s">
        <v>2943</v>
      </c>
      <c r="C80" s="2939">
        <v>19850</v>
      </c>
      <c r="D80" s="2939"/>
      <c r="E80" s="2939">
        <v>21700</v>
      </c>
      <c r="F80" s="2939"/>
      <c r="G80" s="2939"/>
    </row>
    <row r="81" spans="1:7" s="2773" customFormat="1" ht="14.25" customHeight="1">
      <c r="A81" s="2939" t="s">
        <v>110</v>
      </c>
      <c r="B81" s="2939" t="s">
        <v>2948</v>
      </c>
      <c r="C81" s="2939">
        <v>18080</v>
      </c>
      <c r="D81" s="2939"/>
      <c r="E81" s="2939">
        <v>20900</v>
      </c>
      <c r="F81" s="2939"/>
      <c r="G81" s="2939"/>
    </row>
    <row r="82" spans="1:7" s="2773" customFormat="1" ht="14.25" customHeight="1">
      <c r="A82" s="2939" t="s">
        <v>110</v>
      </c>
      <c r="B82" s="2939" t="s">
        <v>2955</v>
      </c>
      <c r="C82" s="2939"/>
      <c r="D82" s="2939"/>
      <c r="E82" s="2939">
        <v>20840</v>
      </c>
      <c r="F82" s="2939"/>
      <c r="G82" s="2939"/>
    </row>
    <row r="83" spans="1:7" s="2773" customFormat="1" ht="14.25" customHeight="1">
      <c r="A83" s="2939" t="s">
        <v>110</v>
      </c>
      <c r="B83" s="2939" t="s">
        <v>3066</v>
      </c>
      <c r="C83" s="2939"/>
      <c r="D83" s="2939"/>
      <c r="E83" s="2939"/>
      <c r="F83" s="2939">
        <v>4770</v>
      </c>
      <c r="G83" s="2939"/>
    </row>
    <row r="84" spans="1:7" s="2773" customFormat="1" ht="14.25" customHeight="1">
      <c r="A84" s="2939" t="s">
        <v>110</v>
      </c>
      <c r="B84" s="2939" t="s">
        <v>3067</v>
      </c>
      <c r="C84" s="2939"/>
      <c r="D84" s="2939"/>
      <c r="E84" s="2939"/>
      <c r="F84" s="2939">
        <v>4600</v>
      </c>
      <c r="G84" s="2939"/>
    </row>
    <row r="85" spans="1:7" s="2773" customFormat="1" ht="14.25" customHeight="1">
      <c r="A85" s="2939" t="s">
        <v>110</v>
      </c>
      <c r="B85" s="2939" t="s">
        <v>3068</v>
      </c>
      <c r="C85" s="2939"/>
      <c r="D85" s="2939"/>
      <c r="E85" s="2939"/>
      <c r="F85" s="2939">
        <v>4680</v>
      </c>
      <c r="G85" s="2939"/>
    </row>
    <row r="86" spans="1:7" s="2773" customFormat="1" ht="14.25" customHeight="1" thickBot="1">
      <c r="A86" s="2947" t="s">
        <v>110</v>
      </c>
      <c r="B86" s="2949" t="s">
        <v>3069</v>
      </c>
      <c r="C86" s="2950">
        <v>16610</v>
      </c>
      <c r="D86" s="2950">
        <v>16540</v>
      </c>
      <c r="E86" s="2950">
        <v>18850</v>
      </c>
      <c r="F86" s="2950"/>
      <c r="G86" s="2950">
        <v>11220</v>
      </c>
    </row>
    <row r="87" spans="1:7" s="2773" customFormat="1" ht="14.25" customHeight="1">
      <c r="A87" s="2944" t="s">
        <v>303</v>
      </c>
      <c r="B87" s="2935" t="s">
        <v>3070</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2949</v>
      </c>
      <c r="C113" s="2939">
        <v>15520</v>
      </c>
      <c r="D113" s="2939">
        <v>15450</v>
      </c>
      <c r="E113" s="2939"/>
      <c r="F113" s="2939"/>
      <c r="G113" s="2952">
        <v>10210</v>
      </c>
    </row>
    <row r="114" spans="1:7" s="2773" customFormat="1" ht="14.25" customHeight="1">
      <c r="A114" s="2939" t="s">
        <v>303</v>
      </c>
      <c r="B114" s="2939" t="s">
        <v>2956</v>
      </c>
      <c r="C114" s="2939">
        <v>13110</v>
      </c>
      <c r="D114" s="2939">
        <v>13050</v>
      </c>
      <c r="E114" s="2939"/>
      <c r="F114" s="2939"/>
      <c r="G114" s="2952">
        <v>8620</v>
      </c>
    </row>
    <row r="115" spans="1:7" s="2773" customFormat="1" ht="14.25" customHeight="1">
      <c r="A115" s="2939" t="s">
        <v>303</v>
      </c>
      <c r="B115" s="2939" t="s">
        <v>2962</v>
      </c>
      <c r="C115" s="2939">
        <v>12460</v>
      </c>
      <c r="D115" s="2939">
        <v>12390</v>
      </c>
      <c r="E115" s="2939"/>
      <c r="F115" s="2939"/>
      <c r="G115" s="2952">
        <v>8190</v>
      </c>
    </row>
    <row r="116" spans="1:7" s="2773" customFormat="1" ht="14.25" customHeight="1">
      <c r="A116" s="2939" t="s">
        <v>303</v>
      </c>
      <c r="B116" s="2939" t="s">
        <v>2969</v>
      </c>
      <c r="C116" s="2939">
        <v>13580</v>
      </c>
      <c r="D116" s="2939">
        <v>13520</v>
      </c>
      <c r="E116" s="2939"/>
      <c r="F116" s="2939"/>
      <c r="G116" s="2952">
        <v>8930</v>
      </c>
    </row>
    <row r="117" spans="1:7" s="2773" customFormat="1" ht="14.25" customHeight="1">
      <c r="A117" s="2939" t="s">
        <v>303</v>
      </c>
      <c r="B117" s="2939" t="s">
        <v>2976</v>
      </c>
      <c r="C117" s="2939">
        <v>17120</v>
      </c>
      <c r="D117" s="2939">
        <v>17040</v>
      </c>
      <c r="E117" s="2939"/>
      <c r="F117" s="2939"/>
      <c r="G117" s="2952">
        <v>11260</v>
      </c>
    </row>
    <row r="118" spans="1:7" s="2773" customFormat="1" ht="14.25" customHeight="1">
      <c r="A118" s="2939" t="s">
        <v>303</v>
      </c>
      <c r="B118" s="2939" t="s">
        <v>2981</v>
      </c>
      <c r="C118" s="2939">
        <v>14860</v>
      </c>
      <c r="D118" s="2939">
        <v>14790</v>
      </c>
      <c r="E118" s="2939"/>
      <c r="F118" s="2939"/>
      <c r="G118" s="2952">
        <v>9780</v>
      </c>
    </row>
    <row r="119" spans="1:7" s="2773" customFormat="1" ht="14.25" customHeight="1">
      <c r="A119" s="2939" t="s">
        <v>303</v>
      </c>
      <c r="B119" s="2939" t="s">
        <v>2985</v>
      </c>
      <c r="C119" s="2939">
        <v>16470</v>
      </c>
      <c r="D119" s="2939">
        <v>16400</v>
      </c>
      <c r="E119" s="2939"/>
      <c r="F119" s="2939"/>
      <c r="G119" s="2952">
        <v>10840</v>
      </c>
    </row>
    <row r="120" spans="1:7" s="2773" customFormat="1" ht="14.25" customHeight="1">
      <c r="A120" s="2939" t="s">
        <v>303</v>
      </c>
      <c r="B120" s="2939" t="s">
        <v>3071</v>
      </c>
      <c r="C120" s="2939"/>
      <c r="D120" s="2939"/>
      <c r="E120" s="2939"/>
      <c r="F120" s="2939">
        <v>4160</v>
      </c>
      <c r="G120" s="2952"/>
    </row>
    <row r="121" spans="1:7" s="2773" customFormat="1" ht="14.25" customHeight="1">
      <c r="A121" s="2939" t="s">
        <v>303</v>
      </c>
      <c r="B121" s="2939" t="s">
        <v>3072</v>
      </c>
      <c r="C121" s="2939"/>
      <c r="D121" s="2939"/>
      <c r="E121" s="2939"/>
      <c r="F121" s="2939">
        <v>3880</v>
      </c>
      <c r="G121" s="2952"/>
    </row>
    <row r="122" spans="1:7" s="2773" customFormat="1" ht="14.25" customHeight="1">
      <c r="A122" s="2939" t="s">
        <v>303</v>
      </c>
      <c r="B122" s="2939" t="s">
        <v>3073</v>
      </c>
      <c r="C122" s="2939">
        <v>13750</v>
      </c>
      <c r="D122" s="2939">
        <v>13680</v>
      </c>
      <c r="E122" s="2939">
        <v>16460</v>
      </c>
      <c r="F122" s="2939">
        <v>2880</v>
      </c>
      <c r="G122" s="2952">
        <v>9040</v>
      </c>
    </row>
    <row r="123" spans="1:7" s="2773" customFormat="1" ht="14.25" customHeight="1">
      <c r="A123" s="2939" t="s">
        <v>303</v>
      </c>
      <c r="B123" s="2939" t="s">
        <v>3004</v>
      </c>
      <c r="C123" s="2939">
        <v>13590</v>
      </c>
      <c r="D123" s="2939">
        <v>13520</v>
      </c>
      <c r="E123" s="2939">
        <v>16290</v>
      </c>
      <c r="F123" s="2939">
        <v>2790</v>
      </c>
      <c r="G123" s="2952">
        <v>8930</v>
      </c>
    </row>
    <row r="124" spans="1:7" s="2773" customFormat="1" ht="14.25" customHeight="1">
      <c r="A124" s="2939" t="s">
        <v>303</v>
      </c>
      <c r="B124" s="2939" t="s">
        <v>3009</v>
      </c>
      <c r="C124" s="2939">
        <v>13400</v>
      </c>
      <c r="D124" s="2939">
        <v>13320</v>
      </c>
      <c r="E124" s="2939">
        <v>16100</v>
      </c>
      <c r="F124" s="2939">
        <v>2320</v>
      </c>
      <c r="G124" s="2952">
        <v>8800</v>
      </c>
    </row>
    <row r="125" spans="1:7" s="2773" customFormat="1" ht="14.25" customHeight="1">
      <c r="A125" s="2939" t="s">
        <v>303</v>
      </c>
      <c r="B125" s="2939" t="s">
        <v>3014</v>
      </c>
      <c r="C125" s="2939">
        <v>12860</v>
      </c>
      <c r="D125" s="2939">
        <v>12790</v>
      </c>
      <c r="E125" s="2939">
        <v>15370</v>
      </c>
      <c r="F125" s="2939">
        <v>2280</v>
      </c>
      <c r="G125" s="2952">
        <v>8450</v>
      </c>
    </row>
    <row r="126" spans="1:7" s="2773" customFormat="1" ht="14.25" customHeight="1" thickBot="1">
      <c r="A126" s="2953" t="s">
        <v>303</v>
      </c>
      <c r="B126" s="2946" t="s">
        <v>3019</v>
      </c>
      <c r="C126" s="2946">
        <v>12960</v>
      </c>
      <c r="D126" s="2946">
        <v>12890</v>
      </c>
      <c r="E126" s="2946">
        <v>15530</v>
      </c>
      <c r="F126" s="2946">
        <v>2910</v>
      </c>
      <c r="G126" s="2954">
        <v>8520</v>
      </c>
    </row>
    <row r="127" spans="1:7" s="2773" customFormat="1" ht="14.25" customHeight="1">
      <c r="A127" s="2944" t="s">
        <v>29</v>
      </c>
      <c r="B127" s="2935" t="s">
        <v>3074</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3075</v>
      </c>
      <c r="C148" s="2939">
        <v>10370</v>
      </c>
      <c r="D148" s="2939">
        <v>10310</v>
      </c>
      <c r="E148" s="2939">
        <v>12970</v>
      </c>
      <c r="F148" s="2939"/>
      <c r="G148" s="2939">
        <v>6630</v>
      </c>
    </row>
    <row r="149" spans="1:7" s="2773" customFormat="1" ht="14.25" customHeight="1">
      <c r="A149" s="2939" t="s">
        <v>29</v>
      </c>
      <c r="B149" s="2939" t="s">
        <v>3076</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2950</v>
      </c>
      <c r="C153" s="2939">
        <v>10880</v>
      </c>
      <c r="D153" s="2939">
        <v>10820</v>
      </c>
      <c r="E153" s="2939">
        <v>13660</v>
      </c>
      <c r="F153" s="2939">
        <v>2260</v>
      </c>
      <c r="G153" s="2939">
        <v>6970</v>
      </c>
    </row>
    <row r="154" spans="1:7" s="2773" customFormat="1" ht="14.25" customHeight="1">
      <c r="A154" s="2939" t="s">
        <v>29</v>
      </c>
      <c r="B154" s="2939" t="s">
        <v>3077</v>
      </c>
      <c r="C154" s="2939">
        <v>11220</v>
      </c>
      <c r="D154" s="2939">
        <v>11160</v>
      </c>
      <c r="E154" s="2939">
        <v>14130</v>
      </c>
      <c r="F154" s="2939">
        <v>2230</v>
      </c>
      <c r="G154" s="2939">
        <v>7180</v>
      </c>
    </row>
    <row r="155" spans="1:7" s="2773" customFormat="1" ht="14.25" customHeight="1">
      <c r="A155" s="2939" t="s">
        <v>29</v>
      </c>
      <c r="B155" s="2939" t="s">
        <v>2963</v>
      </c>
      <c r="C155" s="2939">
        <v>10430</v>
      </c>
      <c r="D155" s="2939">
        <v>10380</v>
      </c>
      <c r="E155" s="2939">
        <v>13140</v>
      </c>
      <c r="F155" s="2939">
        <v>2080</v>
      </c>
      <c r="G155" s="2939">
        <v>6650</v>
      </c>
    </row>
    <row r="156" spans="1:7" s="2773" customFormat="1" ht="14.25" customHeight="1">
      <c r="A156" s="2939" t="s">
        <v>29</v>
      </c>
      <c r="B156" s="2939" t="s">
        <v>3078</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3079</v>
      </c>
      <c r="C160" s="2939">
        <v>11180</v>
      </c>
      <c r="D160" s="2939">
        <v>11140</v>
      </c>
      <c r="E160" s="2939">
        <v>14050</v>
      </c>
      <c r="F160" s="2939">
        <v>2270</v>
      </c>
      <c r="G160" s="2939">
        <v>7170</v>
      </c>
    </row>
    <row r="161" spans="1:7" s="2773" customFormat="1" ht="14.25" customHeight="1">
      <c r="A161" s="2939" t="s">
        <v>29</v>
      </c>
      <c r="B161" s="2939" t="s">
        <v>2995</v>
      </c>
      <c r="C161" s="2939">
        <v>11160</v>
      </c>
      <c r="D161" s="2939">
        <v>11120</v>
      </c>
      <c r="E161" s="2939">
        <v>14020</v>
      </c>
      <c r="F161" s="2939">
        <v>2150</v>
      </c>
      <c r="G161" s="2939">
        <v>7160</v>
      </c>
    </row>
    <row r="162" spans="1:7" s="2773" customFormat="1" ht="14.25" customHeight="1">
      <c r="A162" s="2939" t="s">
        <v>29</v>
      </c>
      <c r="B162" s="2939" t="s">
        <v>3000</v>
      </c>
      <c r="C162" s="2939">
        <v>9620</v>
      </c>
      <c r="D162" s="2939">
        <v>9570</v>
      </c>
      <c r="E162" s="2939">
        <v>12320</v>
      </c>
      <c r="F162" s="2939">
        <v>2010</v>
      </c>
      <c r="G162" s="2939">
        <v>6160</v>
      </c>
    </row>
    <row r="163" spans="1:7" s="2773" customFormat="1" ht="14.25" customHeight="1">
      <c r="A163" s="2939" t="s">
        <v>29</v>
      </c>
      <c r="B163" s="2939" t="s">
        <v>3005</v>
      </c>
      <c r="C163" s="2939">
        <v>9320</v>
      </c>
      <c r="D163" s="2939">
        <v>9270</v>
      </c>
      <c r="E163" s="2939">
        <v>11790</v>
      </c>
      <c r="F163" s="2939">
        <v>1920</v>
      </c>
      <c r="G163" s="2939">
        <v>5960</v>
      </c>
    </row>
    <row r="164" spans="1:7" s="2773" customFormat="1" ht="14.25" customHeight="1">
      <c r="A164" s="2939" t="s">
        <v>29</v>
      </c>
      <c r="B164" s="2939" t="s">
        <v>3010</v>
      </c>
      <c r="C164" s="2939"/>
      <c r="D164" s="2939"/>
      <c r="E164" s="2939"/>
      <c r="F164" s="2939">
        <v>1980</v>
      </c>
      <c r="G164" s="2939"/>
    </row>
    <row r="165" spans="1:7" s="2773" customFormat="1" ht="14.25" customHeight="1">
      <c r="A165" s="2939" t="s">
        <v>29</v>
      </c>
      <c r="B165" s="2939" t="s">
        <v>3080</v>
      </c>
      <c r="C165" s="2939">
        <v>11060</v>
      </c>
      <c r="D165" s="2939">
        <v>11030</v>
      </c>
      <c r="E165" s="2939">
        <v>13850</v>
      </c>
      <c r="F165" s="2939">
        <v>2170</v>
      </c>
      <c r="G165" s="2939">
        <v>7090</v>
      </c>
    </row>
    <row r="166" spans="1:7" s="2773" customFormat="1" ht="14.25" customHeight="1">
      <c r="A166" s="2939" t="s">
        <v>29</v>
      </c>
      <c r="B166" s="2939" t="s">
        <v>3020</v>
      </c>
      <c r="C166" s="2939">
        <v>11050</v>
      </c>
      <c r="D166" s="2939">
        <v>11010</v>
      </c>
      <c r="E166" s="2939">
        <v>13920</v>
      </c>
      <c r="F166" s="2939">
        <v>2140</v>
      </c>
      <c r="G166" s="2939">
        <v>7080</v>
      </c>
    </row>
    <row r="167" spans="1:7" s="2773" customFormat="1" ht="14.25" customHeight="1">
      <c r="A167" s="2939" t="s">
        <v>29</v>
      </c>
      <c r="B167" s="2939" t="s">
        <v>3024</v>
      </c>
      <c r="C167" s="2939">
        <v>10930</v>
      </c>
      <c r="D167" s="2939">
        <v>10890</v>
      </c>
      <c r="E167" s="2939">
        <v>13790</v>
      </c>
      <c r="F167" s="2939">
        <v>2010</v>
      </c>
      <c r="G167" s="2939">
        <v>7000</v>
      </c>
    </row>
    <row r="168" spans="1:7" s="2773" customFormat="1" ht="14.25" customHeight="1">
      <c r="A168" s="2939" t="s">
        <v>29</v>
      </c>
      <c r="B168" s="2939" t="s">
        <v>3029</v>
      </c>
      <c r="C168" s="2939">
        <v>9420</v>
      </c>
      <c r="D168" s="2939">
        <v>9380</v>
      </c>
      <c r="E168" s="2939">
        <v>11970</v>
      </c>
      <c r="F168" s="2939"/>
      <c r="G168" s="2939">
        <v>6040</v>
      </c>
    </row>
    <row r="169" spans="1:7" s="2773" customFormat="1" ht="14.25" customHeight="1">
      <c r="A169" s="2939" t="s">
        <v>29</v>
      </c>
      <c r="B169" s="2939" t="s">
        <v>3081</v>
      </c>
      <c r="C169" s="2939"/>
      <c r="D169" s="2939"/>
      <c r="E169" s="2939"/>
      <c r="F169" s="2939">
        <v>2880</v>
      </c>
      <c r="G169" s="2939"/>
    </row>
    <row r="170" spans="1:7" s="2773" customFormat="1" ht="14.25" customHeight="1">
      <c r="A170" s="2939" t="s">
        <v>29</v>
      </c>
      <c r="B170" s="2939" t="s">
        <v>3037</v>
      </c>
      <c r="C170" s="2939"/>
      <c r="D170" s="2939"/>
      <c r="E170" s="2939"/>
      <c r="F170" s="2939">
        <v>2880</v>
      </c>
      <c r="G170" s="2939"/>
    </row>
    <row r="171" spans="1:7" s="2773" customFormat="1" ht="14.25" customHeight="1">
      <c r="A171" s="2939" t="s">
        <v>29</v>
      </c>
      <c r="B171" s="2939" t="s">
        <v>3040</v>
      </c>
      <c r="C171" s="2939"/>
      <c r="D171" s="2939"/>
      <c r="E171" s="2939"/>
      <c r="F171" s="2939">
        <v>2880</v>
      </c>
      <c r="G171" s="2939"/>
    </row>
    <row r="172" spans="1:7" s="2773" customFormat="1" ht="14.25" customHeight="1">
      <c r="A172" s="2939" t="s">
        <v>29</v>
      </c>
      <c r="B172" s="2939" t="s">
        <v>3042</v>
      </c>
      <c r="C172" s="2939"/>
      <c r="D172" s="2939"/>
      <c r="E172" s="2939"/>
      <c r="F172" s="2939">
        <v>2880</v>
      </c>
      <c r="G172" s="2939"/>
    </row>
    <row r="173" spans="1:7" s="2773" customFormat="1" ht="14.25" customHeight="1">
      <c r="A173" s="2939" t="s">
        <v>29</v>
      </c>
      <c r="B173" s="2939" t="s">
        <v>3044</v>
      </c>
      <c r="C173" s="2939"/>
      <c r="D173" s="2939"/>
      <c r="E173" s="2939"/>
      <c r="F173" s="2939">
        <v>2150</v>
      </c>
      <c r="G173" s="2939"/>
    </row>
    <row r="174" spans="1:7" s="2773" customFormat="1" ht="14.25" customHeight="1">
      <c r="A174" s="2939" t="s">
        <v>29</v>
      </c>
      <c r="B174" s="2939" t="s">
        <v>3046</v>
      </c>
      <c r="C174" s="2939"/>
      <c r="D174" s="2939"/>
      <c r="E174" s="2939"/>
      <c r="F174" s="2939">
        <v>2030</v>
      </c>
      <c r="G174" s="2939"/>
    </row>
    <row r="175" spans="1:7" s="2773" customFormat="1" ht="14.25" customHeight="1">
      <c r="A175" s="2939" t="s">
        <v>29</v>
      </c>
      <c r="B175" s="2939" t="s">
        <v>3048</v>
      </c>
      <c r="C175" s="2939"/>
      <c r="D175" s="2939"/>
      <c r="E175" s="2939"/>
      <c r="F175" s="2939">
        <v>2780</v>
      </c>
      <c r="G175" s="2939"/>
    </row>
    <row r="176" spans="1:7" s="2773" customFormat="1" ht="14.25" customHeight="1">
      <c r="A176" s="2939" t="s">
        <v>29</v>
      </c>
      <c r="B176" s="2939" t="s">
        <v>3050</v>
      </c>
      <c r="C176" s="2939"/>
      <c r="D176" s="2939"/>
      <c r="E176" s="2939"/>
      <c r="F176" s="2939">
        <v>2780</v>
      </c>
      <c r="G176" s="2939"/>
    </row>
    <row r="177" spans="1:7" s="2773" customFormat="1" ht="14.25" customHeight="1">
      <c r="A177" s="2939" t="s">
        <v>29</v>
      </c>
      <c r="B177" s="2939" t="s">
        <v>3082</v>
      </c>
      <c r="C177" s="2939"/>
      <c r="D177" s="2939"/>
      <c r="E177" s="2939"/>
      <c r="F177" s="2939">
        <v>2780</v>
      </c>
      <c r="G177" s="2939"/>
    </row>
    <row r="178" spans="1:7" s="2773" customFormat="1" ht="14.25" customHeight="1">
      <c r="A178" s="2939" t="s">
        <v>29</v>
      </c>
      <c r="B178" s="2939" t="s">
        <v>3083</v>
      </c>
      <c r="C178" s="2939"/>
      <c r="D178" s="2939"/>
      <c r="E178" s="2939"/>
      <c r="F178" s="2939">
        <v>2060</v>
      </c>
      <c r="G178" s="2939"/>
    </row>
    <row r="179" spans="1:7" s="2773" customFormat="1" ht="14.25" customHeight="1">
      <c r="A179" s="2939" t="s">
        <v>29</v>
      </c>
      <c r="B179" s="2939" t="s">
        <v>3084</v>
      </c>
      <c r="C179" s="2939"/>
      <c r="D179" s="2939"/>
      <c r="E179" s="2939"/>
      <c r="F179" s="2939">
        <v>2120</v>
      </c>
      <c r="G179" s="2939"/>
    </row>
    <row r="180" spans="1:7" s="2773" customFormat="1" ht="14.25" customHeight="1">
      <c r="A180" s="2939" t="s">
        <v>29</v>
      </c>
      <c r="B180" s="2939" t="s">
        <v>3056</v>
      </c>
      <c r="C180" s="2939"/>
      <c r="D180" s="2939"/>
      <c r="E180" s="2939"/>
      <c r="F180" s="2939">
        <v>2340</v>
      </c>
      <c r="G180" s="2939"/>
    </row>
    <row r="181" spans="1:7" s="2773" customFormat="1" ht="14.25" customHeight="1">
      <c r="A181" s="2939" t="s">
        <v>29</v>
      </c>
      <c r="B181" s="2939" t="s">
        <v>3057</v>
      </c>
      <c r="C181" s="2939"/>
      <c r="D181" s="2939"/>
      <c r="E181" s="2939"/>
      <c r="F181" s="2939">
        <v>2340</v>
      </c>
      <c r="G181" s="2939"/>
    </row>
    <row r="182" spans="1:7" s="2773" customFormat="1" ht="14.25" customHeight="1">
      <c r="A182" s="2939" t="s">
        <v>29</v>
      </c>
      <c r="B182" s="2939" t="s">
        <v>3058</v>
      </c>
      <c r="C182" s="2939"/>
      <c r="D182" s="2939"/>
      <c r="E182" s="2939"/>
      <c r="F182" s="2939">
        <v>2340</v>
      </c>
      <c r="G182" s="2939"/>
    </row>
    <row r="183" spans="1:7" s="2773" customFormat="1" ht="14.25" customHeight="1">
      <c r="A183" s="2939" t="s">
        <v>29</v>
      </c>
      <c r="B183" s="2939" t="s">
        <v>3059</v>
      </c>
      <c r="C183" s="2939"/>
      <c r="D183" s="2939"/>
      <c r="E183" s="2939"/>
      <c r="F183" s="2939">
        <v>2340</v>
      </c>
      <c r="G183" s="2939"/>
    </row>
    <row r="184" spans="1:7" s="2773" customFormat="1" ht="14.25" customHeight="1">
      <c r="A184" s="2939" t="s">
        <v>29</v>
      </c>
      <c r="B184" s="2939" t="s">
        <v>3060</v>
      </c>
      <c r="C184" s="2939"/>
      <c r="D184" s="2939"/>
      <c r="E184" s="2939"/>
      <c r="F184" s="2939">
        <v>2340</v>
      </c>
      <c r="G184" s="2939"/>
    </row>
    <row r="185" spans="1:7" s="2773" customFormat="1" ht="14.25" customHeight="1">
      <c r="A185" s="2939" t="s">
        <v>29</v>
      </c>
      <c r="B185" s="2939" t="s">
        <v>3061</v>
      </c>
      <c r="C185" s="2939"/>
      <c r="D185" s="2939"/>
      <c r="E185" s="2939"/>
      <c r="F185" s="2939">
        <v>2530</v>
      </c>
      <c r="G185" s="2939"/>
    </row>
    <row r="186" spans="1:7" s="2773" customFormat="1" ht="14.25" customHeight="1">
      <c r="A186" s="2939" t="s">
        <v>29</v>
      </c>
      <c r="B186" s="2939" t="s">
        <v>3062</v>
      </c>
      <c r="C186" s="2939"/>
      <c r="D186" s="2939"/>
      <c r="E186" s="2939"/>
      <c r="F186" s="2939">
        <v>2550</v>
      </c>
      <c r="G186" s="2939"/>
    </row>
    <row r="187" spans="1:7" s="2773" customFormat="1" ht="14.25" customHeight="1">
      <c r="A187" s="2939" t="s">
        <v>29</v>
      </c>
      <c r="B187" s="2939" t="s">
        <v>3063</v>
      </c>
      <c r="C187" s="2939"/>
      <c r="D187" s="2939"/>
      <c r="E187" s="2939"/>
      <c r="F187" s="2939">
        <v>2070</v>
      </c>
      <c r="G187" s="2939"/>
    </row>
    <row r="188" spans="1:7" s="2773" customFormat="1" ht="14.25" customHeight="1">
      <c r="A188" s="2939" t="s">
        <v>29</v>
      </c>
      <c r="B188" s="2939" t="s">
        <v>3064</v>
      </c>
      <c r="C188" s="2939"/>
      <c r="D188" s="2939"/>
      <c r="E188" s="2939"/>
      <c r="F188" s="2939">
        <v>2340</v>
      </c>
      <c r="G188" s="2939"/>
    </row>
    <row r="189" spans="1:7" s="2773" customFormat="1" ht="14.25" customHeight="1" thickBot="1">
      <c r="A189" s="2947" t="s">
        <v>29</v>
      </c>
      <c r="B189" s="2950" t="s">
        <v>3065</v>
      </c>
      <c r="C189" s="2950"/>
      <c r="D189" s="2950"/>
      <c r="E189" s="2950"/>
      <c r="F189" s="2950">
        <v>2050</v>
      </c>
      <c r="G189" s="2950"/>
    </row>
    <row r="190" spans="1:7" s="2773" customFormat="1" ht="14.25" customHeight="1">
      <c r="A190" s="2944" t="s">
        <v>304</v>
      </c>
      <c r="B190" s="2935" t="s">
        <v>3085</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3086</v>
      </c>
      <c r="C199" s="2939">
        <v>8690</v>
      </c>
      <c r="D199" s="2939">
        <v>8630</v>
      </c>
      <c r="E199" s="2939">
        <v>11350</v>
      </c>
      <c r="F199" s="2939">
        <v>1600</v>
      </c>
      <c r="G199" s="2952">
        <v>5450</v>
      </c>
    </row>
    <row r="200" spans="1:7" s="2773" customFormat="1" ht="14.25" customHeight="1">
      <c r="A200" s="2939" t="s">
        <v>304</v>
      </c>
      <c r="B200" s="2939" t="s">
        <v>2897</v>
      </c>
      <c r="C200" s="2939"/>
      <c r="D200" s="2939"/>
      <c r="E200" s="2939"/>
      <c r="F200" s="2939">
        <v>1510</v>
      </c>
      <c r="G200" s="2952"/>
    </row>
    <row r="201" spans="1:7" s="2773" customFormat="1" ht="14.25" customHeight="1">
      <c r="A201" s="2939" t="s">
        <v>304</v>
      </c>
      <c r="B201" s="2939" t="s">
        <v>3087</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3088</v>
      </c>
      <c r="C203" s="2939">
        <v>8130</v>
      </c>
      <c r="D203" s="2939">
        <v>8070</v>
      </c>
      <c r="E203" s="2939">
        <v>10820</v>
      </c>
      <c r="F203" s="2939">
        <v>1690</v>
      </c>
      <c r="G203" s="2952">
        <v>5100</v>
      </c>
    </row>
    <row r="204" spans="1:7" s="2773" customFormat="1" ht="14.25" customHeight="1">
      <c r="A204" s="2939" t="s">
        <v>304</v>
      </c>
      <c r="B204" s="2939" t="s">
        <v>2908</v>
      </c>
      <c r="C204" s="2939">
        <v>8350</v>
      </c>
      <c r="D204" s="2939">
        <v>8290</v>
      </c>
      <c r="E204" s="2939">
        <v>11080</v>
      </c>
      <c r="F204" s="2939">
        <v>1450</v>
      </c>
      <c r="G204" s="2952">
        <v>5240</v>
      </c>
    </row>
    <row r="205" spans="1:7" s="2773" customFormat="1" ht="14.25" customHeight="1">
      <c r="A205" s="2939" t="s">
        <v>304</v>
      </c>
      <c r="B205" s="2939" t="s">
        <v>2910</v>
      </c>
      <c r="C205" s="2939">
        <v>7190</v>
      </c>
      <c r="D205" s="2939">
        <v>7130</v>
      </c>
      <c r="E205" s="2939">
        <v>9490</v>
      </c>
      <c r="F205" s="2939">
        <v>1470</v>
      </c>
      <c r="G205" s="2952">
        <v>4510</v>
      </c>
    </row>
    <row r="206" spans="1:7" s="2773" customFormat="1" ht="14.25" customHeight="1">
      <c r="A206" s="2939" t="s">
        <v>304</v>
      </c>
      <c r="B206" s="2939" t="s">
        <v>2913</v>
      </c>
      <c r="C206" s="2939">
        <v>7000</v>
      </c>
      <c r="D206" s="2939">
        <v>6950</v>
      </c>
      <c r="E206" s="2939">
        <v>9170</v>
      </c>
      <c r="F206" s="2939">
        <v>1400</v>
      </c>
      <c r="G206" s="2952">
        <v>4380</v>
      </c>
    </row>
    <row r="207" spans="1:7" s="2773" customFormat="1" ht="14.25" customHeight="1">
      <c r="A207" s="2939" t="s">
        <v>304</v>
      </c>
      <c r="B207" s="2939" t="s">
        <v>2915</v>
      </c>
      <c r="C207" s="2939">
        <v>6950</v>
      </c>
      <c r="D207" s="2939">
        <v>6900</v>
      </c>
      <c r="E207" s="2939">
        <v>9110</v>
      </c>
      <c r="F207" s="2939">
        <v>1790</v>
      </c>
      <c r="G207" s="2952">
        <v>4360</v>
      </c>
    </row>
    <row r="208" spans="1:7" s="2773" customFormat="1" ht="14.25" customHeight="1">
      <c r="A208" s="2939" t="s">
        <v>304</v>
      </c>
      <c r="B208" s="2939" t="s">
        <v>3089</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2925</v>
      </c>
      <c r="C210" s="2939">
        <v>8710</v>
      </c>
      <c r="D210" s="2939">
        <v>8660</v>
      </c>
      <c r="E210" s="2939">
        <v>11440</v>
      </c>
      <c r="F210" s="2939">
        <v>1740</v>
      </c>
      <c r="G210" s="2952">
        <v>5470</v>
      </c>
    </row>
    <row r="211" spans="1:7" s="2773" customFormat="1" ht="14.25" customHeight="1">
      <c r="A211" s="2939" t="s">
        <v>304</v>
      </c>
      <c r="B211" s="2939" t="s">
        <v>3090</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3091</v>
      </c>
      <c r="C214" s="2939">
        <v>8090</v>
      </c>
      <c r="D214" s="2939">
        <v>8030</v>
      </c>
      <c r="E214" s="2939">
        <v>10780</v>
      </c>
      <c r="F214" s="2939">
        <v>1570</v>
      </c>
      <c r="G214" s="2952">
        <v>5070</v>
      </c>
    </row>
    <row r="215" spans="1:7" s="2773" customFormat="1" ht="14.25" customHeight="1">
      <c r="A215" s="2939" t="s">
        <v>304</v>
      </c>
      <c r="B215" s="2939" t="s">
        <v>3092</v>
      </c>
      <c r="C215" s="2939">
        <v>7950</v>
      </c>
      <c r="D215" s="2939">
        <v>7900</v>
      </c>
      <c r="E215" s="2939">
        <v>10560</v>
      </c>
      <c r="F215" s="2939">
        <v>1630</v>
      </c>
      <c r="G215" s="2952">
        <v>4990</v>
      </c>
    </row>
    <row r="216" spans="1:7" s="2773" customFormat="1" ht="14.25" customHeight="1">
      <c r="A216" s="2939" t="s">
        <v>304</v>
      </c>
      <c r="B216" s="2939" t="s">
        <v>3093</v>
      </c>
      <c r="C216" s="2939">
        <v>8490</v>
      </c>
      <c r="D216" s="2939">
        <v>8440</v>
      </c>
      <c r="E216" s="2939">
        <v>11260</v>
      </c>
      <c r="F216" s="2939">
        <v>1690</v>
      </c>
      <c r="G216" s="2952">
        <v>5330</v>
      </c>
    </row>
    <row r="217" spans="1:7" s="2773" customFormat="1" ht="14.25" customHeight="1">
      <c r="A217" s="2939" t="s">
        <v>304</v>
      </c>
      <c r="B217" s="2939" t="s">
        <v>2958</v>
      </c>
      <c r="C217" s="2939">
        <v>8200</v>
      </c>
      <c r="D217" s="2939">
        <v>8150</v>
      </c>
      <c r="E217" s="2939">
        <v>10910</v>
      </c>
      <c r="F217" s="2939">
        <v>1670</v>
      </c>
      <c r="G217" s="2952">
        <v>5150</v>
      </c>
    </row>
    <row r="218" spans="1:7" s="2773" customFormat="1" ht="14.25" customHeight="1">
      <c r="A218" s="2939" t="s">
        <v>304</v>
      </c>
      <c r="B218" s="2939" t="s">
        <v>3094</v>
      </c>
      <c r="C218" s="2939"/>
      <c r="D218" s="2939"/>
      <c r="E218" s="2939"/>
      <c r="F218" s="2939">
        <v>2040</v>
      </c>
      <c r="G218" s="2952"/>
    </row>
    <row r="219" spans="1:7" s="2773" customFormat="1" ht="14.25" customHeight="1">
      <c r="A219" s="2939" t="s">
        <v>304</v>
      </c>
      <c r="B219" s="2939" t="s">
        <v>3095</v>
      </c>
      <c r="C219" s="2939"/>
      <c r="D219" s="2939"/>
      <c r="E219" s="2939"/>
      <c r="F219" s="2939">
        <v>2040</v>
      </c>
      <c r="G219" s="2952"/>
    </row>
    <row r="220" spans="1:7" s="2773" customFormat="1" ht="14.25" customHeight="1">
      <c r="A220" s="2939" t="s">
        <v>304</v>
      </c>
      <c r="B220" s="2939" t="s">
        <v>3096</v>
      </c>
      <c r="C220" s="2939"/>
      <c r="D220" s="2939"/>
      <c r="E220" s="2939"/>
      <c r="F220" s="2939">
        <v>2040</v>
      </c>
      <c r="G220" s="2952"/>
    </row>
    <row r="221" spans="1:7" s="2773" customFormat="1" ht="14.25" customHeight="1">
      <c r="A221" s="2939" t="s">
        <v>304</v>
      </c>
      <c r="B221" s="2939" t="s">
        <v>3097</v>
      </c>
      <c r="C221" s="2939"/>
      <c r="D221" s="2939"/>
      <c r="E221" s="2939"/>
      <c r="F221" s="2939">
        <v>2040</v>
      </c>
      <c r="G221" s="2952"/>
    </row>
    <row r="222" spans="1:7" s="2773" customFormat="1" ht="14.25" customHeight="1">
      <c r="A222" s="2939" t="s">
        <v>304</v>
      </c>
      <c r="B222" s="2939" t="s">
        <v>3098</v>
      </c>
      <c r="C222" s="2939"/>
      <c r="D222" s="2939"/>
      <c r="E222" s="2939"/>
      <c r="F222" s="2939">
        <v>2040</v>
      </c>
      <c r="G222" s="2952"/>
    </row>
    <row r="223" spans="1:7" s="2773" customFormat="1" ht="14.25" customHeight="1">
      <c r="A223" s="2939" t="s">
        <v>304</v>
      </c>
      <c r="B223" s="2939" t="s">
        <v>3099</v>
      </c>
      <c r="C223" s="2939"/>
      <c r="D223" s="2939"/>
      <c r="E223" s="2939"/>
      <c r="F223" s="2939">
        <v>1930</v>
      </c>
      <c r="G223" s="2952"/>
    </row>
    <row r="224" spans="1:7" s="2773" customFormat="1" ht="14.25" customHeight="1">
      <c r="A224" s="2939" t="s">
        <v>304</v>
      </c>
      <c r="B224" s="2939" t="s">
        <v>3100</v>
      </c>
      <c r="C224" s="2939"/>
      <c r="D224" s="2939"/>
      <c r="E224" s="2939"/>
      <c r="F224" s="2939">
        <v>1930</v>
      </c>
      <c r="G224" s="2952"/>
    </row>
    <row r="225" spans="1:7" s="2773" customFormat="1" ht="14.25" customHeight="1">
      <c r="A225" s="2939" t="s">
        <v>304</v>
      </c>
      <c r="B225" s="2939" t="s">
        <v>3101</v>
      </c>
      <c r="C225" s="2939"/>
      <c r="D225" s="2939"/>
      <c r="E225" s="2939"/>
      <c r="F225" s="2939">
        <v>1930</v>
      </c>
      <c r="G225" s="2952"/>
    </row>
    <row r="226" spans="1:7" s="2773" customFormat="1" ht="14.25" customHeight="1">
      <c r="A226" s="2939" t="s">
        <v>304</v>
      </c>
      <c r="B226" s="2939" t="s">
        <v>3102</v>
      </c>
      <c r="C226" s="2939"/>
      <c r="D226" s="2939"/>
      <c r="E226" s="2939"/>
      <c r="F226" s="2939">
        <v>1700</v>
      </c>
      <c r="G226" s="2952"/>
    </row>
    <row r="227" spans="1:7" s="2773" customFormat="1" ht="14.25" customHeight="1">
      <c r="A227" s="2939" t="s">
        <v>304</v>
      </c>
      <c r="B227" s="2939" t="s">
        <v>3103</v>
      </c>
      <c r="C227" s="2939"/>
      <c r="D227" s="2939"/>
      <c r="E227" s="2939"/>
      <c r="F227" s="2939">
        <v>1520</v>
      </c>
      <c r="G227" s="2952"/>
    </row>
    <row r="228" spans="1:7" s="2773" customFormat="1" ht="14.25" customHeight="1">
      <c r="A228" s="2939" t="s">
        <v>304</v>
      </c>
      <c r="B228" s="2939" t="s">
        <v>3104</v>
      </c>
      <c r="C228" s="2939"/>
      <c r="D228" s="2939"/>
      <c r="E228" s="2939"/>
      <c r="F228" s="2939">
        <v>1520</v>
      </c>
      <c r="G228" s="2952"/>
    </row>
    <row r="229" spans="1:7" s="2773" customFormat="1" ht="14.25" customHeight="1">
      <c r="A229" s="2939" t="s">
        <v>304</v>
      </c>
      <c r="B229" s="2939" t="s">
        <v>3021</v>
      </c>
      <c r="C229" s="2939"/>
      <c r="D229" s="2939"/>
      <c r="E229" s="2939"/>
      <c r="F229" s="2939">
        <v>1520</v>
      </c>
      <c r="G229" s="2952"/>
    </row>
    <row r="230" spans="1:7" s="2773" customFormat="1" ht="14.25" customHeight="1">
      <c r="A230" s="2939" t="s">
        <v>304</v>
      </c>
      <c r="B230" s="2939" t="s">
        <v>3105</v>
      </c>
      <c r="C230" s="2939"/>
      <c r="D230" s="2939"/>
      <c r="E230" s="2939"/>
      <c r="F230" s="2939">
        <v>1820</v>
      </c>
      <c r="G230" s="2952"/>
    </row>
    <row r="231" spans="1:7" s="2773" customFormat="1" ht="14.25" customHeight="1">
      <c r="A231" s="2939" t="s">
        <v>304</v>
      </c>
      <c r="B231" s="2939" t="s">
        <v>3106</v>
      </c>
      <c r="C231" s="2939"/>
      <c r="D231" s="2939"/>
      <c r="E231" s="2939"/>
      <c r="F231" s="2939">
        <v>1760</v>
      </c>
      <c r="G231" s="2952"/>
    </row>
    <row r="232" spans="1:7" s="2773" customFormat="1" ht="14.25" customHeight="1">
      <c r="A232" s="2939" t="s">
        <v>304</v>
      </c>
      <c r="B232" s="2939" t="s">
        <v>3107</v>
      </c>
      <c r="C232" s="2939"/>
      <c r="D232" s="2939"/>
      <c r="E232" s="2939"/>
      <c r="F232" s="2939">
        <v>1840</v>
      </c>
      <c r="G232" s="2952"/>
    </row>
    <row r="233" spans="1:7" s="2773" customFormat="1" ht="14.25" customHeight="1" thickBot="1">
      <c r="A233" s="2953" t="s">
        <v>304</v>
      </c>
      <c r="B233" s="2946" t="s">
        <v>3038</v>
      </c>
      <c r="C233" s="2946"/>
      <c r="D233" s="2946"/>
      <c r="E233" s="2946"/>
      <c r="F233" s="2946">
        <v>1770</v>
      </c>
      <c r="G233" s="2954"/>
    </row>
    <row r="234" spans="1:7" s="2773" customFormat="1" ht="14.25" customHeight="1">
      <c r="A234" s="2944" t="s">
        <v>305</v>
      </c>
      <c r="B234" s="2935" t="s">
        <v>3108</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2879</v>
      </c>
      <c r="C238" s="2939">
        <v>6920</v>
      </c>
      <c r="D238" s="2939">
        <v>6890</v>
      </c>
      <c r="E238" s="2939">
        <v>8640</v>
      </c>
      <c r="F238" s="2939">
        <v>1310</v>
      </c>
      <c r="G238" s="2939">
        <v>4230</v>
      </c>
    </row>
    <row r="239" spans="1:7" s="2773" customFormat="1" ht="14.25" customHeight="1">
      <c r="A239" s="2939" t="s">
        <v>305</v>
      </c>
      <c r="B239" s="2939" t="s">
        <v>3109</v>
      </c>
      <c r="C239" s="2939">
        <v>6780</v>
      </c>
      <c r="D239" s="2939">
        <v>6750</v>
      </c>
      <c r="E239" s="2939">
        <v>8440</v>
      </c>
      <c r="F239" s="2939">
        <v>1160</v>
      </c>
      <c r="G239" s="2939">
        <v>4140</v>
      </c>
    </row>
    <row r="240" spans="1:7" s="2773" customFormat="1" ht="14.25" customHeight="1">
      <c r="A240" s="2939" t="s">
        <v>305</v>
      </c>
      <c r="B240" s="2939" t="s">
        <v>3110</v>
      </c>
      <c r="C240" s="2939">
        <v>5420</v>
      </c>
      <c r="D240" s="2939">
        <v>5380</v>
      </c>
      <c r="E240" s="2939">
        <v>6640</v>
      </c>
      <c r="F240" s="2939">
        <v>1020</v>
      </c>
      <c r="G240" s="2939">
        <v>3300</v>
      </c>
    </row>
    <row r="241" spans="1:7" s="2773" customFormat="1" ht="14.25" customHeight="1">
      <c r="A241" s="2939" t="s">
        <v>305</v>
      </c>
      <c r="B241" s="2939" t="s">
        <v>3111</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3112</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3113</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3114</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3115</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3116</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2941</v>
      </c>
      <c r="C258" s="2939">
        <v>6190</v>
      </c>
      <c r="D258" s="2939">
        <v>6160</v>
      </c>
      <c r="E258" s="2939">
        <v>7680</v>
      </c>
      <c r="F258" s="2939">
        <v>1170</v>
      </c>
      <c r="G258" s="2939">
        <v>3780</v>
      </c>
    </row>
    <row r="259" spans="1:7" s="2773" customFormat="1" ht="14.25" customHeight="1">
      <c r="A259" s="2939" t="s">
        <v>305</v>
      </c>
      <c r="B259" s="2939" t="s">
        <v>3117</v>
      </c>
      <c r="C259" s="2939">
        <v>7610</v>
      </c>
      <c r="D259" s="2939">
        <v>7570</v>
      </c>
      <c r="E259" s="2939">
        <v>9350</v>
      </c>
      <c r="F259" s="2939">
        <v>1350</v>
      </c>
      <c r="G259" s="2939">
        <v>4650</v>
      </c>
    </row>
    <row r="260" spans="1:7" s="2773" customFormat="1" ht="14.25" customHeight="1">
      <c r="A260" s="2939" t="s">
        <v>305</v>
      </c>
      <c r="B260" s="2939" t="s">
        <v>3118</v>
      </c>
      <c r="C260" s="2939">
        <v>6920</v>
      </c>
      <c r="D260" s="2939">
        <v>6880</v>
      </c>
      <c r="E260" s="2939">
        <v>8380</v>
      </c>
      <c r="F260" s="2939">
        <v>1160</v>
      </c>
      <c r="G260" s="2939">
        <v>4220</v>
      </c>
    </row>
    <row r="261" spans="1:7" s="2773" customFormat="1" ht="14.25" customHeight="1">
      <c r="A261" s="2939" t="s">
        <v>305</v>
      </c>
      <c r="B261" s="2939" t="s">
        <v>3119</v>
      </c>
      <c r="C261" s="2939">
        <v>6850</v>
      </c>
      <c r="D261" s="2939">
        <v>6810</v>
      </c>
      <c r="E261" s="2939">
        <v>8290</v>
      </c>
      <c r="F261" s="2939">
        <v>1130</v>
      </c>
      <c r="G261" s="2939">
        <v>4180</v>
      </c>
    </row>
    <row r="262" spans="1:7" s="2773" customFormat="1" ht="14.25" customHeight="1">
      <c r="A262" s="2939" t="s">
        <v>305</v>
      </c>
      <c r="B262" s="2939" t="s">
        <v>3120</v>
      </c>
      <c r="C262" s="2939">
        <v>5860</v>
      </c>
      <c r="D262" s="2939">
        <v>5820</v>
      </c>
      <c r="E262" s="2939">
        <v>7640</v>
      </c>
      <c r="F262" s="2939">
        <v>1070</v>
      </c>
      <c r="G262" s="2939">
        <v>3570</v>
      </c>
    </row>
    <row r="263" spans="1:7" s="2773" customFormat="1" ht="14.25" customHeight="1">
      <c r="A263" s="2939" t="s">
        <v>305</v>
      </c>
      <c r="B263" s="2939" t="s">
        <v>3121</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3122</v>
      </c>
      <c r="C265" s="2939"/>
      <c r="D265" s="2939"/>
      <c r="E265" s="2939"/>
      <c r="F265" s="2939">
        <v>1500</v>
      </c>
      <c r="G265" s="2939"/>
    </row>
    <row r="266" spans="1:7" s="2773" customFormat="1" ht="14.25" customHeight="1">
      <c r="A266" s="2939" t="s">
        <v>305</v>
      </c>
      <c r="B266" s="2939" t="s">
        <v>3123</v>
      </c>
      <c r="C266" s="2939"/>
      <c r="D266" s="2939"/>
      <c r="E266" s="2939"/>
      <c r="F266" s="2939">
        <v>1500</v>
      </c>
      <c r="G266" s="2939"/>
    </row>
    <row r="267" spans="1:7" s="2773" customFormat="1" ht="14.25" customHeight="1">
      <c r="A267" s="2939" t="s">
        <v>305</v>
      </c>
      <c r="B267" s="2939" t="s">
        <v>3124</v>
      </c>
      <c r="C267" s="2939"/>
      <c r="D267" s="2939"/>
      <c r="E267" s="2939"/>
      <c r="F267" s="2939">
        <v>1500</v>
      </c>
      <c r="G267" s="2939"/>
    </row>
    <row r="268" spans="1:7" s="2773" customFormat="1" ht="14.25" customHeight="1">
      <c r="A268" s="2939" t="s">
        <v>305</v>
      </c>
      <c r="B268" s="2939" t="s">
        <v>3125</v>
      </c>
      <c r="C268" s="2939"/>
      <c r="D268" s="2939"/>
      <c r="E268" s="2939"/>
      <c r="F268" s="2939">
        <v>1290</v>
      </c>
      <c r="G268" s="2939"/>
    </row>
    <row r="269" spans="1:7" s="2773" customFormat="1" ht="14.25" customHeight="1">
      <c r="A269" s="2939" t="s">
        <v>305</v>
      </c>
      <c r="B269" s="2939" t="s">
        <v>3126</v>
      </c>
      <c r="C269" s="2939"/>
      <c r="D269" s="2939"/>
      <c r="E269" s="2939"/>
      <c r="F269" s="2939">
        <v>1150</v>
      </c>
      <c r="G269" s="2939"/>
    </row>
    <row r="270" spans="1:7" s="2773" customFormat="1" ht="14.25" customHeight="1">
      <c r="A270" s="2939" t="s">
        <v>305</v>
      </c>
      <c r="B270" s="2939" t="s">
        <v>3127</v>
      </c>
      <c r="C270" s="2939"/>
      <c r="D270" s="2939"/>
      <c r="E270" s="2939"/>
      <c r="F270" s="2939">
        <v>1380</v>
      </c>
      <c r="G270" s="2939"/>
    </row>
    <row r="271" spans="1:7" s="2773" customFormat="1" ht="14.25" customHeight="1">
      <c r="A271" s="2939" t="s">
        <v>305</v>
      </c>
      <c r="B271" s="2939" t="s">
        <v>3128</v>
      </c>
      <c r="C271" s="2939"/>
      <c r="D271" s="2939"/>
      <c r="E271" s="2939"/>
      <c r="F271" s="2939">
        <v>1460</v>
      </c>
      <c r="G271" s="2939"/>
    </row>
    <row r="272" spans="1:7" s="2773" customFormat="1" ht="14.25" customHeight="1">
      <c r="A272" s="2939" t="s">
        <v>305</v>
      </c>
      <c r="B272" s="2939" t="s">
        <v>3129</v>
      </c>
      <c r="C272" s="2939"/>
      <c r="D272" s="2939"/>
      <c r="E272" s="2939"/>
      <c r="F272" s="2939">
        <v>1460</v>
      </c>
      <c r="G272" s="2939"/>
    </row>
    <row r="273" spans="1:7" s="2773" customFormat="1" ht="14.25" customHeight="1">
      <c r="A273" s="2939" t="s">
        <v>305</v>
      </c>
      <c r="B273" s="2939" t="s">
        <v>3022</v>
      </c>
      <c r="C273" s="2939"/>
      <c r="D273" s="2939"/>
      <c r="E273" s="2939"/>
      <c r="F273" s="2939">
        <v>1490</v>
      </c>
      <c r="G273" s="2939"/>
    </row>
    <row r="274" spans="1:7" s="2773" customFormat="1" ht="14.25" customHeight="1">
      <c r="A274" s="2939" t="s">
        <v>305</v>
      </c>
      <c r="B274" s="2939" t="s">
        <v>3130</v>
      </c>
      <c r="C274" s="2939"/>
      <c r="D274" s="2939"/>
      <c r="E274" s="2939"/>
      <c r="F274" s="2939">
        <v>1490</v>
      </c>
      <c r="G274" s="2939"/>
    </row>
    <row r="275" spans="1:7" s="2773" customFormat="1" ht="14.25" customHeight="1">
      <c r="A275" s="2939" t="s">
        <v>305</v>
      </c>
      <c r="B275" s="2939" t="s">
        <v>3131</v>
      </c>
      <c r="C275" s="2939"/>
      <c r="D275" s="2939"/>
      <c r="E275" s="2939"/>
      <c r="F275" s="2939">
        <v>1220</v>
      </c>
      <c r="G275" s="2939"/>
    </row>
    <row r="276" spans="1:7" s="2773" customFormat="1" ht="14.25" customHeight="1" thickBot="1">
      <c r="A276" s="2947" t="s">
        <v>305</v>
      </c>
      <c r="B276" s="2949" t="s">
        <v>3132</v>
      </c>
      <c r="C276" s="2950"/>
      <c r="D276" s="2950"/>
      <c r="E276" s="2950"/>
      <c r="F276" s="2950">
        <v>1380</v>
      </c>
      <c r="G276" s="2950"/>
    </row>
    <row r="277" spans="1:7" s="2773" customFormat="1" ht="14.25" customHeight="1">
      <c r="A277" s="2944" t="s">
        <v>306</v>
      </c>
      <c r="B277" s="2935" t="s">
        <v>3133</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3134</v>
      </c>
      <c r="C279" s="2939">
        <v>4760</v>
      </c>
      <c r="D279" s="2939">
        <v>4720</v>
      </c>
      <c r="E279" s="2939">
        <v>5540</v>
      </c>
      <c r="F279" s="2939">
        <v>810</v>
      </c>
      <c r="G279" s="2952">
        <v>2850</v>
      </c>
    </row>
    <row r="280" spans="1:7" s="2773" customFormat="1" ht="14.25" customHeight="1">
      <c r="A280" s="2939" t="s">
        <v>306</v>
      </c>
      <c r="B280" s="2939" t="s">
        <v>3135</v>
      </c>
      <c r="C280" s="2939">
        <v>4010</v>
      </c>
      <c r="D280" s="2939">
        <v>3950</v>
      </c>
      <c r="E280" s="2939">
        <v>4710</v>
      </c>
      <c r="F280" s="2939">
        <v>800</v>
      </c>
      <c r="G280" s="2952">
        <v>2390</v>
      </c>
    </row>
    <row r="281" spans="1:7" s="2773" customFormat="1" ht="14.25" customHeight="1">
      <c r="A281" s="2939" t="s">
        <v>306</v>
      </c>
      <c r="B281" s="2939" t="s">
        <v>3136</v>
      </c>
      <c r="C281" s="2939">
        <v>4480</v>
      </c>
      <c r="D281" s="2939">
        <v>4420</v>
      </c>
      <c r="E281" s="2939">
        <v>5230</v>
      </c>
      <c r="F281" s="2939">
        <v>870</v>
      </c>
      <c r="G281" s="2952">
        <v>2660</v>
      </c>
    </row>
    <row r="282" spans="1:7" s="2773" customFormat="1" ht="14.25" customHeight="1">
      <c r="A282" s="2939" t="s">
        <v>306</v>
      </c>
      <c r="B282" s="2939" t="s">
        <v>3137</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3138</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3139</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2914</v>
      </c>
      <c r="C293" s="2939">
        <v>5320</v>
      </c>
      <c r="D293" s="2939">
        <v>5270</v>
      </c>
      <c r="E293" s="2939">
        <v>6160</v>
      </c>
      <c r="F293" s="2939">
        <v>990</v>
      </c>
      <c r="G293" s="2952">
        <v>3170</v>
      </c>
    </row>
    <row r="294" spans="1:7" s="2773" customFormat="1" ht="14.25" customHeight="1">
      <c r="A294" s="2939" t="s">
        <v>306</v>
      </c>
      <c r="B294" s="2939" t="s">
        <v>3140</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2933</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3141</v>
      </c>
      <c r="C302" s="2939">
        <v>5520</v>
      </c>
      <c r="D302" s="2939">
        <v>5470</v>
      </c>
      <c r="E302" s="2939">
        <v>6410</v>
      </c>
      <c r="F302" s="2939">
        <v>950</v>
      </c>
      <c r="G302" s="2952">
        <v>3300</v>
      </c>
    </row>
    <row r="303" spans="1:7" s="2773" customFormat="1" ht="14.25" customHeight="1">
      <c r="A303" s="2939" t="s">
        <v>306</v>
      </c>
      <c r="B303" s="2939" t="s">
        <v>2953</v>
      </c>
      <c r="C303" s="2939">
        <v>5630</v>
      </c>
      <c r="D303" s="2939">
        <v>5590</v>
      </c>
      <c r="E303" s="2939">
        <v>6550</v>
      </c>
      <c r="F303" s="2939">
        <v>1010</v>
      </c>
      <c r="G303" s="2952">
        <v>3370</v>
      </c>
    </row>
    <row r="304" spans="1:7" s="2773" customFormat="1" ht="14.25" customHeight="1">
      <c r="A304" s="2939" t="s">
        <v>306</v>
      </c>
      <c r="B304" s="2939" t="s">
        <v>2960</v>
      </c>
      <c r="C304" s="2939">
        <v>5680</v>
      </c>
      <c r="D304" s="2939">
        <v>5620</v>
      </c>
      <c r="E304" s="2939">
        <v>6620</v>
      </c>
      <c r="F304" s="2939">
        <v>1050</v>
      </c>
      <c r="G304" s="2952">
        <v>3390</v>
      </c>
    </row>
    <row r="305" spans="1:7" s="2773" customFormat="1" ht="14.25" customHeight="1">
      <c r="A305" s="2939" t="s">
        <v>306</v>
      </c>
      <c r="B305" s="2939" t="s">
        <v>2966</v>
      </c>
      <c r="C305" s="2939">
        <v>5590</v>
      </c>
      <c r="D305" s="2939">
        <v>5530</v>
      </c>
      <c r="E305" s="2939">
        <v>6460</v>
      </c>
      <c r="F305" s="2939">
        <v>900</v>
      </c>
      <c r="G305" s="2952">
        <v>3340</v>
      </c>
    </row>
    <row r="306" spans="1:7" s="2773" customFormat="1" ht="14.25" customHeight="1">
      <c r="A306" s="2939" t="s">
        <v>306</v>
      </c>
      <c r="B306" s="2939" t="s">
        <v>3142</v>
      </c>
      <c r="C306" s="2939">
        <v>5560</v>
      </c>
      <c r="D306" s="2939">
        <v>5510</v>
      </c>
      <c r="E306" s="2939">
        <v>6440</v>
      </c>
      <c r="F306" s="2939">
        <v>900</v>
      </c>
      <c r="G306" s="2952">
        <v>3320</v>
      </c>
    </row>
    <row r="307" spans="1:7" s="2773" customFormat="1" ht="14.25" customHeight="1">
      <c r="A307" s="2939" t="s">
        <v>306</v>
      </c>
      <c r="B307" s="2939" t="s">
        <v>2978</v>
      </c>
      <c r="C307" s="2939">
        <v>5650</v>
      </c>
      <c r="D307" s="2939">
        <v>5600</v>
      </c>
      <c r="E307" s="2939">
        <v>6590</v>
      </c>
      <c r="F307" s="2939">
        <v>930</v>
      </c>
      <c r="G307" s="2952">
        <v>3380</v>
      </c>
    </row>
    <row r="308" spans="1:7" s="2773" customFormat="1" ht="14.25" customHeight="1">
      <c r="A308" s="2939" t="s">
        <v>306</v>
      </c>
      <c r="B308" s="2939" t="s">
        <v>3143</v>
      </c>
      <c r="C308" s="2939">
        <v>5620</v>
      </c>
      <c r="D308" s="2939">
        <v>5580</v>
      </c>
      <c r="E308" s="2939">
        <v>6540</v>
      </c>
      <c r="F308" s="2939">
        <v>910</v>
      </c>
      <c r="G308" s="2952">
        <v>3370</v>
      </c>
    </row>
    <row r="309" spans="1:7" s="2773" customFormat="1" ht="14.25" customHeight="1">
      <c r="A309" s="2939" t="s">
        <v>306</v>
      </c>
      <c r="B309" s="2939" t="s">
        <v>3144</v>
      </c>
      <c r="C309" s="2939">
        <v>5060</v>
      </c>
      <c r="D309" s="2939">
        <v>5020</v>
      </c>
      <c r="E309" s="2939">
        <v>6370</v>
      </c>
      <c r="F309" s="2939">
        <v>800</v>
      </c>
      <c r="G309" s="2952">
        <v>3020</v>
      </c>
    </row>
    <row r="310" spans="1:7" s="2773" customFormat="1" ht="14.25" customHeight="1">
      <c r="A310" s="2939" t="s">
        <v>306</v>
      </c>
      <c r="B310" s="2939" t="s">
        <v>2993</v>
      </c>
      <c r="C310" s="2939">
        <v>5150</v>
      </c>
      <c r="D310" s="2939">
        <v>5110</v>
      </c>
      <c r="E310" s="2939">
        <v>6500</v>
      </c>
      <c r="F310" s="2939">
        <v>880</v>
      </c>
      <c r="G310" s="2952">
        <v>3080</v>
      </c>
    </row>
    <row r="311" spans="1:7" s="2773" customFormat="1" ht="14.25" customHeight="1">
      <c r="A311" s="2939" t="s">
        <v>306</v>
      </c>
      <c r="B311" s="2939" t="s">
        <v>3145</v>
      </c>
      <c r="C311" s="2939">
        <v>4750</v>
      </c>
      <c r="D311" s="2939">
        <v>4710</v>
      </c>
      <c r="E311" s="2939">
        <v>5510</v>
      </c>
      <c r="F311" s="2939">
        <v>880</v>
      </c>
      <c r="G311" s="2952">
        <v>2840</v>
      </c>
    </row>
    <row r="312" spans="1:7" s="2773" customFormat="1" ht="14.25" customHeight="1">
      <c r="A312" s="2939" t="s">
        <v>306</v>
      </c>
      <c r="B312" s="2939" t="s">
        <v>3003</v>
      </c>
      <c r="C312" s="2939">
        <v>4690</v>
      </c>
      <c r="D312" s="2939">
        <v>4640</v>
      </c>
      <c r="E312" s="2939">
        <v>5420</v>
      </c>
      <c r="F312" s="2939">
        <v>800</v>
      </c>
      <c r="G312" s="2952">
        <v>2800</v>
      </c>
    </row>
    <row r="313" spans="1:7" s="2773" customFormat="1" ht="14.25" customHeight="1">
      <c r="A313" s="2939" t="s">
        <v>306</v>
      </c>
      <c r="B313" s="2939" t="s">
        <v>3008</v>
      </c>
      <c r="C313" s="2939">
        <v>4810</v>
      </c>
      <c r="D313" s="2939">
        <v>4760</v>
      </c>
      <c r="E313" s="2939">
        <v>5550</v>
      </c>
      <c r="F313" s="2939">
        <v>920</v>
      </c>
      <c r="G313" s="2952">
        <v>2870</v>
      </c>
    </row>
    <row r="314" spans="1:7" s="2773" customFormat="1" ht="14.25" customHeight="1">
      <c r="A314" s="2939" t="s">
        <v>306</v>
      </c>
      <c r="B314" s="2939" t="s">
        <v>3146</v>
      </c>
      <c r="C314" s="2939"/>
      <c r="D314" s="2939"/>
      <c r="E314" s="2939"/>
      <c r="F314" s="2939">
        <v>1020</v>
      </c>
      <c r="G314" s="2952"/>
    </row>
    <row r="315" spans="1:7" s="2773" customFormat="1" ht="14.25" customHeight="1">
      <c r="A315" s="2939" t="s">
        <v>306</v>
      </c>
      <c r="B315" s="2939" t="s">
        <v>3147</v>
      </c>
      <c r="C315" s="2939"/>
      <c r="D315" s="2939"/>
      <c r="E315" s="2939"/>
      <c r="F315" s="2939">
        <v>1050</v>
      </c>
      <c r="G315" s="2952"/>
    </row>
    <row r="316" spans="1:7" s="2773" customFormat="1" ht="14.25" customHeight="1">
      <c r="A316" s="2939" t="s">
        <v>306</v>
      </c>
      <c r="B316" s="2939" t="s">
        <v>3023</v>
      </c>
      <c r="C316" s="2939"/>
      <c r="D316" s="2939"/>
      <c r="E316" s="2939"/>
      <c r="F316" s="2939">
        <v>900</v>
      </c>
      <c r="G316" s="2952"/>
    </row>
    <row r="317" spans="1:7" s="2773" customFormat="1" ht="14.25" customHeight="1">
      <c r="A317" s="2939" t="s">
        <v>306</v>
      </c>
      <c r="B317" s="2939" t="s">
        <v>3148</v>
      </c>
      <c r="C317" s="2939"/>
      <c r="D317" s="2939"/>
      <c r="E317" s="2939"/>
      <c r="F317" s="2939">
        <v>920</v>
      </c>
      <c r="G317" s="2952"/>
    </row>
    <row r="318" spans="1:7" s="2773" customFormat="1" ht="14.25" customHeight="1">
      <c r="A318" s="2939" t="s">
        <v>306</v>
      </c>
      <c r="B318" s="2939" t="s">
        <v>3149</v>
      </c>
      <c r="C318" s="2939"/>
      <c r="D318" s="2939"/>
      <c r="E318" s="2939"/>
      <c r="F318" s="2939">
        <v>1080</v>
      </c>
      <c r="G318" s="2952"/>
    </row>
    <row r="319" spans="1:7" s="2773" customFormat="1" ht="14.25" customHeight="1">
      <c r="A319" s="2939" t="s">
        <v>306</v>
      </c>
      <c r="B319" s="2939" t="s">
        <v>3036</v>
      </c>
      <c r="C319" s="2939"/>
      <c r="D319" s="2939"/>
      <c r="E319" s="2939"/>
      <c r="F319" s="2939">
        <v>1020</v>
      </c>
      <c r="G319" s="2952"/>
    </row>
    <row r="320" spans="1:7" s="2773" customFormat="1" ht="14.25" customHeight="1">
      <c r="A320" s="2939" t="s">
        <v>306</v>
      </c>
      <c r="B320" s="2939" t="s">
        <v>3039</v>
      </c>
      <c r="C320" s="2939"/>
      <c r="D320" s="2939"/>
      <c r="E320" s="2939"/>
      <c r="F320" s="2939">
        <v>1050</v>
      </c>
      <c r="G320" s="2952"/>
    </row>
    <row r="321" spans="1:7" s="2773" customFormat="1" ht="14.25" customHeight="1">
      <c r="A321" s="2939" t="s">
        <v>306</v>
      </c>
      <c r="B321" s="2939" t="s">
        <v>3041</v>
      </c>
      <c r="C321" s="2939"/>
      <c r="D321" s="2939"/>
      <c r="E321" s="2939"/>
      <c r="F321" s="2939">
        <v>960</v>
      </c>
      <c r="G321" s="2952"/>
    </row>
    <row r="322" spans="1:7" s="2773" customFormat="1" ht="14.25" customHeight="1">
      <c r="A322" s="2939" t="s">
        <v>306</v>
      </c>
      <c r="B322" s="2939" t="s">
        <v>3043</v>
      </c>
      <c r="C322" s="2939"/>
      <c r="D322" s="2939"/>
      <c r="E322" s="2939"/>
      <c r="F322" s="2939">
        <v>960</v>
      </c>
      <c r="G322" s="2952"/>
    </row>
    <row r="323" spans="1:7" s="2773" customFormat="1" ht="14.25" customHeight="1">
      <c r="A323" s="2939" t="s">
        <v>306</v>
      </c>
      <c r="B323" s="2939" t="s">
        <v>3045</v>
      </c>
      <c r="C323" s="2939"/>
      <c r="D323" s="2939"/>
      <c r="E323" s="2939"/>
      <c r="F323" s="2939">
        <v>880</v>
      </c>
      <c r="G323" s="2952"/>
    </row>
    <row r="324" spans="1:7" s="2773" customFormat="1" ht="14.25" customHeight="1">
      <c r="A324" s="2939" t="s">
        <v>306</v>
      </c>
      <c r="B324" s="2939" t="s">
        <v>3047</v>
      </c>
      <c r="C324" s="2939"/>
      <c r="D324" s="2939"/>
      <c r="E324" s="2939"/>
      <c r="F324" s="2939">
        <v>930</v>
      </c>
      <c r="G324" s="2952"/>
    </row>
    <row r="325" spans="1:7" s="2773" customFormat="1" ht="14.25" customHeight="1">
      <c r="A325" s="2939" t="s">
        <v>306</v>
      </c>
      <c r="B325" s="2940" t="s">
        <v>3049</v>
      </c>
      <c r="C325" s="2939"/>
      <c r="D325" s="2939"/>
      <c r="E325" s="2939"/>
      <c r="F325" s="2939">
        <v>900</v>
      </c>
      <c r="G325" s="2952"/>
    </row>
    <row r="326" spans="1:7" s="2773" customFormat="1" ht="14.25" customHeight="1" thickBot="1">
      <c r="A326" s="2953" t="s">
        <v>306</v>
      </c>
      <c r="B326" s="2946" t="s">
        <v>3051</v>
      </c>
      <c r="C326" s="2946"/>
      <c r="D326" s="2946"/>
      <c r="E326" s="2946"/>
      <c r="F326" s="2946">
        <v>790</v>
      </c>
      <c r="G326" s="2954"/>
    </row>
    <row r="327" spans="1:7" s="2773" customFormat="1" ht="14.25" customHeight="1">
      <c r="A327" s="2944" t="s">
        <v>307</v>
      </c>
      <c r="B327" s="2935" t="s">
        <v>3150</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3151</v>
      </c>
      <c r="C329" s="2939">
        <v>2730</v>
      </c>
      <c r="D329" s="2939">
        <v>2690</v>
      </c>
      <c r="E329" s="2939">
        <v>3100</v>
      </c>
      <c r="F329" s="2939">
        <v>660</v>
      </c>
      <c r="G329" s="2939">
        <v>1610</v>
      </c>
    </row>
    <row r="330" spans="1:7" s="2773" customFormat="1" ht="14.25" customHeight="1">
      <c r="A330" s="2939" t="s">
        <v>307</v>
      </c>
      <c r="B330" s="2939" t="s">
        <v>3152</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2885</v>
      </c>
      <c r="C332" s="2939">
        <v>3520</v>
      </c>
      <c r="D332" s="2939">
        <v>3480</v>
      </c>
      <c r="E332" s="2939">
        <v>3830</v>
      </c>
      <c r="F332" s="2939">
        <v>720</v>
      </c>
      <c r="G332" s="2939">
        <v>2090</v>
      </c>
    </row>
    <row r="333" spans="1:7" s="2773" customFormat="1" ht="14.25" customHeight="1">
      <c r="A333" s="2939" t="s">
        <v>307</v>
      </c>
      <c r="B333" s="2939" t="s">
        <v>3153</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2895</v>
      </c>
      <c r="C336" s="2939">
        <v>3570</v>
      </c>
      <c r="D336" s="2939">
        <v>3530</v>
      </c>
      <c r="E336" s="2939">
        <v>3880</v>
      </c>
      <c r="F336" s="2939">
        <v>770</v>
      </c>
      <c r="G336" s="2939">
        <v>2110</v>
      </c>
    </row>
    <row r="337" spans="1:10" s="2773" customFormat="1" ht="14.25" customHeight="1">
      <c r="A337" s="2939" t="s">
        <v>307</v>
      </c>
      <c r="B337" s="2939" t="s">
        <v>3154</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3155</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3156</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2920</v>
      </c>
      <c r="C345" s="2939">
        <v>3190</v>
      </c>
      <c r="D345" s="2939">
        <v>3140</v>
      </c>
      <c r="E345" s="2939">
        <v>3450</v>
      </c>
      <c r="F345" s="2939">
        <v>720</v>
      </c>
      <c r="G345" s="2939">
        <v>1880</v>
      </c>
      <c r="J345" s="2773"/>
    </row>
    <row r="346" spans="1:10">
      <c r="A346" s="2939" t="s">
        <v>307</v>
      </c>
      <c r="B346" s="2939" t="s">
        <v>3157</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2929</v>
      </c>
      <c r="C348" s="2939">
        <v>4000</v>
      </c>
      <c r="D348" s="2939">
        <v>3950</v>
      </c>
      <c r="E348" s="2939">
        <v>4430</v>
      </c>
      <c r="F348" s="2939">
        <v>760</v>
      </c>
      <c r="G348" s="2939">
        <v>2360</v>
      </c>
      <c r="J348" s="2773"/>
    </row>
    <row r="349" spans="1:10">
      <c r="A349" s="2939" t="s">
        <v>307</v>
      </c>
      <c r="B349" s="2939" t="s">
        <v>2934</v>
      </c>
      <c r="C349" s="2939">
        <v>3820</v>
      </c>
      <c r="D349" s="2939">
        <v>3780</v>
      </c>
      <c r="E349" s="2939">
        <v>4170</v>
      </c>
      <c r="F349" s="2939">
        <v>710</v>
      </c>
      <c r="G349" s="2939">
        <v>2260</v>
      </c>
      <c r="J349" s="2773"/>
    </row>
    <row r="350" spans="1:10">
      <c r="A350" s="2939" t="s">
        <v>307</v>
      </c>
      <c r="B350" s="2939" t="s">
        <v>3158</v>
      </c>
      <c r="C350" s="2939">
        <v>3760</v>
      </c>
      <c r="D350" s="2939">
        <v>3730</v>
      </c>
      <c r="E350" s="2939">
        <v>4100</v>
      </c>
      <c r="F350" s="2939">
        <v>800</v>
      </c>
      <c r="G350" s="2939">
        <v>2230</v>
      </c>
      <c r="J350" s="2773"/>
    </row>
    <row r="351" spans="1:10">
      <c r="A351" s="2939" t="s">
        <v>307</v>
      </c>
      <c r="B351" s="2939" t="s">
        <v>2942</v>
      </c>
      <c r="C351" s="2939">
        <v>3610</v>
      </c>
      <c r="D351" s="2939">
        <v>3580</v>
      </c>
      <c r="E351" s="2939">
        <v>3930</v>
      </c>
      <c r="F351" s="2939">
        <v>700</v>
      </c>
      <c r="G351" s="2939">
        <v>2140</v>
      </c>
      <c r="J351" s="2773"/>
    </row>
    <row r="352" spans="1:10">
      <c r="A352" s="2939" t="s">
        <v>307</v>
      </c>
      <c r="B352" s="2939" t="s">
        <v>2947</v>
      </c>
      <c r="C352" s="2939">
        <v>3670</v>
      </c>
      <c r="D352" s="2939">
        <v>3630</v>
      </c>
      <c r="E352" s="2939">
        <v>4000</v>
      </c>
      <c r="F352" s="2939">
        <v>750</v>
      </c>
      <c r="G352" s="2939">
        <v>2180</v>
      </c>
    </row>
    <row r="353" spans="1:7" s="2774" customFormat="1">
      <c r="A353" s="2939" t="s">
        <v>307</v>
      </c>
      <c r="B353" s="2939" t="s">
        <v>3159</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2967</v>
      </c>
      <c r="C355" s="2939">
        <v>3650</v>
      </c>
      <c r="D355" s="2939">
        <v>3610</v>
      </c>
      <c r="E355" s="2939">
        <v>4200</v>
      </c>
      <c r="F355" s="2939">
        <v>640</v>
      </c>
      <c r="G355" s="2939">
        <v>2160</v>
      </c>
    </row>
    <row r="356" spans="1:7" s="2774" customFormat="1">
      <c r="A356" s="2939" t="s">
        <v>307</v>
      </c>
      <c r="B356" s="2939" t="s">
        <v>2974</v>
      </c>
      <c r="C356" s="2939">
        <v>3260</v>
      </c>
      <c r="D356" s="2939">
        <v>3230</v>
      </c>
      <c r="E356" s="2939">
        <v>3740</v>
      </c>
      <c r="F356" s="2939">
        <v>600</v>
      </c>
      <c r="G356" s="2939">
        <v>1930</v>
      </c>
    </row>
    <row r="357" spans="1:7" s="2774" customFormat="1" ht="11.4" thickBot="1">
      <c r="A357" s="2947" t="s">
        <v>307</v>
      </c>
      <c r="B357" s="2950" t="s">
        <v>3160</v>
      </c>
      <c r="C357" s="2950">
        <v>3690</v>
      </c>
      <c r="D357" s="2950">
        <v>3650</v>
      </c>
      <c r="E357" s="2950">
        <v>4020</v>
      </c>
      <c r="F357" s="2950">
        <v>700</v>
      </c>
      <c r="G357" s="2950">
        <v>2190</v>
      </c>
    </row>
    <row r="358" spans="1:7" s="2774" customFormat="1">
      <c r="A358" s="2944" t="s">
        <v>3161</v>
      </c>
      <c r="B358" s="2935" t="s">
        <v>3162</v>
      </c>
      <c r="C358" s="2935">
        <v>2080</v>
      </c>
      <c r="D358" s="2935">
        <v>2040</v>
      </c>
      <c r="E358" s="2935">
        <v>2010</v>
      </c>
      <c r="F358" s="2935">
        <v>530</v>
      </c>
      <c r="G358" s="2951">
        <v>1230</v>
      </c>
    </row>
    <row r="359" spans="1:7" s="2774" customFormat="1">
      <c r="A359" s="2939" t="s">
        <v>3161</v>
      </c>
      <c r="B359" s="2939" t="s">
        <v>3163</v>
      </c>
      <c r="C359" s="2939">
        <v>1850</v>
      </c>
      <c r="D359" s="2939">
        <v>1820</v>
      </c>
      <c r="E359" s="2939">
        <v>1780</v>
      </c>
      <c r="F359" s="2939">
        <v>520</v>
      </c>
      <c r="G359" s="2952">
        <v>1100</v>
      </c>
    </row>
    <row r="360" spans="1:7" s="2774" customFormat="1">
      <c r="A360" s="2939" t="s">
        <v>3161</v>
      </c>
      <c r="B360" s="2939" t="s">
        <v>3164</v>
      </c>
      <c r="C360" s="2939">
        <v>2020</v>
      </c>
      <c r="D360" s="2939">
        <v>1990</v>
      </c>
      <c r="E360" s="2939">
        <v>1950</v>
      </c>
      <c r="F360" s="2939">
        <v>500</v>
      </c>
      <c r="G360" s="2952">
        <v>1200</v>
      </c>
    </row>
    <row r="361" spans="1:7" s="2774" customFormat="1">
      <c r="A361" s="2939" t="s">
        <v>3161</v>
      </c>
      <c r="B361" s="2939" t="s">
        <v>153</v>
      </c>
      <c r="C361" s="2939">
        <v>2260</v>
      </c>
      <c r="D361" s="2939">
        <v>2220</v>
      </c>
      <c r="E361" s="2939">
        <v>2180</v>
      </c>
      <c r="F361" s="2939">
        <v>580</v>
      </c>
      <c r="G361" s="2952">
        <v>1340</v>
      </c>
    </row>
    <row r="362" spans="1:7" s="2774" customFormat="1">
      <c r="A362" s="2939" t="s">
        <v>3161</v>
      </c>
      <c r="B362" s="2939" t="s">
        <v>3165</v>
      </c>
      <c r="C362" s="2939">
        <v>2650</v>
      </c>
      <c r="D362" s="2939">
        <v>2610</v>
      </c>
      <c r="E362" s="2939">
        <v>2570</v>
      </c>
      <c r="F362" s="2939">
        <v>630</v>
      </c>
      <c r="G362" s="2952">
        <v>1570</v>
      </c>
    </row>
    <row r="363" spans="1:7" s="2774" customFormat="1">
      <c r="A363" s="2939" t="s">
        <v>3161</v>
      </c>
      <c r="B363" s="2939" t="s">
        <v>2886</v>
      </c>
      <c r="C363" s="2939">
        <v>2390</v>
      </c>
      <c r="D363" s="2939">
        <v>2360</v>
      </c>
      <c r="E363" s="2939">
        <v>2320</v>
      </c>
      <c r="F363" s="2939">
        <v>600</v>
      </c>
      <c r="G363" s="2952">
        <v>1420</v>
      </c>
    </row>
    <row r="364" spans="1:7" s="2774" customFormat="1">
      <c r="A364" s="2939" t="s">
        <v>3161</v>
      </c>
      <c r="B364" s="2939" t="s">
        <v>3166</v>
      </c>
      <c r="C364" s="2939">
        <v>2050</v>
      </c>
      <c r="D364" s="2939">
        <v>2030</v>
      </c>
      <c r="E364" s="2939">
        <v>1990</v>
      </c>
      <c r="F364" s="2939">
        <v>550</v>
      </c>
      <c r="G364" s="2952">
        <v>1220</v>
      </c>
    </row>
    <row r="365" spans="1:7" s="2774" customFormat="1">
      <c r="A365" s="2939" t="s">
        <v>3161</v>
      </c>
      <c r="B365" s="2939" t="s">
        <v>200</v>
      </c>
      <c r="C365" s="2939">
        <v>2140</v>
      </c>
      <c r="D365" s="2939">
        <v>2100</v>
      </c>
      <c r="E365" s="2939">
        <v>2060</v>
      </c>
      <c r="F365" s="2939">
        <v>540</v>
      </c>
      <c r="G365" s="2952">
        <v>1270</v>
      </c>
    </row>
    <row r="366" spans="1:7" s="2774" customFormat="1">
      <c r="A366" s="2939" t="s">
        <v>3161</v>
      </c>
      <c r="B366" s="2939" t="s">
        <v>2893</v>
      </c>
      <c r="C366" s="2939">
        <v>2410</v>
      </c>
      <c r="D366" s="2939">
        <v>2370</v>
      </c>
      <c r="E366" s="2939">
        <v>2330</v>
      </c>
      <c r="F366" s="2939">
        <v>570</v>
      </c>
      <c r="G366" s="2952">
        <v>1440</v>
      </c>
    </row>
    <row r="367" spans="1:7" s="2774" customFormat="1">
      <c r="A367" s="2939" t="s">
        <v>3161</v>
      </c>
      <c r="B367" s="2939" t="s">
        <v>3167</v>
      </c>
      <c r="C367" s="2939">
        <v>2300</v>
      </c>
      <c r="D367" s="2939">
        <v>2260</v>
      </c>
      <c r="E367" s="2939">
        <v>2220</v>
      </c>
      <c r="F367" s="2939">
        <v>560</v>
      </c>
      <c r="G367" s="2952">
        <v>1370</v>
      </c>
    </row>
    <row r="368" spans="1:7" s="2774" customFormat="1">
      <c r="A368" s="2939" t="s">
        <v>3161</v>
      </c>
      <c r="B368" s="2939" t="s">
        <v>3168</v>
      </c>
      <c r="C368" s="2939">
        <v>2430</v>
      </c>
      <c r="D368" s="2939">
        <v>2390</v>
      </c>
      <c r="E368" s="2939">
        <v>2350</v>
      </c>
      <c r="F368" s="2939">
        <v>570</v>
      </c>
      <c r="G368" s="2952">
        <v>1450</v>
      </c>
    </row>
    <row r="369" spans="1:7" s="2774" customFormat="1">
      <c r="A369" s="2939" t="s">
        <v>3161</v>
      </c>
      <c r="B369" s="2939" t="s">
        <v>214</v>
      </c>
      <c r="C369" s="2939">
        <v>2320</v>
      </c>
      <c r="D369" s="2939">
        <v>2290</v>
      </c>
      <c r="E369" s="2939">
        <v>2250</v>
      </c>
      <c r="F369" s="2939">
        <v>550</v>
      </c>
      <c r="G369" s="2952">
        <v>1380</v>
      </c>
    </row>
    <row r="370" spans="1:7" s="2774" customFormat="1">
      <c r="A370" s="2939" t="s">
        <v>3161</v>
      </c>
      <c r="B370" s="2939" t="s">
        <v>221</v>
      </c>
      <c r="C370" s="2939">
        <v>2190</v>
      </c>
      <c r="D370" s="2939">
        <v>2170</v>
      </c>
      <c r="E370" s="2939">
        <v>2130</v>
      </c>
      <c r="F370" s="2939">
        <v>530</v>
      </c>
      <c r="G370" s="2952">
        <v>1310</v>
      </c>
    </row>
    <row r="371" spans="1:7" s="2774" customFormat="1">
      <c r="A371" s="2939" t="s">
        <v>3161</v>
      </c>
      <c r="B371" s="2939" t="s">
        <v>229</v>
      </c>
      <c r="C371" s="2939">
        <v>2460</v>
      </c>
      <c r="D371" s="2939">
        <v>2420</v>
      </c>
      <c r="E371" s="2939">
        <v>2370</v>
      </c>
      <c r="F371" s="2939">
        <v>560</v>
      </c>
      <c r="G371" s="2952">
        <v>1470</v>
      </c>
    </row>
    <row r="372" spans="1:7" s="2774" customFormat="1">
      <c r="A372" s="2939" t="s">
        <v>3161</v>
      </c>
      <c r="B372" s="2939" t="s">
        <v>3169</v>
      </c>
      <c r="C372" s="2939">
        <v>2250</v>
      </c>
      <c r="D372" s="2939">
        <v>2210</v>
      </c>
      <c r="E372" s="2939">
        <v>2180</v>
      </c>
      <c r="F372" s="2939">
        <v>550</v>
      </c>
      <c r="G372" s="2952">
        <v>1340</v>
      </c>
    </row>
    <row r="373" spans="1:7" s="2774" customFormat="1">
      <c r="A373" s="2939" t="s">
        <v>3161</v>
      </c>
      <c r="B373" s="2939" t="s">
        <v>258</v>
      </c>
      <c r="C373" s="2939">
        <v>2210</v>
      </c>
      <c r="D373" s="2939">
        <v>2190</v>
      </c>
      <c r="E373" s="2939">
        <v>2150</v>
      </c>
      <c r="F373" s="2939">
        <v>530</v>
      </c>
      <c r="G373" s="2952">
        <v>1320</v>
      </c>
    </row>
    <row r="374" spans="1:7" s="2774" customFormat="1">
      <c r="A374" s="2939" t="s">
        <v>3161</v>
      </c>
      <c r="B374" s="2939" t="s">
        <v>266</v>
      </c>
      <c r="C374" s="2939">
        <v>2320</v>
      </c>
      <c r="D374" s="2939">
        <v>2280</v>
      </c>
      <c r="E374" s="2939">
        <v>2230</v>
      </c>
      <c r="F374" s="2939">
        <v>580</v>
      </c>
      <c r="G374" s="2952">
        <v>1380</v>
      </c>
    </row>
    <row r="375" spans="1:7" s="2774" customFormat="1">
      <c r="A375" s="2939" t="s">
        <v>3161</v>
      </c>
      <c r="B375" s="2939" t="s">
        <v>3170</v>
      </c>
      <c r="C375" s="2939">
        <v>2090</v>
      </c>
      <c r="D375" s="2939">
        <v>2050</v>
      </c>
      <c r="E375" s="2939">
        <v>2020</v>
      </c>
      <c r="F375" s="2939">
        <v>520</v>
      </c>
      <c r="G375" s="2952">
        <v>1240</v>
      </c>
    </row>
    <row r="376" spans="1:7" s="2774" customFormat="1">
      <c r="A376" s="2939" t="s">
        <v>3161</v>
      </c>
      <c r="B376" s="2939" t="s">
        <v>277</v>
      </c>
      <c r="C376" s="2939">
        <v>2010</v>
      </c>
      <c r="D376" s="2939">
        <v>1980</v>
      </c>
      <c r="E376" s="2939">
        <v>1940</v>
      </c>
      <c r="F376" s="2939">
        <v>540</v>
      </c>
      <c r="G376" s="2952">
        <v>1190</v>
      </c>
    </row>
    <row r="377" spans="1:7" s="2774" customFormat="1" ht="11.4" thickBot="1">
      <c r="A377" s="2947" t="s">
        <v>3161</v>
      </c>
      <c r="B377" s="2950" t="s">
        <v>2923</v>
      </c>
      <c r="C377" s="2950">
        <v>1930</v>
      </c>
      <c r="D377" s="2950">
        <v>1890</v>
      </c>
      <c r="E377" s="2950">
        <v>1860</v>
      </c>
      <c r="F377" s="2950">
        <v>530</v>
      </c>
      <c r="G377" s="2955">
        <v>1150</v>
      </c>
    </row>
    <row r="378" spans="1:7" s="2774" customFormat="1">
      <c r="A378" s="2956" t="s">
        <v>3171</v>
      </c>
      <c r="B378" s="2935" t="s">
        <v>3172</v>
      </c>
      <c r="C378" s="2935">
        <v>1520</v>
      </c>
      <c r="D378" s="2935">
        <v>1490</v>
      </c>
      <c r="E378" s="2935">
        <v>1460</v>
      </c>
      <c r="F378" s="2935">
        <v>460</v>
      </c>
      <c r="G378" s="2951">
        <v>940</v>
      </c>
    </row>
    <row r="379" spans="1:7" s="2774" customFormat="1">
      <c r="A379" s="2957" t="s">
        <v>3171</v>
      </c>
      <c r="B379" s="2939" t="s">
        <v>3173</v>
      </c>
      <c r="C379" s="2939">
        <v>1500</v>
      </c>
      <c r="D379" s="2939">
        <v>1470</v>
      </c>
      <c r="E379" s="2939">
        <v>1430</v>
      </c>
      <c r="F379" s="2939">
        <v>460</v>
      </c>
      <c r="G379" s="2952">
        <v>920</v>
      </c>
    </row>
    <row r="380" spans="1:7" s="2774" customFormat="1">
      <c r="A380" s="2957" t="s">
        <v>3171</v>
      </c>
      <c r="B380" s="2939" t="s">
        <v>3174</v>
      </c>
      <c r="C380" s="2939">
        <v>1620</v>
      </c>
      <c r="D380" s="2939">
        <v>1590</v>
      </c>
      <c r="E380" s="2939">
        <v>1560</v>
      </c>
      <c r="F380" s="2939">
        <v>480</v>
      </c>
      <c r="G380" s="2952">
        <v>1000</v>
      </c>
    </row>
    <row r="381" spans="1:7" s="2774" customFormat="1">
      <c r="A381" s="2957" t="s">
        <v>3171</v>
      </c>
      <c r="B381" s="2939" t="s">
        <v>3175</v>
      </c>
      <c r="C381" s="2939">
        <v>1460</v>
      </c>
      <c r="D381" s="2939">
        <v>1430</v>
      </c>
      <c r="E381" s="2939">
        <v>1390</v>
      </c>
      <c r="F381" s="2939">
        <v>450</v>
      </c>
      <c r="G381" s="2952">
        <v>900</v>
      </c>
    </row>
    <row r="382" spans="1:7" s="2774" customFormat="1">
      <c r="A382" s="2957" t="s">
        <v>3171</v>
      </c>
      <c r="B382" s="2939" t="s">
        <v>3176</v>
      </c>
      <c r="C382" s="2939">
        <v>1310</v>
      </c>
      <c r="D382" s="2939">
        <v>1280</v>
      </c>
      <c r="E382" s="2939">
        <v>1250</v>
      </c>
      <c r="F382" s="2939">
        <v>440</v>
      </c>
      <c r="G382" s="2952">
        <v>800</v>
      </c>
    </row>
    <row r="383" spans="1:7" s="2774" customFormat="1">
      <c r="A383" s="2957" t="s">
        <v>3171</v>
      </c>
      <c r="B383" s="2939" t="s">
        <v>3177</v>
      </c>
      <c r="C383" s="2939">
        <v>1260</v>
      </c>
      <c r="D383" s="2939">
        <v>1230</v>
      </c>
      <c r="E383" s="2939">
        <v>1200</v>
      </c>
      <c r="F383" s="2939">
        <v>420</v>
      </c>
      <c r="G383" s="2952">
        <v>770</v>
      </c>
    </row>
    <row r="384" spans="1:7" s="2774" customFormat="1" ht="11.4" thickBot="1">
      <c r="A384" s="2958" t="s">
        <v>3171</v>
      </c>
      <c r="B384" s="2946" t="s">
        <v>3178</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8671875" defaultRowHeight="14.4"/>
  <cols>
    <col min="1" max="1" width="12.6640625" style="2959" customWidth="1"/>
    <col min="2" max="2" width="20" style="2959" customWidth="1"/>
    <col min="3" max="7" width="8.88671875" style="2959"/>
    <col min="8" max="16384" width="8.88671875" style="2805"/>
  </cols>
  <sheetData>
    <row r="1" spans="1:7">
      <c r="A1" s="3639" t="s">
        <v>3179</v>
      </c>
      <c r="B1" s="3639"/>
    </row>
    <row r="2" spans="1:7" ht="15" thickBot="1">
      <c r="A2" s="2960"/>
      <c r="B2" s="2960"/>
    </row>
    <row r="3" spans="1:7" ht="15" thickBot="1">
      <c r="A3" s="2960"/>
      <c r="B3" s="2960"/>
      <c r="C3" s="2961" t="s">
        <v>2809</v>
      </c>
      <c r="D3" s="2961" t="s">
        <v>2865</v>
      </c>
      <c r="E3" s="2961" t="s">
        <v>2811</v>
      </c>
      <c r="F3" s="2961" t="s">
        <v>2866</v>
      </c>
      <c r="G3" s="2961" t="s">
        <v>2629</v>
      </c>
    </row>
    <row r="4" spans="1:7" ht="15" thickBot="1">
      <c r="A4" s="2962" t="s">
        <v>2864</v>
      </c>
      <c r="B4" s="2963" t="s">
        <v>2870</v>
      </c>
      <c r="C4" s="2961"/>
      <c r="D4" s="2961"/>
      <c r="E4" s="2961"/>
      <c r="F4" s="2961"/>
      <c r="G4" s="2961"/>
    </row>
    <row r="5" spans="1:7">
      <c r="A5" s="2964" t="s">
        <v>2838</v>
      </c>
      <c r="B5" s="2965" t="s">
        <v>2852</v>
      </c>
      <c r="C5" s="2966">
        <v>9.8000000000000004E-2</v>
      </c>
      <c r="D5" s="2966">
        <v>8.6999999999999994E-2</v>
      </c>
      <c r="E5" s="2966">
        <v>8.6999999999999994E-2</v>
      </c>
      <c r="F5" s="2966">
        <v>9.8000000000000004E-2</v>
      </c>
      <c r="G5" s="2967">
        <v>9.5000000000000001E-2</v>
      </c>
    </row>
    <row r="6" spans="1:7">
      <c r="A6" s="2968" t="s">
        <v>144</v>
      </c>
      <c r="B6" s="2969" t="s">
        <v>2867</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5" thickBot="1">
      <c r="A9" s="2972" t="s">
        <v>144</v>
      </c>
      <c r="B9" s="2973" t="s">
        <v>154</v>
      </c>
      <c r="C9" s="2974">
        <v>0.1</v>
      </c>
      <c r="D9" s="2974">
        <v>0.1</v>
      </c>
      <c r="E9" s="2974">
        <v>0.1</v>
      </c>
      <c r="F9" s="2975"/>
      <c r="G9" s="2976">
        <v>0.1</v>
      </c>
    </row>
    <row r="10" spans="1:7">
      <c r="A10" s="2964" t="s">
        <v>184</v>
      </c>
      <c r="B10" s="2965" t="s">
        <v>2853</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2903</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5" thickBot="1">
      <c r="A29" s="2972" t="s">
        <v>184</v>
      </c>
      <c r="B29" s="2973" t="s">
        <v>2921</v>
      </c>
      <c r="C29" s="2978"/>
      <c r="D29" s="2974">
        <v>5.1999999999999998E-2</v>
      </c>
      <c r="E29" s="2974">
        <v>7.0000000000000007E-2</v>
      </c>
      <c r="F29" s="2978"/>
      <c r="G29" s="2976">
        <v>7.0999999999999994E-2</v>
      </c>
    </row>
    <row r="30" spans="1:7">
      <c r="A30" s="2979" t="s">
        <v>296</v>
      </c>
      <c r="B30" s="2965" t="s">
        <v>2854</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2840</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2924</v>
      </c>
      <c r="C50" s="2970">
        <v>9.8000000000000004E-2</v>
      </c>
      <c r="D50" s="2970">
        <v>7.2999999999999995E-2</v>
      </c>
      <c r="E50" s="2970">
        <v>7.0999999999999994E-2</v>
      </c>
      <c r="F50" s="2981"/>
      <c r="G50" s="2971">
        <v>7.2999999999999995E-2</v>
      </c>
    </row>
    <row r="51" spans="1:7">
      <c r="A51" s="2980" t="s">
        <v>296</v>
      </c>
      <c r="B51" s="2969" t="s">
        <v>2926</v>
      </c>
      <c r="C51" s="2970">
        <v>9.9000000000000005E-2</v>
      </c>
      <c r="D51" s="2970">
        <v>8.5000000000000006E-2</v>
      </c>
      <c r="E51" s="2970">
        <v>6.3E-2</v>
      </c>
      <c r="F51" s="2981"/>
      <c r="G51" s="2971">
        <v>9.6000000000000002E-2</v>
      </c>
    </row>
    <row r="52" spans="1:7">
      <c r="A52" s="2980" t="s">
        <v>296</v>
      </c>
      <c r="B52" s="2969" t="s">
        <v>2930</v>
      </c>
      <c r="C52" s="2970">
        <v>7.3999999999999996E-2</v>
      </c>
      <c r="D52" s="2970">
        <v>9.6000000000000002E-2</v>
      </c>
      <c r="E52" s="2970">
        <v>0.05</v>
      </c>
      <c r="F52" s="2981"/>
      <c r="G52" s="2971">
        <v>9.8000000000000004E-2</v>
      </c>
    </row>
    <row r="53" spans="1:7">
      <c r="A53" s="2980" t="s">
        <v>296</v>
      </c>
      <c r="B53" s="2969" t="s">
        <v>2935</v>
      </c>
      <c r="C53" s="2970">
        <v>8.5999999999999993E-2</v>
      </c>
      <c r="D53" s="2981"/>
      <c r="E53" s="2970">
        <v>9.1999999999999998E-2</v>
      </c>
      <c r="F53" s="2981"/>
      <c r="G53" s="2982"/>
    </row>
    <row r="54" spans="1:7" ht="15" thickBot="1">
      <c r="A54" s="2983" t="s">
        <v>296</v>
      </c>
      <c r="B54" s="2973" t="s">
        <v>2938</v>
      </c>
      <c r="C54" s="2974">
        <v>9.6000000000000002E-2</v>
      </c>
      <c r="D54" s="2975"/>
      <c r="E54" s="2984"/>
      <c r="F54" s="2975"/>
      <c r="G54" s="2985"/>
    </row>
    <row r="55" spans="1:7">
      <c r="A55" s="2979" t="s">
        <v>110</v>
      </c>
      <c r="B55" s="2965" t="s">
        <v>2855</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2936</v>
      </c>
      <c r="C78" s="2970">
        <v>0.1</v>
      </c>
      <c r="D78" s="2970">
        <v>8.5000000000000006E-2</v>
      </c>
      <c r="E78" s="2970">
        <v>9.6000000000000002E-2</v>
      </c>
      <c r="F78" s="2981"/>
      <c r="G78" s="2971">
        <v>9.6000000000000002E-2</v>
      </c>
    </row>
    <row r="79" spans="1:7">
      <c r="A79" s="2980" t="s">
        <v>110</v>
      </c>
      <c r="B79" s="2969" t="s">
        <v>2939</v>
      </c>
      <c r="C79" s="2970">
        <v>0.05</v>
      </c>
      <c r="D79" s="2970">
        <v>9.6000000000000002E-2</v>
      </c>
      <c r="E79" s="2970">
        <v>9.5000000000000001E-2</v>
      </c>
      <c r="F79" s="2981"/>
      <c r="G79" s="2971">
        <v>9.8000000000000004E-2</v>
      </c>
    </row>
    <row r="80" spans="1:7">
      <c r="A80" s="2980" t="s">
        <v>110</v>
      </c>
      <c r="B80" s="2969" t="s">
        <v>2943</v>
      </c>
      <c r="C80" s="2970">
        <v>8.5999999999999993E-2</v>
      </c>
      <c r="D80" s="2986"/>
      <c r="E80" s="2970">
        <v>0.1</v>
      </c>
      <c r="F80" s="2981"/>
      <c r="G80" s="2982"/>
    </row>
    <row r="81" spans="1:7">
      <c r="A81" s="2980" t="s">
        <v>110</v>
      </c>
      <c r="B81" s="2969" t="s">
        <v>2948</v>
      </c>
      <c r="C81" s="2970">
        <v>9.6000000000000002E-2</v>
      </c>
      <c r="D81" s="2981"/>
      <c r="E81" s="2970">
        <v>9.8000000000000004E-2</v>
      </c>
      <c r="F81" s="2981"/>
      <c r="G81" s="2982"/>
    </row>
    <row r="82" spans="1:7">
      <c r="A82" s="2980" t="s">
        <v>110</v>
      </c>
      <c r="B82" s="2969" t="s">
        <v>2955</v>
      </c>
      <c r="C82" s="2986"/>
      <c r="D82" s="2981"/>
      <c r="E82" s="2970">
        <v>7.6999999999999999E-2</v>
      </c>
      <c r="F82" s="2981"/>
      <c r="G82" s="2982"/>
    </row>
    <row r="83" spans="1:7">
      <c r="A83" s="2980" t="s">
        <v>110</v>
      </c>
      <c r="B83" s="2969" t="s">
        <v>2961</v>
      </c>
      <c r="C83" s="2981"/>
      <c r="D83" s="2981"/>
      <c r="E83" s="2981"/>
      <c r="F83" s="2970">
        <v>0.1</v>
      </c>
      <c r="G83" s="2987"/>
    </row>
    <row r="84" spans="1:7">
      <c r="A84" s="2980" t="s">
        <v>110</v>
      </c>
      <c r="B84" s="2969" t="s">
        <v>2968</v>
      </c>
      <c r="C84" s="2981"/>
      <c r="D84" s="2981"/>
      <c r="E84" s="2981"/>
      <c r="F84" s="2970">
        <v>0.1</v>
      </c>
      <c r="G84" s="2987"/>
    </row>
    <row r="85" spans="1:7">
      <c r="A85" s="2980" t="s">
        <v>110</v>
      </c>
      <c r="B85" s="2969" t="s">
        <v>2975</v>
      </c>
      <c r="C85" s="2981"/>
      <c r="D85" s="2981"/>
      <c r="E85" s="2981"/>
      <c r="F85" s="2970">
        <v>0.1</v>
      </c>
      <c r="G85" s="2987"/>
    </row>
    <row r="86" spans="1:7" ht="15" thickBot="1">
      <c r="A86" s="2983" t="s">
        <v>110</v>
      </c>
      <c r="B86" s="2973" t="s">
        <v>2980</v>
      </c>
      <c r="C86" s="2974">
        <v>9.8000000000000004E-2</v>
      </c>
      <c r="D86" s="2974">
        <v>9.8000000000000004E-2</v>
      </c>
      <c r="E86" s="2974">
        <v>9.6000000000000002E-2</v>
      </c>
      <c r="F86" s="2984"/>
      <c r="G86" s="2976">
        <v>0.1</v>
      </c>
    </row>
    <row r="87" spans="1:7">
      <c r="A87" s="2979" t="s">
        <v>303</v>
      </c>
      <c r="B87" s="2965" t="s">
        <v>2856</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2949</v>
      </c>
      <c r="C113" s="2970">
        <v>0.1</v>
      </c>
      <c r="D113" s="2970">
        <v>0.1</v>
      </c>
      <c r="E113" s="2981"/>
      <c r="F113" s="2981"/>
      <c r="G113" s="2971">
        <v>0.1</v>
      </c>
    </row>
    <row r="114" spans="1:7">
      <c r="A114" s="2980" t="s">
        <v>303</v>
      </c>
      <c r="B114" s="2969" t="s">
        <v>2956</v>
      </c>
      <c r="C114" s="2970">
        <v>9.7000000000000003E-2</v>
      </c>
      <c r="D114" s="2970">
        <v>9.7000000000000003E-2</v>
      </c>
      <c r="E114" s="2981"/>
      <c r="F114" s="2981"/>
      <c r="G114" s="2971">
        <v>9.9000000000000005E-2</v>
      </c>
    </row>
    <row r="115" spans="1:7">
      <c r="A115" s="2980" t="s">
        <v>303</v>
      </c>
      <c r="B115" s="2969" t="s">
        <v>2962</v>
      </c>
      <c r="C115" s="2970">
        <v>0.1</v>
      </c>
      <c r="D115" s="2970">
        <v>0.1</v>
      </c>
      <c r="E115" s="2981"/>
      <c r="F115" s="2981"/>
      <c r="G115" s="2971">
        <v>0.1</v>
      </c>
    </row>
    <row r="116" spans="1:7">
      <c r="A116" s="2980" t="s">
        <v>303</v>
      </c>
      <c r="B116" s="2969" t="s">
        <v>2969</v>
      </c>
      <c r="C116" s="2970">
        <v>0.1</v>
      </c>
      <c r="D116" s="2970">
        <v>0.1</v>
      </c>
      <c r="E116" s="2981"/>
      <c r="F116" s="2981"/>
      <c r="G116" s="2971">
        <v>0.1</v>
      </c>
    </row>
    <row r="117" spans="1:7">
      <c r="A117" s="2980" t="s">
        <v>303</v>
      </c>
      <c r="B117" s="2969" t="s">
        <v>2976</v>
      </c>
      <c r="C117" s="2970">
        <v>9.7000000000000003E-2</v>
      </c>
      <c r="D117" s="2970">
        <v>9.7000000000000003E-2</v>
      </c>
      <c r="E117" s="2981"/>
      <c r="F117" s="2981"/>
      <c r="G117" s="2971">
        <v>9.7000000000000003E-2</v>
      </c>
    </row>
    <row r="118" spans="1:7">
      <c r="A118" s="2980" t="s">
        <v>303</v>
      </c>
      <c r="B118" s="2969" t="s">
        <v>2981</v>
      </c>
      <c r="C118" s="2970">
        <v>0.1</v>
      </c>
      <c r="D118" s="2970">
        <v>0.1</v>
      </c>
      <c r="E118" s="2981"/>
      <c r="F118" s="2981"/>
      <c r="G118" s="2971">
        <v>0.1</v>
      </c>
    </row>
    <row r="119" spans="1:7">
      <c r="A119" s="2980" t="s">
        <v>303</v>
      </c>
      <c r="B119" s="2969" t="s">
        <v>2985</v>
      </c>
      <c r="C119" s="2970">
        <v>5.0999999999999997E-2</v>
      </c>
      <c r="D119" s="2970">
        <v>5.1999999999999998E-2</v>
      </c>
      <c r="E119" s="2981"/>
      <c r="F119" s="2986"/>
      <c r="G119" s="2971">
        <v>0.06</v>
      </c>
    </row>
    <row r="120" spans="1:7">
      <c r="A120" s="2980" t="s">
        <v>303</v>
      </c>
      <c r="B120" s="2969" t="s">
        <v>2989</v>
      </c>
      <c r="C120" s="2981"/>
      <c r="D120" s="2981"/>
      <c r="E120" s="2981"/>
      <c r="F120" s="2970">
        <v>0.1</v>
      </c>
      <c r="G120" s="2987"/>
    </row>
    <row r="121" spans="1:7">
      <c r="A121" s="2980" t="s">
        <v>303</v>
      </c>
      <c r="B121" s="2969" t="s">
        <v>2994</v>
      </c>
      <c r="C121" s="2981"/>
      <c r="D121" s="2981"/>
      <c r="E121" s="2981"/>
      <c r="F121" s="2970">
        <v>0.1</v>
      </c>
      <c r="G121" s="2987"/>
    </row>
    <row r="122" spans="1:7">
      <c r="A122" s="2980" t="s">
        <v>303</v>
      </c>
      <c r="B122" s="2969" t="s">
        <v>2999</v>
      </c>
      <c r="C122" s="2970">
        <v>0.1</v>
      </c>
      <c r="D122" s="2970">
        <v>0.1</v>
      </c>
      <c r="E122" s="2970">
        <v>9.8000000000000004E-2</v>
      </c>
      <c r="F122" s="2970">
        <v>0.1</v>
      </c>
      <c r="G122" s="2971">
        <v>0.1</v>
      </c>
    </row>
    <row r="123" spans="1:7">
      <c r="A123" s="2980" t="s">
        <v>303</v>
      </c>
      <c r="B123" s="2969" t="s">
        <v>3004</v>
      </c>
      <c r="C123" s="2970">
        <v>0.1</v>
      </c>
      <c r="D123" s="2970">
        <v>0.1</v>
      </c>
      <c r="E123" s="2970">
        <v>9.8000000000000004E-2</v>
      </c>
      <c r="F123" s="2970">
        <v>0.1</v>
      </c>
      <c r="G123" s="2971">
        <v>0.1</v>
      </c>
    </row>
    <row r="124" spans="1:7">
      <c r="A124" s="2980" t="s">
        <v>303</v>
      </c>
      <c r="B124" s="2969" t="s">
        <v>3009</v>
      </c>
      <c r="C124" s="2970">
        <v>0.1</v>
      </c>
      <c r="D124" s="2970">
        <v>0.1</v>
      </c>
      <c r="E124" s="2970">
        <v>9.8000000000000004E-2</v>
      </c>
      <c r="F124" s="2986"/>
      <c r="G124" s="2971">
        <v>0.1</v>
      </c>
    </row>
    <row r="125" spans="1:7">
      <c r="A125" s="2980" t="s">
        <v>303</v>
      </c>
      <c r="B125" s="2969" t="s">
        <v>3014</v>
      </c>
      <c r="C125" s="2970">
        <v>9.8000000000000004E-2</v>
      </c>
      <c r="D125" s="2970">
        <v>9.8000000000000004E-2</v>
      </c>
      <c r="E125" s="2970">
        <v>9.6000000000000002E-2</v>
      </c>
      <c r="F125" s="2986"/>
      <c r="G125" s="2971">
        <v>0.1</v>
      </c>
    </row>
    <row r="126" spans="1:7" ht="15" thickBot="1">
      <c r="A126" s="2983" t="s">
        <v>303</v>
      </c>
      <c r="B126" s="2973" t="s">
        <v>3180</v>
      </c>
      <c r="C126" s="2974">
        <v>0.1</v>
      </c>
      <c r="D126" s="2974">
        <v>0.1</v>
      </c>
      <c r="E126" s="2974">
        <v>9.8000000000000004E-2</v>
      </c>
      <c r="F126" s="2974">
        <v>0.1</v>
      </c>
      <c r="G126" s="2976">
        <v>0.1</v>
      </c>
    </row>
    <row r="127" spans="1:7">
      <c r="A127" s="2979" t="s">
        <v>29</v>
      </c>
      <c r="B127" s="2965" t="s">
        <v>2857</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2927</v>
      </c>
      <c r="C148" s="2970">
        <v>0.13</v>
      </c>
      <c r="D148" s="2970">
        <v>0.13</v>
      </c>
      <c r="E148" s="2970">
        <v>0.13</v>
      </c>
      <c r="F148" s="2981"/>
      <c r="G148" s="2971">
        <v>0.13</v>
      </c>
    </row>
    <row r="149" spans="1:7">
      <c r="A149" s="2980" t="s">
        <v>29</v>
      </c>
      <c r="B149" s="2969" t="s">
        <v>2931</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2950</v>
      </c>
      <c r="C153" s="2970">
        <v>0.13</v>
      </c>
      <c r="D153" s="2970">
        <v>0.13</v>
      </c>
      <c r="E153" s="2970">
        <v>0.13</v>
      </c>
      <c r="F153" s="2970">
        <v>0.13</v>
      </c>
      <c r="G153" s="2971">
        <v>0.13</v>
      </c>
    </row>
    <row r="154" spans="1:7">
      <c r="A154" s="2980" t="s">
        <v>29</v>
      </c>
      <c r="B154" s="2969" t="s">
        <v>2957</v>
      </c>
      <c r="C154" s="2970">
        <v>0.121</v>
      </c>
      <c r="D154" s="2970">
        <v>0.121</v>
      </c>
      <c r="E154" s="2970">
        <v>0.105</v>
      </c>
      <c r="F154" s="2970">
        <v>0.121</v>
      </c>
      <c r="G154" s="2971">
        <v>0.123</v>
      </c>
    </row>
    <row r="155" spans="1:7">
      <c r="A155" s="2980" t="s">
        <v>29</v>
      </c>
      <c r="B155" s="2969" t="s">
        <v>2963</v>
      </c>
      <c r="C155" s="2970">
        <v>0.1</v>
      </c>
      <c r="D155" s="2970">
        <v>0.1</v>
      </c>
      <c r="E155" s="2970">
        <v>0.1</v>
      </c>
      <c r="F155" s="2970">
        <v>0.1</v>
      </c>
      <c r="G155" s="2971">
        <v>0.1</v>
      </c>
    </row>
    <row r="156" spans="1:7">
      <c r="A156" s="2980" t="s">
        <v>29</v>
      </c>
      <c r="B156" s="2969" t="s">
        <v>2970</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2990</v>
      </c>
      <c r="C160" s="2970">
        <v>0.13</v>
      </c>
      <c r="D160" s="2970">
        <v>0.13</v>
      </c>
      <c r="E160" s="2970">
        <v>0.124</v>
      </c>
      <c r="F160" s="2970">
        <v>0.126</v>
      </c>
      <c r="G160" s="2971">
        <v>0.13</v>
      </c>
    </row>
    <row r="161" spans="1:7">
      <c r="A161" s="2980" t="s">
        <v>29</v>
      </c>
      <c r="B161" s="2969" t="s">
        <v>2995</v>
      </c>
      <c r="C161" s="2970">
        <v>0.13</v>
      </c>
      <c r="D161" s="2970">
        <v>0.13</v>
      </c>
      <c r="E161" s="2970">
        <v>0.124</v>
      </c>
      <c r="F161" s="2970">
        <v>0.127</v>
      </c>
      <c r="G161" s="2971">
        <v>0.13</v>
      </c>
    </row>
    <row r="162" spans="1:7">
      <c r="A162" s="2980" t="s">
        <v>29</v>
      </c>
      <c r="B162" s="2969" t="s">
        <v>3000</v>
      </c>
      <c r="C162" s="2970">
        <v>0.1</v>
      </c>
      <c r="D162" s="2970">
        <v>0.1</v>
      </c>
      <c r="E162" s="2970">
        <v>0.1</v>
      </c>
      <c r="F162" s="2970">
        <v>0.121</v>
      </c>
      <c r="G162" s="2971">
        <v>0.105</v>
      </c>
    </row>
    <row r="163" spans="1:7">
      <c r="A163" s="2980" t="s">
        <v>29</v>
      </c>
      <c r="B163" s="2969" t="s">
        <v>3005</v>
      </c>
      <c r="C163" s="2970">
        <v>0.1</v>
      </c>
      <c r="D163" s="2970">
        <v>0.1</v>
      </c>
      <c r="E163" s="2970">
        <v>0.1</v>
      </c>
      <c r="F163" s="2970">
        <v>0.1</v>
      </c>
      <c r="G163" s="2971">
        <v>0.1</v>
      </c>
    </row>
    <row r="164" spans="1:7">
      <c r="A164" s="2980" t="s">
        <v>29</v>
      </c>
      <c r="B164" s="2969" t="s">
        <v>3010</v>
      </c>
      <c r="C164" s="2986"/>
      <c r="D164" s="2986"/>
      <c r="E164" s="2986"/>
      <c r="F164" s="2970">
        <v>0.1</v>
      </c>
      <c r="G164" s="2982"/>
    </row>
    <row r="165" spans="1:7">
      <c r="A165" s="2980" t="s">
        <v>29</v>
      </c>
      <c r="B165" s="2969" t="s">
        <v>3181</v>
      </c>
      <c r="C165" s="2970">
        <v>0.126</v>
      </c>
      <c r="D165" s="2970">
        <v>0.126</v>
      </c>
      <c r="E165" s="2970">
        <v>0.11899999999999999</v>
      </c>
      <c r="F165" s="2970">
        <v>0.13</v>
      </c>
      <c r="G165" s="2971">
        <v>0.128</v>
      </c>
    </row>
    <row r="166" spans="1:7">
      <c r="A166" s="2980" t="s">
        <v>29</v>
      </c>
      <c r="B166" s="2969" t="s">
        <v>3020</v>
      </c>
      <c r="C166" s="2970">
        <v>0.129</v>
      </c>
      <c r="D166" s="2970">
        <v>0.129</v>
      </c>
      <c r="E166" s="2970">
        <v>0.123</v>
      </c>
      <c r="F166" s="2970">
        <v>0.128</v>
      </c>
      <c r="G166" s="2971">
        <v>0.13</v>
      </c>
    </row>
    <row r="167" spans="1:7">
      <c r="A167" s="2980" t="s">
        <v>29</v>
      </c>
      <c r="B167" s="2969" t="s">
        <v>3024</v>
      </c>
      <c r="C167" s="2970">
        <v>0.125</v>
      </c>
      <c r="D167" s="2970">
        <v>0.125</v>
      </c>
      <c r="E167" s="2970">
        <v>0.11700000000000001</v>
      </c>
      <c r="F167" s="2970">
        <v>0.13</v>
      </c>
      <c r="G167" s="2971">
        <v>0.126</v>
      </c>
    </row>
    <row r="168" spans="1:7">
      <c r="A168" s="2980" t="s">
        <v>29</v>
      </c>
      <c r="B168" s="2969" t="s">
        <v>3029</v>
      </c>
      <c r="C168" s="2970">
        <v>0.128</v>
      </c>
      <c r="D168" s="2970">
        <v>0.128</v>
      </c>
      <c r="E168" s="2970">
        <v>0.123</v>
      </c>
      <c r="F168" s="2981"/>
      <c r="G168" s="2971">
        <v>0.13</v>
      </c>
    </row>
    <row r="169" spans="1:7">
      <c r="A169" s="2980" t="s">
        <v>29</v>
      </c>
      <c r="B169" s="2969" t="s">
        <v>3182</v>
      </c>
      <c r="C169" s="2986"/>
      <c r="D169" s="2986"/>
      <c r="E169" s="2986"/>
      <c r="F169" s="2970">
        <v>0.05</v>
      </c>
      <c r="G169" s="2982"/>
    </row>
    <row r="170" spans="1:7">
      <c r="A170" s="2980" t="s">
        <v>29</v>
      </c>
      <c r="B170" s="2969" t="s">
        <v>3183</v>
      </c>
      <c r="C170" s="2986"/>
      <c r="D170" s="2986"/>
      <c r="E170" s="2986"/>
      <c r="F170" s="2970">
        <v>0.05</v>
      </c>
      <c r="G170" s="2982"/>
    </row>
    <row r="171" spans="1:7">
      <c r="A171" s="2980" t="s">
        <v>29</v>
      </c>
      <c r="B171" s="2969" t="s">
        <v>3184</v>
      </c>
      <c r="C171" s="2986"/>
      <c r="D171" s="2986"/>
      <c r="E171" s="2986"/>
      <c r="F171" s="2970">
        <v>0.05</v>
      </c>
      <c r="G171" s="2987"/>
    </row>
    <row r="172" spans="1:7">
      <c r="A172" s="2980" t="s">
        <v>29</v>
      </c>
      <c r="B172" s="2969" t="s">
        <v>3185</v>
      </c>
      <c r="C172" s="2986"/>
      <c r="D172" s="2986"/>
      <c r="E172" s="2986"/>
      <c r="F172" s="2970">
        <v>0.05</v>
      </c>
      <c r="G172" s="2987"/>
    </row>
    <row r="173" spans="1:7">
      <c r="A173" s="2980" t="s">
        <v>29</v>
      </c>
      <c r="B173" s="2969" t="s">
        <v>3186</v>
      </c>
      <c r="C173" s="2986"/>
      <c r="D173" s="2986"/>
      <c r="E173" s="2986"/>
      <c r="F173" s="2970">
        <v>0.05</v>
      </c>
      <c r="G173" s="2982"/>
    </row>
    <row r="174" spans="1:7">
      <c r="A174" s="2980" t="s">
        <v>29</v>
      </c>
      <c r="B174" s="2969" t="s">
        <v>3187</v>
      </c>
      <c r="C174" s="2986"/>
      <c r="D174" s="2986"/>
      <c r="E174" s="2986"/>
      <c r="F174" s="2970">
        <v>0.05</v>
      </c>
      <c r="G174" s="2982"/>
    </row>
    <row r="175" spans="1:7">
      <c r="A175" s="2980" t="s">
        <v>29</v>
      </c>
      <c r="B175" s="2969" t="s">
        <v>3188</v>
      </c>
      <c r="C175" s="2986"/>
      <c r="D175" s="2986"/>
      <c r="E175" s="2986"/>
      <c r="F175" s="2970">
        <v>0.05</v>
      </c>
      <c r="G175" s="2982"/>
    </row>
    <row r="176" spans="1:7">
      <c r="A176" s="2980" t="s">
        <v>29</v>
      </c>
      <c r="B176" s="2969" t="s">
        <v>3189</v>
      </c>
      <c r="C176" s="2986"/>
      <c r="D176" s="2986"/>
      <c r="E176" s="2986"/>
      <c r="F176" s="2970">
        <v>0.05</v>
      </c>
      <c r="G176" s="2982"/>
    </row>
    <row r="177" spans="1:7">
      <c r="A177" s="2980" t="s">
        <v>29</v>
      </c>
      <c r="B177" s="2969" t="s">
        <v>3190</v>
      </c>
      <c r="C177" s="2981"/>
      <c r="D177" s="2981"/>
      <c r="E177" s="2981"/>
      <c r="F177" s="2970">
        <v>0.05</v>
      </c>
      <c r="G177" s="2987"/>
    </row>
    <row r="178" spans="1:7">
      <c r="A178" s="2980" t="s">
        <v>29</v>
      </c>
      <c r="B178" s="2969" t="s">
        <v>3191</v>
      </c>
      <c r="C178" s="2981"/>
      <c r="D178" s="2981"/>
      <c r="E178" s="2981"/>
      <c r="F178" s="2970">
        <v>0.05</v>
      </c>
      <c r="G178" s="2987"/>
    </row>
    <row r="179" spans="1:7">
      <c r="A179" s="2980" t="s">
        <v>29</v>
      </c>
      <c r="B179" s="2969" t="s">
        <v>3192</v>
      </c>
      <c r="C179" s="2981"/>
      <c r="D179" s="2981"/>
      <c r="E179" s="2981"/>
      <c r="F179" s="2970">
        <v>0.05</v>
      </c>
      <c r="G179" s="2987"/>
    </row>
    <row r="180" spans="1:7">
      <c r="A180" s="2980" t="s">
        <v>29</v>
      </c>
      <c r="B180" s="2969" t="s">
        <v>3193</v>
      </c>
      <c r="C180" s="2981"/>
      <c r="D180" s="2981"/>
      <c r="E180" s="2981"/>
      <c r="F180" s="2970">
        <v>0.05</v>
      </c>
      <c r="G180" s="2987"/>
    </row>
    <row r="181" spans="1:7">
      <c r="A181" s="2980" t="s">
        <v>29</v>
      </c>
      <c r="B181" s="2969" t="s">
        <v>3194</v>
      </c>
      <c r="C181" s="2981"/>
      <c r="D181" s="2981"/>
      <c r="E181" s="2981"/>
      <c r="F181" s="2970">
        <v>0.05</v>
      </c>
      <c r="G181" s="2987"/>
    </row>
    <row r="182" spans="1:7">
      <c r="A182" s="2980" t="s">
        <v>29</v>
      </c>
      <c r="B182" s="2969" t="s">
        <v>3195</v>
      </c>
      <c r="C182" s="2981"/>
      <c r="D182" s="2981"/>
      <c r="E182" s="2981"/>
      <c r="F182" s="2970">
        <v>0.05</v>
      </c>
      <c r="G182" s="2987"/>
    </row>
    <row r="183" spans="1:7">
      <c r="A183" s="2980" t="s">
        <v>29</v>
      </c>
      <c r="B183" s="2969" t="s">
        <v>3196</v>
      </c>
      <c r="C183" s="2981"/>
      <c r="D183" s="2981"/>
      <c r="E183" s="2981"/>
      <c r="F183" s="2970">
        <v>0.05</v>
      </c>
      <c r="G183" s="2987"/>
    </row>
    <row r="184" spans="1:7">
      <c r="A184" s="2980" t="s">
        <v>29</v>
      </c>
      <c r="B184" s="2969" t="s">
        <v>3197</v>
      </c>
      <c r="C184" s="2981"/>
      <c r="D184" s="2981"/>
      <c r="E184" s="2981"/>
      <c r="F184" s="2970">
        <v>0.05</v>
      </c>
      <c r="G184" s="2987"/>
    </row>
    <row r="185" spans="1:7">
      <c r="A185" s="2980" t="s">
        <v>29</v>
      </c>
      <c r="B185" s="2969" t="s">
        <v>3198</v>
      </c>
      <c r="C185" s="2981"/>
      <c r="D185" s="2981"/>
      <c r="E185" s="2981"/>
      <c r="F185" s="2970">
        <v>0.05</v>
      </c>
      <c r="G185" s="2987"/>
    </row>
    <row r="186" spans="1:7">
      <c r="A186" s="2980" t="s">
        <v>29</v>
      </c>
      <c r="B186" s="2969" t="s">
        <v>3199</v>
      </c>
      <c r="C186" s="2981"/>
      <c r="D186" s="2981"/>
      <c r="E186" s="2981"/>
      <c r="F186" s="2970">
        <v>0.05</v>
      </c>
      <c r="G186" s="2987"/>
    </row>
    <row r="187" spans="1:7">
      <c r="A187" s="2980" t="s">
        <v>29</v>
      </c>
      <c r="B187" s="2969" t="s">
        <v>3200</v>
      </c>
      <c r="C187" s="2981"/>
      <c r="D187" s="2981"/>
      <c r="E187" s="2981"/>
      <c r="F187" s="2970">
        <v>0.05</v>
      </c>
      <c r="G187" s="2987"/>
    </row>
    <row r="188" spans="1:7">
      <c r="A188" s="2980" t="s">
        <v>29</v>
      </c>
      <c r="B188" s="2969" t="s">
        <v>3201</v>
      </c>
      <c r="C188" s="2981"/>
      <c r="D188" s="2981"/>
      <c r="E188" s="2981"/>
      <c r="F188" s="2970">
        <v>0.05</v>
      </c>
      <c r="G188" s="2987"/>
    </row>
    <row r="189" spans="1:7" ht="15" thickBot="1">
      <c r="A189" s="2983" t="s">
        <v>29</v>
      </c>
      <c r="B189" s="2973" t="s">
        <v>3202</v>
      </c>
      <c r="C189" s="2975"/>
      <c r="D189" s="2975"/>
      <c r="E189" s="2975"/>
      <c r="F189" s="2974">
        <v>0.05</v>
      </c>
      <c r="G189" s="2988"/>
    </row>
    <row r="190" spans="1:7">
      <c r="A190" s="2979" t="s">
        <v>304</v>
      </c>
      <c r="B190" s="2965" t="s">
        <v>2858</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2894</v>
      </c>
      <c r="C199" s="2970">
        <v>0.13</v>
      </c>
      <c r="D199" s="2970">
        <v>0.13</v>
      </c>
      <c r="E199" s="2970">
        <v>0.13</v>
      </c>
      <c r="F199" s="2970">
        <v>0.13</v>
      </c>
      <c r="G199" s="2971">
        <v>0.13</v>
      </c>
    </row>
    <row r="200" spans="1:7">
      <c r="A200" s="2980" t="s">
        <v>304</v>
      </c>
      <c r="B200" s="2969" t="s">
        <v>2897</v>
      </c>
      <c r="C200" s="2986"/>
      <c r="D200" s="2986"/>
      <c r="E200" s="2986"/>
      <c r="F200" s="2970">
        <v>0.13</v>
      </c>
      <c r="G200" s="2982"/>
    </row>
    <row r="201" spans="1:7">
      <c r="A201" s="2980" t="s">
        <v>304</v>
      </c>
      <c r="B201" s="2969" t="s">
        <v>2902</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2905</v>
      </c>
      <c r="C203" s="2970">
        <v>0.129</v>
      </c>
      <c r="D203" s="2970">
        <v>0.129</v>
      </c>
      <c r="E203" s="2970">
        <v>0.13</v>
      </c>
      <c r="F203" s="2970">
        <v>0.13</v>
      </c>
      <c r="G203" s="2971">
        <v>0.13</v>
      </c>
    </row>
    <row r="204" spans="1:7">
      <c r="A204" s="2980" t="s">
        <v>304</v>
      </c>
      <c r="B204" s="2969" t="s">
        <v>2908</v>
      </c>
      <c r="C204" s="2970">
        <v>0.129</v>
      </c>
      <c r="D204" s="2970">
        <v>0.129</v>
      </c>
      <c r="E204" s="2970">
        <v>0.123</v>
      </c>
      <c r="F204" s="2970">
        <v>0.13</v>
      </c>
      <c r="G204" s="2971">
        <v>0.13</v>
      </c>
    </row>
    <row r="205" spans="1:7">
      <c r="A205" s="2980" t="s">
        <v>304</v>
      </c>
      <c r="B205" s="2969" t="s">
        <v>2910</v>
      </c>
      <c r="C205" s="2970">
        <v>0.13</v>
      </c>
      <c r="D205" s="2970">
        <v>0.13</v>
      </c>
      <c r="E205" s="2970">
        <v>0.13</v>
      </c>
      <c r="F205" s="2970">
        <v>0.13</v>
      </c>
      <c r="G205" s="2971">
        <v>0.13</v>
      </c>
    </row>
    <row r="206" spans="1:7">
      <c r="A206" s="2980" t="s">
        <v>304</v>
      </c>
      <c r="B206" s="2969" t="s">
        <v>2913</v>
      </c>
      <c r="C206" s="2970">
        <v>0.13</v>
      </c>
      <c r="D206" s="2970">
        <v>0.13</v>
      </c>
      <c r="E206" s="2970">
        <v>0.13</v>
      </c>
      <c r="F206" s="2970">
        <v>0.128</v>
      </c>
      <c r="G206" s="2971">
        <v>0.13</v>
      </c>
    </row>
    <row r="207" spans="1:7">
      <c r="A207" s="2980" t="s">
        <v>304</v>
      </c>
      <c r="B207" s="2969" t="s">
        <v>2915</v>
      </c>
      <c r="C207" s="2970">
        <v>0.13</v>
      </c>
      <c r="D207" s="2970">
        <v>0.13</v>
      </c>
      <c r="E207" s="2970">
        <v>0.13</v>
      </c>
      <c r="F207" s="2970">
        <v>0.13</v>
      </c>
      <c r="G207" s="2971">
        <v>0.13</v>
      </c>
    </row>
    <row r="208" spans="1:7">
      <c r="A208" s="2980" t="s">
        <v>304</v>
      </c>
      <c r="B208" s="2969" t="s">
        <v>2918</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2925</v>
      </c>
      <c r="C210" s="2970">
        <v>0.121</v>
      </c>
      <c r="D210" s="2970">
        <v>0.121</v>
      </c>
      <c r="E210" s="2970">
        <v>0.125</v>
      </c>
      <c r="F210" s="2970">
        <v>0.13</v>
      </c>
      <c r="G210" s="2971">
        <v>0.123</v>
      </c>
    </row>
    <row r="211" spans="1:7">
      <c r="A211" s="2980" t="s">
        <v>304</v>
      </c>
      <c r="B211" s="2969" t="s">
        <v>2928</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2940</v>
      </c>
      <c r="C214" s="2970">
        <v>0.128</v>
      </c>
      <c r="D214" s="2970">
        <v>0.128</v>
      </c>
      <c r="E214" s="2970">
        <v>0.13</v>
      </c>
      <c r="F214" s="2970">
        <v>0.13</v>
      </c>
      <c r="G214" s="2971">
        <v>0.13</v>
      </c>
    </row>
    <row r="215" spans="1:7">
      <c r="A215" s="2980" t="s">
        <v>304</v>
      </c>
      <c r="B215" s="2969" t="s">
        <v>2944</v>
      </c>
      <c r="C215" s="2970">
        <v>0.13</v>
      </c>
      <c r="D215" s="2970">
        <v>0.13</v>
      </c>
      <c r="E215" s="2970">
        <v>0.13</v>
      </c>
      <c r="F215" s="2970">
        <v>0.129</v>
      </c>
      <c r="G215" s="2971">
        <v>0.13</v>
      </c>
    </row>
    <row r="216" spans="1:7">
      <c r="A216" s="2980" t="s">
        <v>304</v>
      </c>
      <c r="B216" s="2969" t="s">
        <v>2951</v>
      </c>
      <c r="C216" s="2970">
        <v>0.13</v>
      </c>
      <c r="D216" s="2970">
        <v>0.13</v>
      </c>
      <c r="E216" s="2970">
        <v>0.13</v>
      </c>
      <c r="F216" s="2970">
        <v>0.13</v>
      </c>
      <c r="G216" s="2971">
        <v>0.13</v>
      </c>
    </row>
    <row r="217" spans="1:7">
      <c r="A217" s="2980" t="s">
        <v>304</v>
      </c>
      <c r="B217" s="2969" t="s">
        <v>2958</v>
      </c>
      <c r="C217" s="2970">
        <v>0.129</v>
      </c>
      <c r="D217" s="2970">
        <v>0.129</v>
      </c>
      <c r="E217" s="2970">
        <v>0.13</v>
      </c>
      <c r="F217" s="2970">
        <v>0.13</v>
      </c>
      <c r="G217" s="2971">
        <v>0.13</v>
      </c>
    </row>
    <row r="218" spans="1:7">
      <c r="A218" s="2980" t="s">
        <v>304</v>
      </c>
      <c r="B218" s="2969" t="s">
        <v>2964</v>
      </c>
      <c r="C218" s="2981"/>
      <c r="D218" s="2981"/>
      <c r="E218" s="2981"/>
      <c r="F218" s="2970">
        <v>0.05</v>
      </c>
      <c r="G218" s="2987"/>
    </row>
    <row r="219" spans="1:7">
      <c r="A219" s="2980" t="s">
        <v>304</v>
      </c>
      <c r="B219" s="2969" t="s">
        <v>2971</v>
      </c>
      <c r="C219" s="2981"/>
      <c r="D219" s="2981"/>
      <c r="E219" s="2981"/>
      <c r="F219" s="2970">
        <v>0.05</v>
      </c>
      <c r="G219" s="2987"/>
    </row>
    <row r="220" spans="1:7">
      <c r="A220" s="2980" t="s">
        <v>304</v>
      </c>
      <c r="B220" s="2969" t="s">
        <v>2977</v>
      </c>
      <c r="C220" s="2981"/>
      <c r="D220" s="2981"/>
      <c r="E220" s="2981"/>
      <c r="F220" s="2970">
        <v>0.05</v>
      </c>
      <c r="G220" s="2987"/>
    </row>
    <row r="221" spans="1:7">
      <c r="A221" s="2980" t="s">
        <v>304</v>
      </c>
      <c r="B221" s="2969" t="s">
        <v>2982</v>
      </c>
      <c r="C221" s="2981"/>
      <c r="D221" s="2981"/>
      <c r="E221" s="2981"/>
      <c r="F221" s="2970">
        <v>0.05</v>
      </c>
      <c r="G221" s="2987"/>
    </row>
    <row r="222" spans="1:7">
      <c r="A222" s="2980" t="s">
        <v>304</v>
      </c>
      <c r="B222" s="2969" t="s">
        <v>2986</v>
      </c>
      <c r="C222" s="2981"/>
      <c r="D222" s="2981"/>
      <c r="E222" s="2981"/>
      <c r="F222" s="2970">
        <v>0.05</v>
      </c>
      <c r="G222" s="2987"/>
    </row>
    <row r="223" spans="1:7">
      <c r="A223" s="2980" t="s">
        <v>304</v>
      </c>
      <c r="B223" s="2969" t="s">
        <v>2991</v>
      </c>
      <c r="C223" s="2981"/>
      <c r="D223" s="2981"/>
      <c r="E223" s="2981"/>
      <c r="F223" s="2970">
        <v>0.05</v>
      </c>
      <c r="G223" s="2987"/>
    </row>
    <row r="224" spans="1:7">
      <c r="A224" s="2980" t="s">
        <v>304</v>
      </c>
      <c r="B224" s="2969" t="s">
        <v>2996</v>
      </c>
      <c r="C224" s="2981"/>
      <c r="D224" s="2981"/>
      <c r="E224" s="2981"/>
      <c r="F224" s="2970">
        <v>0.05</v>
      </c>
      <c r="G224" s="2987"/>
    </row>
    <row r="225" spans="1:7">
      <c r="A225" s="2980" t="s">
        <v>304</v>
      </c>
      <c r="B225" s="2969" t="s">
        <v>3001</v>
      </c>
      <c r="C225" s="2981"/>
      <c r="D225" s="2981"/>
      <c r="E225" s="2981"/>
      <c r="F225" s="2970">
        <v>0.05</v>
      </c>
      <c r="G225" s="2987"/>
    </row>
    <row r="226" spans="1:7">
      <c r="A226" s="2980" t="s">
        <v>304</v>
      </c>
      <c r="B226" s="2969" t="s">
        <v>3203</v>
      </c>
      <c r="C226" s="2981"/>
      <c r="D226" s="2981"/>
      <c r="E226" s="2981"/>
      <c r="F226" s="2970">
        <v>0.05</v>
      </c>
      <c r="G226" s="2987"/>
    </row>
    <row r="227" spans="1:7">
      <c r="A227" s="2980" t="s">
        <v>304</v>
      </c>
      <c r="B227" s="2969" t="s">
        <v>3204</v>
      </c>
      <c r="C227" s="2981"/>
      <c r="D227" s="2981"/>
      <c r="E227" s="2981"/>
      <c r="F227" s="2970">
        <v>0.05</v>
      </c>
      <c r="G227" s="2987"/>
    </row>
    <row r="228" spans="1:7">
      <c r="A228" s="2980" t="s">
        <v>304</v>
      </c>
      <c r="B228" s="2969" t="s">
        <v>3205</v>
      </c>
      <c r="C228" s="2981"/>
      <c r="D228" s="2981"/>
      <c r="E228" s="2981"/>
      <c r="F228" s="2970">
        <v>0.05</v>
      </c>
      <c r="G228" s="2987"/>
    </row>
    <row r="229" spans="1:7">
      <c r="A229" s="2980" t="s">
        <v>304</v>
      </c>
      <c r="B229" s="2969" t="s">
        <v>3206</v>
      </c>
      <c r="C229" s="2981"/>
      <c r="D229" s="2981"/>
      <c r="E229" s="2981"/>
      <c r="F229" s="2970">
        <v>0.05</v>
      </c>
      <c r="G229" s="2987"/>
    </row>
    <row r="230" spans="1:7">
      <c r="A230" s="2980" t="s">
        <v>304</v>
      </c>
      <c r="B230" s="2969" t="s">
        <v>3207</v>
      </c>
      <c r="C230" s="2981"/>
      <c r="D230" s="2981"/>
      <c r="E230" s="2981"/>
      <c r="F230" s="2970">
        <v>0.05</v>
      </c>
      <c r="G230" s="2987"/>
    </row>
    <row r="231" spans="1:7">
      <c r="A231" s="2980" t="s">
        <v>304</v>
      </c>
      <c r="B231" s="2969" t="s">
        <v>3208</v>
      </c>
      <c r="C231" s="2981"/>
      <c r="D231" s="2981"/>
      <c r="E231" s="2981"/>
      <c r="F231" s="2970">
        <v>0.05</v>
      </c>
      <c r="G231" s="2987"/>
    </row>
    <row r="232" spans="1:7">
      <c r="A232" s="2980" t="s">
        <v>304</v>
      </c>
      <c r="B232" s="2969" t="s">
        <v>3209</v>
      </c>
      <c r="C232" s="2981"/>
      <c r="D232" s="2981"/>
      <c r="E232" s="2981"/>
      <c r="F232" s="2970">
        <v>0.05</v>
      </c>
      <c r="G232" s="2987"/>
    </row>
    <row r="233" spans="1:7" ht="15" thickBot="1">
      <c r="A233" s="2983" t="s">
        <v>304</v>
      </c>
      <c r="B233" s="2973" t="s">
        <v>3210</v>
      </c>
      <c r="C233" s="2975"/>
      <c r="D233" s="2975"/>
      <c r="E233" s="2975"/>
      <c r="F233" s="2974">
        <v>0.05</v>
      </c>
      <c r="G233" s="2988"/>
    </row>
    <row r="234" spans="1:7">
      <c r="A234" s="2979" t="s">
        <v>305</v>
      </c>
      <c r="B234" s="2965" t="s">
        <v>2859</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2879</v>
      </c>
      <c r="C238" s="2970">
        <v>0.14899999999999999</v>
      </c>
      <c r="D238" s="2970">
        <v>0.14899999999999999</v>
      </c>
      <c r="E238" s="2970">
        <v>0.15</v>
      </c>
      <c r="F238" s="2970">
        <v>0.15</v>
      </c>
      <c r="G238" s="2971">
        <v>0.15</v>
      </c>
    </row>
    <row r="239" spans="1:7">
      <c r="A239" s="2980" t="s">
        <v>305</v>
      </c>
      <c r="B239" s="2969" t="s">
        <v>2883</v>
      </c>
      <c r="C239" s="2970">
        <v>0.15</v>
      </c>
      <c r="D239" s="2970">
        <v>0.15</v>
      </c>
      <c r="E239" s="2970">
        <v>0.15</v>
      </c>
      <c r="F239" s="2970">
        <v>0.15</v>
      </c>
      <c r="G239" s="2971">
        <v>0.15</v>
      </c>
    </row>
    <row r="240" spans="1:7">
      <c r="A240" s="2980" t="s">
        <v>305</v>
      </c>
      <c r="B240" s="2969" t="s">
        <v>2888</v>
      </c>
      <c r="C240" s="2970">
        <v>0.15</v>
      </c>
      <c r="D240" s="2970">
        <v>0.15</v>
      </c>
      <c r="E240" s="2970">
        <v>0.15</v>
      </c>
      <c r="F240" s="2970">
        <v>0.15</v>
      </c>
      <c r="G240" s="2971">
        <v>0.15</v>
      </c>
    </row>
    <row r="241" spans="1:7">
      <c r="A241" s="2980" t="s">
        <v>305</v>
      </c>
      <c r="B241" s="2969" t="s">
        <v>2892</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2898</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2906</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2911</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2919</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2932</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2941</v>
      </c>
      <c r="C258" s="2970">
        <v>0.14299999999999999</v>
      </c>
      <c r="D258" s="2970">
        <v>0.14299999999999999</v>
      </c>
      <c r="E258" s="2970">
        <v>0.15</v>
      </c>
      <c r="F258" s="2970">
        <v>0.14799999999999999</v>
      </c>
      <c r="G258" s="2971">
        <v>0.14599999999999999</v>
      </c>
    </row>
    <row r="259" spans="1:7">
      <c r="A259" s="2980" t="s">
        <v>305</v>
      </c>
      <c r="B259" s="2969" t="s">
        <v>2945</v>
      </c>
      <c r="C259" s="2970">
        <v>0.14399999999999999</v>
      </c>
      <c r="D259" s="2970">
        <v>0.14399999999999999</v>
      </c>
      <c r="E259" s="2970">
        <v>0.14899999999999999</v>
      </c>
      <c r="F259" s="2970">
        <v>0.14699999999999999</v>
      </c>
      <c r="G259" s="2971">
        <v>0.14599999999999999</v>
      </c>
    </row>
    <row r="260" spans="1:7">
      <c r="A260" s="2980" t="s">
        <v>305</v>
      </c>
      <c r="B260" s="2969" t="s">
        <v>2952</v>
      </c>
      <c r="C260" s="2970">
        <v>0.109</v>
      </c>
      <c r="D260" s="2970">
        <v>0.111</v>
      </c>
      <c r="E260" s="2970">
        <v>0.13100000000000001</v>
      </c>
      <c r="F260" s="2970">
        <v>0.126</v>
      </c>
      <c r="G260" s="2971">
        <v>0.11899999999999999</v>
      </c>
    </row>
    <row r="261" spans="1:7">
      <c r="A261" s="2980" t="s">
        <v>305</v>
      </c>
      <c r="B261" s="2969" t="s">
        <v>2959</v>
      </c>
      <c r="C261" s="2970">
        <v>0.1</v>
      </c>
      <c r="D261" s="2970">
        <v>0.1</v>
      </c>
      <c r="E261" s="2970">
        <v>0.11799999999999999</v>
      </c>
      <c r="F261" s="2970">
        <v>0.108</v>
      </c>
      <c r="G261" s="2971">
        <v>0.107</v>
      </c>
    </row>
    <row r="262" spans="1:7">
      <c r="A262" s="2980" t="s">
        <v>305</v>
      </c>
      <c r="B262" s="2969" t="s">
        <v>2965</v>
      </c>
      <c r="C262" s="2970">
        <v>0.1</v>
      </c>
      <c r="D262" s="2970">
        <v>0.1</v>
      </c>
      <c r="E262" s="2970">
        <v>0.1</v>
      </c>
      <c r="F262" s="2970">
        <v>0.14099999999999999</v>
      </c>
      <c r="G262" s="2971">
        <v>0.1</v>
      </c>
    </row>
    <row r="263" spans="1:7">
      <c r="A263" s="2980" t="s">
        <v>305</v>
      </c>
      <c r="B263" s="2969" t="s">
        <v>2972</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2983</v>
      </c>
      <c r="C265" s="2981"/>
      <c r="D265" s="2981"/>
      <c r="E265" s="2981"/>
      <c r="F265" s="2970">
        <v>0.05</v>
      </c>
      <c r="G265" s="2987"/>
    </row>
    <row r="266" spans="1:7">
      <c r="A266" s="2980" t="s">
        <v>305</v>
      </c>
      <c r="B266" s="2969" t="s">
        <v>2987</v>
      </c>
      <c r="C266" s="2981"/>
      <c r="D266" s="2981"/>
      <c r="E266" s="2981"/>
      <c r="F266" s="2970">
        <v>0.05</v>
      </c>
      <c r="G266" s="2987"/>
    </row>
    <row r="267" spans="1:7">
      <c r="A267" s="2980" t="s">
        <v>305</v>
      </c>
      <c r="B267" s="2969" t="s">
        <v>2992</v>
      </c>
      <c r="C267" s="2981"/>
      <c r="D267" s="2981"/>
      <c r="E267" s="2981"/>
      <c r="F267" s="2970">
        <v>0.05</v>
      </c>
      <c r="G267" s="2987"/>
    </row>
    <row r="268" spans="1:7">
      <c r="A268" s="2980" t="s">
        <v>305</v>
      </c>
      <c r="B268" s="2969" t="s">
        <v>2997</v>
      </c>
      <c r="C268" s="2981"/>
      <c r="D268" s="2981"/>
      <c r="E268" s="2981"/>
      <c r="F268" s="2970">
        <v>0.05</v>
      </c>
      <c r="G268" s="2987"/>
    </row>
    <row r="269" spans="1:7">
      <c r="A269" s="2980" t="s">
        <v>305</v>
      </c>
      <c r="B269" s="2969" t="s">
        <v>3002</v>
      </c>
      <c r="C269" s="2981"/>
      <c r="D269" s="2981"/>
      <c r="E269" s="2981"/>
      <c r="F269" s="2970">
        <v>0.05</v>
      </c>
      <c r="G269" s="2987"/>
    </row>
    <row r="270" spans="1:7">
      <c r="A270" s="2980" t="s">
        <v>305</v>
      </c>
      <c r="B270" s="2969" t="s">
        <v>3007</v>
      </c>
      <c r="C270" s="2981"/>
      <c r="D270" s="2981"/>
      <c r="E270" s="2981"/>
      <c r="F270" s="2970">
        <v>0.05</v>
      </c>
      <c r="G270" s="2987"/>
    </row>
    <row r="271" spans="1:7">
      <c r="A271" s="2980" t="s">
        <v>305</v>
      </c>
      <c r="B271" s="2969" t="s">
        <v>3211</v>
      </c>
      <c r="C271" s="2981"/>
      <c r="D271" s="2981"/>
      <c r="E271" s="2981"/>
      <c r="F271" s="2970">
        <v>0.05</v>
      </c>
      <c r="G271" s="2987"/>
    </row>
    <row r="272" spans="1:7">
      <c r="A272" s="2980" t="s">
        <v>305</v>
      </c>
      <c r="B272" s="2969" t="s">
        <v>3212</v>
      </c>
      <c r="C272" s="2981"/>
      <c r="D272" s="2981"/>
      <c r="E272" s="2981"/>
      <c r="F272" s="2970">
        <v>0.05</v>
      </c>
      <c r="G272" s="2987"/>
    </row>
    <row r="273" spans="1:7">
      <c r="A273" s="2980" t="s">
        <v>305</v>
      </c>
      <c r="B273" s="2969" t="s">
        <v>3213</v>
      </c>
      <c r="C273" s="2981"/>
      <c r="D273" s="2981"/>
      <c r="E273" s="2981"/>
      <c r="F273" s="2970">
        <v>0.05</v>
      </c>
      <c r="G273" s="2987"/>
    </row>
    <row r="274" spans="1:7">
      <c r="A274" s="2980" t="s">
        <v>305</v>
      </c>
      <c r="B274" s="2969" t="s">
        <v>3214</v>
      </c>
      <c r="C274" s="2981"/>
      <c r="D274" s="2981"/>
      <c r="E274" s="2981"/>
      <c r="F274" s="2970">
        <v>0.05</v>
      </c>
      <c r="G274" s="2987"/>
    </row>
    <row r="275" spans="1:7">
      <c r="A275" s="2980" t="s">
        <v>305</v>
      </c>
      <c r="B275" s="2969" t="s">
        <v>3215</v>
      </c>
      <c r="C275" s="2981"/>
      <c r="D275" s="2981"/>
      <c r="E275" s="2981"/>
      <c r="F275" s="2970">
        <v>0.05</v>
      </c>
      <c r="G275" s="2987"/>
    </row>
    <row r="276" spans="1:7" ht="15" thickBot="1">
      <c r="A276" s="2983" t="s">
        <v>305</v>
      </c>
      <c r="B276" s="2973" t="s">
        <v>3216</v>
      </c>
      <c r="C276" s="2975"/>
      <c r="D276" s="2975"/>
      <c r="E276" s="2975"/>
      <c r="F276" s="2974">
        <v>0.05</v>
      </c>
      <c r="G276" s="2988"/>
    </row>
    <row r="277" spans="1:7">
      <c r="A277" s="2979" t="s">
        <v>306</v>
      </c>
      <c r="B277" s="2965" t="s">
        <v>2860</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2872</v>
      </c>
      <c r="C279" s="2970">
        <v>0.15</v>
      </c>
      <c r="D279" s="2970">
        <v>0.15</v>
      </c>
      <c r="E279" s="2970">
        <v>0.15</v>
      </c>
      <c r="F279" s="2970">
        <v>0.15</v>
      </c>
      <c r="G279" s="2971">
        <v>0.15</v>
      </c>
    </row>
    <row r="280" spans="1:7">
      <c r="A280" s="2980" t="s">
        <v>306</v>
      </c>
      <c r="B280" s="2969" t="s">
        <v>2876</v>
      </c>
      <c r="C280" s="2970">
        <v>0.15</v>
      </c>
      <c r="D280" s="2970">
        <v>0.15</v>
      </c>
      <c r="E280" s="2970">
        <v>0.15</v>
      </c>
      <c r="F280" s="2970">
        <v>0.15</v>
      </c>
      <c r="G280" s="2971">
        <v>0.15</v>
      </c>
    </row>
    <row r="281" spans="1:7">
      <c r="A281" s="2980" t="s">
        <v>306</v>
      </c>
      <c r="B281" s="2969" t="s">
        <v>2880</v>
      </c>
      <c r="C281" s="2970">
        <v>0.15</v>
      </c>
      <c r="D281" s="2970">
        <v>0.15</v>
      </c>
      <c r="E281" s="2970">
        <v>0.15</v>
      </c>
      <c r="F281" s="2970">
        <v>0.15</v>
      </c>
      <c r="G281" s="2971">
        <v>0.15</v>
      </c>
    </row>
    <row r="282" spans="1:7">
      <c r="A282" s="2980" t="s">
        <v>306</v>
      </c>
      <c r="B282" s="2969" t="s">
        <v>2884</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2899</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2904</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2914</v>
      </c>
      <c r="C293" s="2970">
        <v>0.15</v>
      </c>
      <c r="D293" s="2970">
        <v>0.15</v>
      </c>
      <c r="E293" s="2970">
        <v>0.15</v>
      </c>
      <c r="F293" s="2970">
        <v>0.14499999999999999</v>
      </c>
      <c r="G293" s="2971">
        <v>0.15</v>
      </c>
    </row>
    <row r="294" spans="1:7">
      <c r="A294" s="2980" t="s">
        <v>306</v>
      </c>
      <c r="B294" s="2969" t="s">
        <v>2916</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2933</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2946</v>
      </c>
      <c r="C302" s="2970">
        <v>0.15</v>
      </c>
      <c r="D302" s="2970">
        <v>0.15</v>
      </c>
      <c r="E302" s="2970">
        <v>0.15</v>
      </c>
      <c r="F302" s="2970">
        <v>0.14699999999999999</v>
      </c>
      <c r="G302" s="2971">
        <v>0.15</v>
      </c>
    </row>
    <row r="303" spans="1:7">
      <c r="A303" s="2980" t="s">
        <v>306</v>
      </c>
      <c r="B303" s="2969" t="s">
        <v>2953</v>
      </c>
      <c r="C303" s="2970">
        <v>0.15</v>
      </c>
      <c r="D303" s="2970">
        <v>0.15</v>
      </c>
      <c r="E303" s="2970">
        <v>0.15</v>
      </c>
      <c r="F303" s="2970">
        <v>0.14199999999999999</v>
      </c>
      <c r="G303" s="2971">
        <v>0.15</v>
      </c>
    </row>
    <row r="304" spans="1:7">
      <c r="A304" s="2980" t="s">
        <v>306</v>
      </c>
      <c r="B304" s="2969" t="s">
        <v>2960</v>
      </c>
      <c r="C304" s="2970">
        <v>0.15</v>
      </c>
      <c r="D304" s="2970">
        <v>0.15</v>
      </c>
      <c r="E304" s="2970">
        <v>0.15</v>
      </c>
      <c r="F304" s="2970">
        <v>0.14499999999999999</v>
      </c>
      <c r="G304" s="2971">
        <v>0.15</v>
      </c>
    </row>
    <row r="305" spans="1:7">
      <c r="A305" s="2980" t="s">
        <v>306</v>
      </c>
      <c r="B305" s="2969" t="s">
        <v>2966</v>
      </c>
      <c r="C305" s="2970">
        <v>0.15</v>
      </c>
      <c r="D305" s="2970">
        <v>0.15</v>
      </c>
      <c r="E305" s="2970">
        <v>0.15</v>
      </c>
      <c r="F305" s="2970">
        <v>0.111</v>
      </c>
      <c r="G305" s="2971">
        <v>0.15</v>
      </c>
    </row>
    <row r="306" spans="1:7">
      <c r="A306" s="2980" t="s">
        <v>306</v>
      </c>
      <c r="B306" s="2969" t="s">
        <v>2973</v>
      </c>
      <c r="C306" s="2970">
        <v>0.15</v>
      </c>
      <c r="D306" s="2970">
        <v>0.15</v>
      </c>
      <c r="E306" s="2970">
        <v>0.15</v>
      </c>
      <c r="F306" s="2970">
        <v>0.126</v>
      </c>
      <c r="G306" s="2971">
        <v>0.15</v>
      </c>
    </row>
    <row r="307" spans="1:7">
      <c r="A307" s="2980" t="s">
        <v>306</v>
      </c>
      <c r="B307" s="2969" t="s">
        <v>2978</v>
      </c>
      <c r="C307" s="2970">
        <v>0.15</v>
      </c>
      <c r="D307" s="2970">
        <v>0.15</v>
      </c>
      <c r="E307" s="2970">
        <v>0.15</v>
      </c>
      <c r="F307" s="2970">
        <v>0.12</v>
      </c>
      <c r="G307" s="2971">
        <v>0.15</v>
      </c>
    </row>
    <row r="308" spans="1:7">
      <c r="A308" s="2980" t="s">
        <v>306</v>
      </c>
      <c r="B308" s="2969" t="s">
        <v>2984</v>
      </c>
      <c r="C308" s="2970">
        <v>0.15</v>
      </c>
      <c r="D308" s="2970">
        <v>0.15</v>
      </c>
      <c r="E308" s="2970">
        <v>0.15</v>
      </c>
      <c r="F308" s="2970">
        <v>0.13</v>
      </c>
      <c r="G308" s="2971">
        <v>0.15</v>
      </c>
    </row>
    <row r="309" spans="1:7">
      <c r="A309" s="2980" t="s">
        <v>306</v>
      </c>
      <c r="B309" s="2969" t="s">
        <v>2988</v>
      </c>
      <c r="C309" s="2970">
        <v>0.15</v>
      </c>
      <c r="D309" s="2970">
        <v>0.15</v>
      </c>
      <c r="E309" s="2970">
        <v>0.15</v>
      </c>
      <c r="F309" s="2970">
        <v>0.14099999999999999</v>
      </c>
      <c r="G309" s="2971">
        <v>0.15</v>
      </c>
    </row>
    <row r="310" spans="1:7">
      <c r="A310" s="2980" t="s">
        <v>306</v>
      </c>
      <c r="B310" s="2969" t="s">
        <v>2993</v>
      </c>
      <c r="C310" s="2970">
        <v>0.15</v>
      </c>
      <c r="D310" s="2970">
        <v>0.15</v>
      </c>
      <c r="E310" s="2970">
        <v>0.15</v>
      </c>
      <c r="F310" s="2970">
        <v>0.15</v>
      </c>
      <c r="G310" s="2971">
        <v>0.15</v>
      </c>
    </row>
    <row r="311" spans="1:7">
      <c r="A311" s="2980" t="s">
        <v>306</v>
      </c>
      <c r="B311" s="2969" t="s">
        <v>2998</v>
      </c>
      <c r="C311" s="2970">
        <v>0.13200000000000001</v>
      </c>
      <c r="D311" s="2970">
        <v>0.13300000000000001</v>
      </c>
      <c r="E311" s="2970">
        <v>0.14499999999999999</v>
      </c>
      <c r="F311" s="2970">
        <v>0.14199999999999999</v>
      </c>
      <c r="G311" s="2971">
        <v>0.14000000000000001</v>
      </c>
    </row>
    <row r="312" spans="1:7">
      <c r="A312" s="2980" t="s">
        <v>306</v>
      </c>
      <c r="B312" s="2969" t="s">
        <v>3003</v>
      </c>
      <c r="C312" s="2970">
        <v>0.13800000000000001</v>
      </c>
      <c r="D312" s="2970">
        <v>0.14000000000000001</v>
      </c>
      <c r="E312" s="2970">
        <v>0.14599999999999999</v>
      </c>
      <c r="F312" s="2970">
        <v>0.14899999999999999</v>
      </c>
      <c r="G312" s="2971">
        <v>0.14199999999999999</v>
      </c>
    </row>
    <row r="313" spans="1:7">
      <c r="A313" s="2980" t="s">
        <v>306</v>
      </c>
      <c r="B313" s="2969" t="s">
        <v>3008</v>
      </c>
      <c r="C313" s="2970">
        <v>0.125</v>
      </c>
      <c r="D313" s="2970">
        <v>0.127</v>
      </c>
      <c r="E313" s="2970">
        <v>0.14399999999999999</v>
      </c>
      <c r="F313" s="2970">
        <v>0.115</v>
      </c>
      <c r="G313" s="2971">
        <v>0.13600000000000001</v>
      </c>
    </row>
    <row r="314" spans="1:7">
      <c r="A314" s="2980" t="s">
        <v>306</v>
      </c>
      <c r="B314" s="2969" t="s">
        <v>3217</v>
      </c>
      <c r="C314" s="2986"/>
      <c r="D314" s="2986"/>
      <c r="E314" s="2986"/>
      <c r="F314" s="2970">
        <v>0.05</v>
      </c>
      <c r="G314" s="2987"/>
    </row>
    <row r="315" spans="1:7">
      <c r="A315" s="2980" t="s">
        <v>306</v>
      </c>
      <c r="B315" s="2969" t="s">
        <v>3218</v>
      </c>
      <c r="C315" s="2986"/>
      <c r="D315" s="2986"/>
      <c r="E315" s="2986"/>
      <c r="F315" s="2970">
        <v>0.05</v>
      </c>
      <c r="G315" s="2987"/>
    </row>
    <row r="316" spans="1:7">
      <c r="A316" s="2980" t="s">
        <v>306</v>
      </c>
      <c r="B316" s="2969" t="s">
        <v>3219</v>
      </c>
      <c r="C316" s="2981"/>
      <c r="D316" s="2981"/>
      <c r="E316" s="2981"/>
      <c r="F316" s="2970">
        <v>0.05</v>
      </c>
      <c r="G316" s="2987"/>
    </row>
    <row r="317" spans="1:7">
      <c r="A317" s="2980" t="s">
        <v>306</v>
      </c>
      <c r="B317" s="2969" t="s">
        <v>3220</v>
      </c>
      <c r="C317" s="2981"/>
      <c r="D317" s="2981"/>
      <c r="E317" s="2981"/>
      <c r="F317" s="2970">
        <v>0.05</v>
      </c>
      <c r="G317" s="2987"/>
    </row>
    <row r="318" spans="1:7">
      <c r="A318" s="2980" t="s">
        <v>306</v>
      </c>
      <c r="B318" s="2969" t="s">
        <v>3221</v>
      </c>
      <c r="C318" s="2981"/>
      <c r="D318" s="2981"/>
      <c r="E318" s="2981"/>
      <c r="F318" s="2970">
        <v>0.05</v>
      </c>
      <c r="G318" s="2987"/>
    </row>
    <row r="319" spans="1:7">
      <c r="A319" s="2980" t="s">
        <v>306</v>
      </c>
      <c r="B319" s="2969" t="s">
        <v>3222</v>
      </c>
      <c r="C319" s="2981"/>
      <c r="D319" s="2981"/>
      <c r="E319" s="2981"/>
      <c r="F319" s="2970">
        <v>0.05</v>
      </c>
      <c r="G319" s="2987"/>
    </row>
    <row r="320" spans="1:7">
      <c r="A320" s="2980" t="s">
        <v>306</v>
      </c>
      <c r="B320" s="2969" t="s">
        <v>3223</v>
      </c>
      <c r="C320" s="2981"/>
      <c r="D320" s="2981"/>
      <c r="E320" s="2981"/>
      <c r="F320" s="2970">
        <v>0.05</v>
      </c>
      <c r="G320" s="2987"/>
    </row>
    <row r="321" spans="1:7">
      <c r="A321" s="2980" t="s">
        <v>306</v>
      </c>
      <c r="B321" s="2969" t="s">
        <v>3224</v>
      </c>
      <c r="C321" s="2981"/>
      <c r="D321" s="2981"/>
      <c r="E321" s="2981"/>
      <c r="F321" s="2970">
        <v>0.05</v>
      </c>
      <c r="G321" s="2987"/>
    </row>
    <row r="322" spans="1:7">
      <c r="A322" s="2980" t="s">
        <v>306</v>
      </c>
      <c r="B322" s="2969" t="s">
        <v>3225</v>
      </c>
      <c r="C322" s="2981"/>
      <c r="D322" s="2981"/>
      <c r="E322" s="2981"/>
      <c r="F322" s="2970">
        <v>0.05</v>
      </c>
      <c r="G322" s="2987"/>
    </row>
    <row r="323" spans="1:7">
      <c r="A323" s="2980" t="s">
        <v>306</v>
      </c>
      <c r="B323" s="2969" t="s">
        <v>3226</v>
      </c>
      <c r="C323" s="2981"/>
      <c r="D323" s="2981"/>
      <c r="E323" s="2981"/>
      <c r="F323" s="2970">
        <v>0.05</v>
      </c>
      <c r="G323" s="2987"/>
    </row>
    <row r="324" spans="1:7">
      <c r="A324" s="2980" t="s">
        <v>306</v>
      </c>
      <c r="B324" s="2969" t="s">
        <v>3227</v>
      </c>
      <c r="C324" s="2981"/>
      <c r="D324" s="2981"/>
      <c r="E324" s="2981"/>
      <c r="F324" s="2970">
        <v>0.05</v>
      </c>
      <c r="G324" s="2987"/>
    </row>
    <row r="325" spans="1:7">
      <c r="A325" s="2980" t="s">
        <v>306</v>
      </c>
      <c r="B325" s="2969" t="s">
        <v>3228</v>
      </c>
      <c r="C325" s="2981"/>
      <c r="D325" s="2981"/>
      <c r="E325" s="2981"/>
      <c r="F325" s="2970">
        <v>0.05</v>
      </c>
      <c r="G325" s="2987"/>
    </row>
    <row r="326" spans="1:7" ht="15" thickBot="1">
      <c r="A326" s="2983" t="s">
        <v>306</v>
      </c>
      <c r="B326" s="2973" t="s">
        <v>3229</v>
      </c>
      <c r="C326" s="2975"/>
      <c r="D326" s="2975"/>
      <c r="E326" s="2975"/>
      <c r="F326" s="2974">
        <v>0.05</v>
      </c>
      <c r="G326" s="2988"/>
    </row>
    <row r="327" spans="1:7">
      <c r="A327" s="2979" t="s">
        <v>307</v>
      </c>
      <c r="B327" s="2965" t="s">
        <v>2861</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2873</v>
      </c>
      <c r="C329" s="2970">
        <v>0.15</v>
      </c>
      <c r="D329" s="2970">
        <v>0.15</v>
      </c>
      <c r="E329" s="2970">
        <v>0.15</v>
      </c>
      <c r="F329" s="2970">
        <v>0.15</v>
      </c>
      <c r="G329" s="2971">
        <v>0.15</v>
      </c>
    </row>
    <row r="330" spans="1:7">
      <c r="A330" s="2980" t="s">
        <v>307</v>
      </c>
      <c r="B330" s="2969" t="s">
        <v>2877</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2885</v>
      </c>
      <c r="C332" s="2970">
        <v>0.15</v>
      </c>
      <c r="D332" s="2970">
        <v>0.15</v>
      </c>
      <c r="E332" s="2970">
        <v>0.15</v>
      </c>
      <c r="F332" s="2970">
        <v>0.15</v>
      </c>
      <c r="G332" s="2971">
        <v>0.15</v>
      </c>
    </row>
    <row r="333" spans="1:7">
      <c r="A333" s="2980" t="s">
        <v>307</v>
      </c>
      <c r="B333" s="2969" t="s">
        <v>2889</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2895</v>
      </c>
      <c r="C336" s="2970">
        <v>0.15</v>
      </c>
      <c r="D336" s="2970">
        <v>0.15</v>
      </c>
      <c r="E336" s="2970">
        <v>0.15</v>
      </c>
      <c r="F336" s="2970">
        <v>0.14199999999999999</v>
      </c>
      <c r="G336" s="2971">
        <v>0.15</v>
      </c>
    </row>
    <row r="337" spans="1:7">
      <c r="A337" s="2980" t="s">
        <v>307</v>
      </c>
      <c r="B337" s="2969" t="s">
        <v>2900</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2907</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2912</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2920</v>
      </c>
      <c r="C345" s="2970">
        <v>0.15</v>
      </c>
      <c r="D345" s="2970">
        <v>0.15</v>
      </c>
      <c r="E345" s="2970">
        <v>0.15</v>
      </c>
      <c r="F345" s="2970">
        <v>0.13800000000000001</v>
      </c>
      <c r="G345" s="2971">
        <v>0.15</v>
      </c>
    </row>
    <row r="346" spans="1:7">
      <c r="A346" s="2980" t="s">
        <v>307</v>
      </c>
      <c r="B346" s="2969" t="s">
        <v>2922</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2929</v>
      </c>
      <c r="C348" s="2970">
        <v>0.15</v>
      </c>
      <c r="D348" s="2970">
        <v>0.15</v>
      </c>
      <c r="E348" s="2970">
        <v>0.15</v>
      </c>
      <c r="F348" s="2970">
        <v>0.14399999999999999</v>
      </c>
      <c r="G348" s="2971">
        <v>0.15</v>
      </c>
    </row>
    <row r="349" spans="1:7">
      <c r="A349" s="2980" t="s">
        <v>307</v>
      </c>
      <c r="B349" s="2969" t="s">
        <v>2934</v>
      </c>
      <c r="C349" s="2970">
        <v>0.15</v>
      </c>
      <c r="D349" s="2970">
        <v>0.15</v>
      </c>
      <c r="E349" s="2970">
        <v>0.15</v>
      </c>
      <c r="F349" s="2970">
        <v>0.15</v>
      </c>
      <c r="G349" s="2971">
        <v>0.15</v>
      </c>
    </row>
    <row r="350" spans="1:7">
      <c r="A350" s="2980" t="s">
        <v>307</v>
      </c>
      <c r="B350" s="2969" t="s">
        <v>2937</v>
      </c>
      <c r="C350" s="2970">
        <v>0.15</v>
      </c>
      <c r="D350" s="2970">
        <v>0.15</v>
      </c>
      <c r="E350" s="2970">
        <v>0.15</v>
      </c>
      <c r="F350" s="2970">
        <v>0.14699999999999999</v>
      </c>
      <c r="G350" s="2971">
        <v>0.15</v>
      </c>
    </row>
    <row r="351" spans="1:7">
      <c r="A351" s="2980" t="s">
        <v>307</v>
      </c>
      <c r="B351" s="2969" t="s">
        <v>2942</v>
      </c>
      <c r="C351" s="2970">
        <v>0.15</v>
      </c>
      <c r="D351" s="2970">
        <v>0.15</v>
      </c>
      <c r="E351" s="2970">
        <v>0.15</v>
      </c>
      <c r="F351" s="2970">
        <v>0.13</v>
      </c>
      <c r="G351" s="2971">
        <v>0.15</v>
      </c>
    </row>
    <row r="352" spans="1:7">
      <c r="A352" s="2980" t="s">
        <v>307</v>
      </c>
      <c r="B352" s="2969" t="s">
        <v>2947</v>
      </c>
      <c r="C352" s="2970">
        <v>0.15</v>
      </c>
      <c r="D352" s="2970">
        <v>0.15</v>
      </c>
      <c r="E352" s="2970">
        <v>0.15</v>
      </c>
      <c r="F352" s="2970">
        <v>0.14599999999999999</v>
      </c>
      <c r="G352" s="2971">
        <v>0.15</v>
      </c>
    </row>
    <row r="353" spans="1:7">
      <c r="A353" s="2980" t="s">
        <v>307</v>
      </c>
      <c r="B353" s="2969" t="s">
        <v>2954</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2967</v>
      </c>
      <c r="C355" s="2970">
        <v>0.15</v>
      </c>
      <c r="D355" s="2970">
        <v>0.15</v>
      </c>
      <c r="E355" s="2970">
        <v>0.15</v>
      </c>
      <c r="F355" s="2970">
        <v>0.15</v>
      </c>
      <c r="G355" s="2971">
        <v>0.15</v>
      </c>
    </row>
    <row r="356" spans="1:7">
      <c r="A356" s="2980" t="s">
        <v>307</v>
      </c>
      <c r="B356" s="2969" t="s">
        <v>2974</v>
      </c>
      <c r="C356" s="2970">
        <v>0.15</v>
      </c>
      <c r="D356" s="2970">
        <v>0.15</v>
      </c>
      <c r="E356" s="2970">
        <v>0.15</v>
      </c>
      <c r="F356" s="2970">
        <v>0.15</v>
      </c>
      <c r="G356" s="2971">
        <v>0.15</v>
      </c>
    </row>
    <row r="357" spans="1:7" ht="15" thickBot="1">
      <c r="A357" s="2983" t="s">
        <v>307</v>
      </c>
      <c r="B357" s="2973" t="s">
        <v>2979</v>
      </c>
      <c r="C357" s="2974">
        <v>0.126</v>
      </c>
      <c r="D357" s="2974">
        <v>0.127</v>
      </c>
      <c r="E357" s="2974">
        <v>0.14299999999999999</v>
      </c>
      <c r="F357" s="2974">
        <v>0.125</v>
      </c>
      <c r="G357" s="2976">
        <v>0.129</v>
      </c>
    </row>
    <row r="358" spans="1:7">
      <c r="A358" s="2979" t="s">
        <v>2848</v>
      </c>
      <c r="B358" s="2965" t="s">
        <v>2862</v>
      </c>
      <c r="C358" s="2966">
        <v>0.15</v>
      </c>
      <c r="D358" s="2966">
        <v>0.15</v>
      </c>
      <c r="E358" s="2966">
        <v>0.15</v>
      </c>
      <c r="F358" s="2966">
        <v>0.15</v>
      </c>
      <c r="G358" s="2967">
        <v>0.15</v>
      </c>
    </row>
    <row r="359" spans="1:7">
      <c r="A359" s="2980" t="s">
        <v>2848</v>
      </c>
      <c r="B359" s="2969" t="s">
        <v>2868</v>
      </c>
      <c r="C359" s="2970">
        <v>0.1</v>
      </c>
      <c r="D359" s="2970">
        <v>0.1</v>
      </c>
      <c r="E359" s="2970">
        <v>0.1</v>
      </c>
      <c r="F359" s="2970">
        <v>0.1</v>
      </c>
      <c r="G359" s="2971">
        <v>0.1</v>
      </c>
    </row>
    <row r="360" spans="1:7">
      <c r="A360" s="2980" t="s">
        <v>2848</v>
      </c>
      <c r="B360" s="2969" t="s">
        <v>2874</v>
      </c>
      <c r="C360" s="2970">
        <v>0.15</v>
      </c>
      <c r="D360" s="2970">
        <v>0.15</v>
      </c>
      <c r="E360" s="2970">
        <v>0.15</v>
      </c>
      <c r="F360" s="2970">
        <v>0.14899999999999999</v>
      </c>
      <c r="G360" s="2971">
        <v>0.15</v>
      </c>
    </row>
    <row r="361" spans="1:7">
      <c r="A361" s="2980" t="s">
        <v>2848</v>
      </c>
      <c r="B361" s="2969" t="s">
        <v>153</v>
      </c>
      <c r="C361" s="2970">
        <v>0.15</v>
      </c>
      <c r="D361" s="2970">
        <v>0.15</v>
      </c>
      <c r="E361" s="2970">
        <v>0.15</v>
      </c>
      <c r="F361" s="2970">
        <v>0.115</v>
      </c>
      <c r="G361" s="2971">
        <v>0.15</v>
      </c>
    </row>
    <row r="362" spans="1:7">
      <c r="A362" s="2980" t="s">
        <v>2848</v>
      </c>
      <c r="B362" s="2969" t="s">
        <v>2881</v>
      </c>
      <c r="C362" s="2970">
        <v>0.15</v>
      </c>
      <c r="D362" s="2970">
        <v>0.15</v>
      </c>
      <c r="E362" s="2970">
        <v>0.15</v>
      </c>
      <c r="F362" s="2970">
        <v>0.106</v>
      </c>
      <c r="G362" s="2971">
        <v>0.15</v>
      </c>
    </row>
    <row r="363" spans="1:7">
      <c r="A363" s="2980" t="s">
        <v>2848</v>
      </c>
      <c r="B363" s="2969" t="s">
        <v>2886</v>
      </c>
      <c r="C363" s="2970">
        <v>0.15</v>
      </c>
      <c r="D363" s="2970">
        <v>0.15</v>
      </c>
      <c r="E363" s="2970">
        <v>0.15</v>
      </c>
      <c r="F363" s="2970">
        <v>0.14699999999999999</v>
      </c>
      <c r="G363" s="2971">
        <v>0.15</v>
      </c>
    </row>
    <row r="364" spans="1:7">
      <c r="A364" s="2980" t="s">
        <v>2848</v>
      </c>
      <c r="B364" s="2969" t="s">
        <v>2890</v>
      </c>
      <c r="C364" s="2970">
        <v>0.15</v>
      </c>
      <c r="D364" s="2970">
        <v>0.15</v>
      </c>
      <c r="E364" s="2970">
        <v>0.15</v>
      </c>
      <c r="F364" s="2970">
        <v>0.14799999999999999</v>
      </c>
      <c r="G364" s="2971">
        <v>0.15</v>
      </c>
    </row>
    <row r="365" spans="1:7">
      <c r="A365" s="2980" t="s">
        <v>2848</v>
      </c>
      <c r="B365" s="2969" t="s">
        <v>200</v>
      </c>
      <c r="C365" s="2970">
        <v>0.15</v>
      </c>
      <c r="D365" s="2970">
        <v>0.15</v>
      </c>
      <c r="E365" s="2970">
        <v>0.15</v>
      </c>
      <c r="F365" s="2970">
        <v>0.15</v>
      </c>
      <c r="G365" s="2971">
        <v>0.15</v>
      </c>
    </row>
    <row r="366" spans="1:7">
      <c r="A366" s="2980" t="s">
        <v>2848</v>
      </c>
      <c r="B366" s="2969" t="s">
        <v>2893</v>
      </c>
      <c r="C366" s="2970">
        <v>0.15</v>
      </c>
      <c r="D366" s="2970">
        <v>0.15</v>
      </c>
      <c r="E366" s="2970">
        <v>0.15</v>
      </c>
      <c r="F366" s="2970">
        <v>0.15</v>
      </c>
      <c r="G366" s="2971">
        <v>0.15</v>
      </c>
    </row>
    <row r="367" spans="1:7">
      <c r="A367" s="2980" t="s">
        <v>2848</v>
      </c>
      <c r="B367" s="2969" t="s">
        <v>2896</v>
      </c>
      <c r="C367" s="2970">
        <v>0.15</v>
      </c>
      <c r="D367" s="2970">
        <v>0.15</v>
      </c>
      <c r="E367" s="2970">
        <v>0.15</v>
      </c>
      <c r="F367" s="2970">
        <v>0.14699999999999999</v>
      </c>
      <c r="G367" s="2971">
        <v>0.15</v>
      </c>
    </row>
    <row r="368" spans="1:7">
      <c r="A368" s="2980" t="s">
        <v>2848</v>
      </c>
      <c r="B368" s="2969" t="s">
        <v>2901</v>
      </c>
      <c r="C368" s="2970">
        <v>0.15</v>
      </c>
      <c r="D368" s="2970">
        <v>0.15</v>
      </c>
      <c r="E368" s="2970">
        <v>0.15</v>
      </c>
      <c r="F368" s="2970">
        <v>0.13600000000000001</v>
      </c>
      <c r="G368" s="2971">
        <v>0.15</v>
      </c>
    </row>
    <row r="369" spans="1:7">
      <c r="A369" s="2980" t="s">
        <v>2848</v>
      </c>
      <c r="B369" s="2969" t="s">
        <v>214</v>
      </c>
      <c r="C369" s="2970">
        <v>0.15</v>
      </c>
      <c r="D369" s="2970">
        <v>0.15</v>
      </c>
      <c r="E369" s="2970">
        <v>0.15</v>
      </c>
      <c r="F369" s="2970">
        <v>0.14399999999999999</v>
      </c>
      <c r="G369" s="2971">
        <v>0.15</v>
      </c>
    </row>
    <row r="370" spans="1:7">
      <c r="A370" s="2980" t="s">
        <v>2848</v>
      </c>
      <c r="B370" s="2969" t="s">
        <v>221</v>
      </c>
      <c r="C370" s="2970">
        <v>0.15</v>
      </c>
      <c r="D370" s="2970">
        <v>0.15</v>
      </c>
      <c r="E370" s="2970">
        <v>0.15</v>
      </c>
      <c r="F370" s="2970">
        <v>0.14599999999999999</v>
      </c>
      <c r="G370" s="2971">
        <v>0.15</v>
      </c>
    </row>
    <row r="371" spans="1:7">
      <c r="A371" s="2980" t="s">
        <v>2848</v>
      </c>
      <c r="B371" s="2969" t="s">
        <v>229</v>
      </c>
      <c r="C371" s="2970">
        <v>0.15</v>
      </c>
      <c r="D371" s="2970">
        <v>0.15</v>
      </c>
      <c r="E371" s="2970">
        <v>0.15</v>
      </c>
      <c r="F371" s="2970">
        <v>0.12</v>
      </c>
      <c r="G371" s="2971">
        <v>0.15</v>
      </c>
    </row>
    <row r="372" spans="1:7">
      <c r="A372" s="2980" t="s">
        <v>2848</v>
      </c>
      <c r="B372" s="2969" t="s">
        <v>2909</v>
      </c>
      <c r="C372" s="2970">
        <v>0.15</v>
      </c>
      <c r="D372" s="2970">
        <v>0.15</v>
      </c>
      <c r="E372" s="2970">
        <v>0.15</v>
      </c>
      <c r="F372" s="2970">
        <v>0.14299999999999999</v>
      </c>
      <c r="G372" s="2971">
        <v>0.15</v>
      </c>
    </row>
    <row r="373" spans="1:7">
      <c r="A373" s="2980" t="s">
        <v>2848</v>
      </c>
      <c r="B373" s="2969" t="s">
        <v>258</v>
      </c>
      <c r="C373" s="2970">
        <v>0.15</v>
      </c>
      <c r="D373" s="2970">
        <v>0.15</v>
      </c>
      <c r="E373" s="2970">
        <v>0.15</v>
      </c>
      <c r="F373" s="2970">
        <v>0.14599999999999999</v>
      </c>
      <c r="G373" s="2971">
        <v>0.15</v>
      </c>
    </row>
    <row r="374" spans="1:7">
      <c r="A374" s="2980" t="s">
        <v>2848</v>
      </c>
      <c r="B374" s="2969" t="s">
        <v>266</v>
      </c>
      <c r="C374" s="2970">
        <v>0.15</v>
      </c>
      <c r="D374" s="2970">
        <v>0.15</v>
      </c>
      <c r="E374" s="2970">
        <v>0.15</v>
      </c>
      <c r="F374" s="2970">
        <v>0.14399999999999999</v>
      </c>
      <c r="G374" s="2971">
        <v>0.15</v>
      </c>
    </row>
    <row r="375" spans="1:7">
      <c r="A375" s="2980" t="s">
        <v>2848</v>
      </c>
      <c r="B375" s="2969" t="s">
        <v>2917</v>
      </c>
      <c r="C375" s="2970">
        <v>0.15</v>
      </c>
      <c r="D375" s="2970">
        <v>0.15</v>
      </c>
      <c r="E375" s="2970">
        <v>0.15</v>
      </c>
      <c r="F375" s="2970">
        <v>0.13</v>
      </c>
      <c r="G375" s="2971">
        <v>0.15</v>
      </c>
    </row>
    <row r="376" spans="1:7">
      <c r="A376" s="2980" t="s">
        <v>2848</v>
      </c>
      <c r="B376" s="2969" t="s">
        <v>277</v>
      </c>
      <c r="C376" s="2970">
        <v>0.15</v>
      </c>
      <c r="D376" s="2970">
        <v>0.15</v>
      </c>
      <c r="E376" s="2970">
        <v>0.15</v>
      </c>
      <c r="F376" s="2970">
        <v>0.14199999999999999</v>
      </c>
      <c r="G376" s="2971">
        <v>0.15</v>
      </c>
    </row>
    <row r="377" spans="1:7" ht="15" thickBot="1">
      <c r="A377" s="2983" t="s">
        <v>2848</v>
      </c>
      <c r="B377" s="2973" t="s">
        <v>2923</v>
      </c>
      <c r="C377" s="2974">
        <v>0.15</v>
      </c>
      <c r="D377" s="2974">
        <v>0.15</v>
      </c>
      <c r="E377" s="2974">
        <v>0.15</v>
      </c>
      <c r="F377" s="2974">
        <v>0.14000000000000001</v>
      </c>
      <c r="G377" s="2976">
        <v>0.15</v>
      </c>
    </row>
    <row r="378" spans="1:7">
      <c r="A378" s="2979" t="s">
        <v>2849</v>
      </c>
      <c r="B378" s="2965" t="s">
        <v>2863</v>
      </c>
      <c r="C378" s="2966">
        <v>0.15</v>
      </c>
      <c r="D378" s="2966">
        <v>0.15</v>
      </c>
      <c r="E378" s="2966">
        <v>0.15</v>
      </c>
      <c r="F378" s="2966">
        <v>0.107</v>
      </c>
      <c r="G378" s="2967">
        <v>0.15</v>
      </c>
    </row>
    <row r="379" spans="1:7">
      <c r="A379" s="2980" t="s">
        <v>2849</v>
      </c>
      <c r="B379" s="2969" t="s">
        <v>2869</v>
      </c>
      <c r="C379" s="2970">
        <v>0.15</v>
      </c>
      <c r="D379" s="2970">
        <v>0.15</v>
      </c>
      <c r="E379" s="2970">
        <v>0.15</v>
      </c>
      <c r="F379" s="2970">
        <v>0.115</v>
      </c>
      <c r="G379" s="2971">
        <v>0.14899999999999999</v>
      </c>
    </row>
    <row r="380" spans="1:7">
      <c r="A380" s="2980" t="s">
        <v>2849</v>
      </c>
      <c r="B380" s="2969" t="s">
        <v>2875</v>
      </c>
      <c r="C380" s="2970">
        <v>0.15</v>
      </c>
      <c r="D380" s="2970">
        <v>0.15</v>
      </c>
      <c r="E380" s="2970">
        <v>0.15</v>
      </c>
      <c r="F380" s="2970">
        <v>0.1</v>
      </c>
      <c r="G380" s="2971">
        <v>0.14799999999999999</v>
      </c>
    </row>
    <row r="381" spans="1:7">
      <c r="A381" s="2980" t="s">
        <v>2849</v>
      </c>
      <c r="B381" s="2969" t="s">
        <v>2878</v>
      </c>
      <c r="C381" s="2970">
        <v>0.15</v>
      </c>
      <c r="D381" s="2970">
        <v>0.15</v>
      </c>
      <c r="E381" s="2970">
        <v>0.15</v>
      </c>
      <c r="F381" s="2970">
        <v>0.126</v>
      </c>
      <c r="G381" s="2971">
        <v>0.15</v>
      </c>
    </row>
    <row r="382" spans="1:7">
      <c r="A382" s="2980" t="s">
        <v>2849</v>
      </c>
      <c r="B382" s="2969" t="s">
        <v>2882</v>
      </c>
      <c r="C382" s="2970">
        <v>0.15</v>
      </c>
      <c r="D382" s="2970">
        <v>0.15</v>
      </c>
      <c r="E382" s="2970">
        <v>0.15</v>
      </c>
      <c r="F382" s="2970">
        <v>0.15</v>
      </c>
      <c r="G382" s="2971">
        <v>0.15</v>
      </c>
    </row>
    <row r="383" spans="1:7">
      <c r="A383" s="2980" t="s">
        <v>2849</v>
      </c>
      <c r="B383" s="2969" t="s">
        <v>2887</v>
      </c>
      <c r="C383" s="2970">
        <v>0.15</v>
      </c>
      <c r="D383" s="2970">
        <v>0.15</v>
      </c>
      <c r="E383" s="2970">
        <v>0.15</v>
      </c>
      <c r="F383" s="2970">
        <v>0.14699999999999999</v>
      </c>
      <c r="G383" s="2971">
        <v>0.15</v>
      </c>
    </row>
    <row r="384" spans="1:7" ht="15" thickBot="1">
      <c r="A384" s="2990" t="s">
        <v>2849</v>
      </c>
      <c r="B384" s="2991" t="s">
        <v>2891</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1875" defaultRowHeight="14.4"/>
  <cols>
    <col min="1" max="16384" width="13.21875" style="2805"/>
  </cols>
  <sheetData>
    <row r="1" spans="1:6">
      <c r="A1" s="3640" t="s">
        <v>3230</v>
      </c>
      <c r="B1" s="3640"/>
      <c r="C1" s="3640"/>
      <c r="D1" s="3640"/>
      <c r="E1" s="3640"/>
      <c r="F1" s="3641"/>
    </row>
    <row r="2" spans="1:6">
      <c r="A2" s="2994" t="s">
        <v>3231</v>
      </c>
    </row>
    <row r="3" spans="1:6">
      <c r="A3" s="2994" t="s">
        <v>3232</v>
      </c>
      <c r="F3" s="2995" t="s">
        <v>3233</v>
      </c>
    </row>
    <row r="4" spans="1:6">
      <c r="A4" s="2996" t="s">
        <v>672</v>
      </c>
      <c r="B4" s="2996" t="s">
        <v>673</v>
      </c>
      <c r="C4" s="2996" t="s">
        <v>21</v>
      </c>
      <c r="D4" s="2996" t="s">
        <v>674</v>
      </c>
      <c r="E4" s="2996" t="s">
        <v>3</v>
      </c>
      <c r="F4" s="2996" t="s">
        <v>3234</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29">
        <f>基准地价修正商业!G23</f>
        <v>45734</v>
      </c>
      <c r="B1" s="2921" t="s">
        <v>3378</v>
      </c>
      <c r="C1" s="2922"/>
      <c r="D1" s="2922"/>
      <c r="E1" s="2922"/>
      <c r="F1" s="2922"/>
      <c r="G1" s="2922"/>
      <c r="H1" s="2922"/>
      <c r="I1" s="2922"/>
      <c r="J1" s="2888"/>
      <c r="K1" s="2922" t="s">
        <v>454</v>
      </c>
      <c r="L1" s="2922"/>
      <c r="M1" s="2922"/>
      <c r="N1" s="2922"/>
      <c r="O1" s="2922"/>
      <c r="P1" s="2922"/>
      <c r="Q1" s="2888"/>
      <c r="R1" s="3642" t="s">
        <v>456</v>
      </c>
      <c r="S1" s="3643"/>
      <c r="T1" s="3643"/>
      <c r="U1" s="3643"/>
      <c r="V1" s="3643"/>
      <c r="W1" s="3643"/>
      <c r="X1" s="2888"/>
      <c r="Y1" s="3642" t="s">
        <v>457</v>
      </c>
      <c r="Z1" s="3643"/>
      <c r="AA1" s="3643"/>
      <c r="AB1" s="3643"/>
      <c r="AC1" s="3643"/>
      <c r="AD1" s="3643"/>
    </row>
    <row r="2" spans="1:30" s="2006" customFormat="1" ht="15" thickBot="1">
      <c r="B2" s="2873"/>
      <c r="C2" s="2874"/>
      <c r="D2" s="2007" t="s">
        <v>2808</v>
      </c>
      <c r="E2" s="2008" t="s">
        <v>2809</v>
      </c>
      <c r="F2" s="2008" t="s">
        <v>2810</v>
      </c>
      <c r="G2" s="2008" t="s">
        <v>2811</v>
      </c>
      <c r="H2" s="2008" t="s">
        <v>2812</v>
      </c>
      <c r="I2" s="2008" t="s">
        <v>2629</v>
      </c>
      <c r="J2" s="2875"/>
      <c r="K2" s="2007" t="s">
        <v>2808</v>
      </c>
      <c r="L2" s="2008" t="s">
        <v>2809</v>
      </c>
      <c r="M2" s="2008" t="s">
        <v>2810</v>
      </c>
      <c r="N2" s="2008" t="s">
        <v>2811</v>
      </c>
      <c r="O2" s="2008" t="s">
        <v>2813</v>
      </c>
      <c r="P2" s="2008" t="s">
        <v>2629</v>
      </c>
      <c r="Q2" s="2875"/>
      <c r="R2" s="2007" t="s">
        <v>2808</v>
      </c>
      <c r="S2" s="2008" t="s">
        <v>2809</v>
      </c>
      <c r="T2" s="2008" t="s">
        <v>2810</v>
      </c>
      <c r="U2" s="2008" t="s">
        <v>2814</v>
      </c>
      <c r="V2" s="2008" t="s">
        <v>2815</v>
      </c>
      <c r="W2" s="2008" t="s">
        <v>2629</v>
      </c>
      <c r="X2" s="2875"/>
      <c r="Y2" s="2007" t="s">
        <v>2808</v>
      </c>
      <c r="Z2" s="2008" t="s">
        <v>2809</v>
      </c>
      <c r="AA2" s="2008" t="s">
        <v>2810</v>
      </c>
      <c r="AB2" s="2008" t="s">
        <v>2816</v>
      </c>
      <c r="AC2" s="2008" t="s">
        <v>2815</v>
      </c>
      <c r="AD2" s="2008" t="s">
        <v>2629</v>
      </c>
    </row>
    <row r="3" spans="1:30" s="2878" customFormat="1" ht="13.2">
      <c r="A3" s="2876" t="s">
        <v>2817</v>
      </c>
      <c r="B3" s="2877"/>
      <c r="D3" s="2878">
        <f>ROUND(AVERAGEIF(D4:D21,"&lt;&gt;0"),2)</f>
        <v>0.38</v>
      </c>
      <c r="E3" s="2878">
        <f t="shared" ref="E3:H3" si="0">ROUND(AVERAGEIF(E4:E21,"&lt;&gt;0"),2)</f>
        <v>0.26</v>
      </c>
      <c r="F3" s="2878">
        <f t="shared" si="0"/>
        <v>-0.01</v>
      </c>
      <c r="G3" s="2878">
        <f t="shared" si="0"/>
        <v>0.41</v>
      </c>
      <c r="H3" s="2878">
        <f t="shared" si="0"/>
        <v>0.52</v>
      </c>
      <c r="I3" s="2878">
        <f>F3</f>
        <v>-0.01</v>
      </c>
      <c r="J3" s="2879"/>
      <c r="K3" s="2880">
        <f>ROUND(AVERAGEIF(K4:K21,"&lt;&gt;0"),4)</f>
        <v>3.8E-3</v>
      </c>
      <c r="L3" s="2881">
        <f t="shared" ref="L3:O3" si="1">ROUND(AVERAGEIF(L4:L21,"&lt;&gt;0"),4)</f>
        <v>2.5999999999999999E-3</v>
      </c>
      <c r="M3" s="2881">
        <f t="shared" si="1"/>
        <v>-1E-4</v>
      </c>
      <c r="N3" s="2881">
        <f t="shared" si="1"/>
        <v>4.1000000000000003E-3</v>
      </c>
      <c r="O3" s="2881">
        <f t="shared" si="1"/>
        <v>5.1999999999999998E-3</v>
      </c>
      <c r="P3" s="2881">
        <f>M3</f>
        <v>-1E-4</v>
      </c>
      <c r="Q3" s="2879"/>
      <c r="R3" s="2882">
        <f>ROUND(SUMPRODUCT(PRODUCT(1+K4:K21)),4)</f>
        <v>1.0613999999999999</v>
      </c>
      <c r="S3" s="2883">
        <f t="shared" ref="S3:V3" si="2">ROUND(SUMPRODUCT(PRODUCT(1+L4:L21)),4)</f>
        <v>1.0415000000000001</v>
      </c>
      <c r="T3" s="2883">
        <f t="shared" si="2"/>
        <v>0.99780000000000002</v>
      </c>
      <c r="U3" s="2883">
        <f t="shared" si="2"/>
        <v>1.0678000000000001</v>
      </c>
      <c r="V3" s="2883">
        <f t="shared" si="2"/>
        <v>1.0866</v>
      </c>
      <c r="W3" s="2882">
        <f>T3</f>
        <v>0.99780000000000002</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5" customFormat="1" ht="13.2">
      <c r="B4" s="2021"/>
      <c r="J4" s="2888"/>
      <c r="K4" s="2889"/>
      <c r="L4" s="2890"/>
      <c r="M4" s="2890"/>
      <c r="N4" s="2890"/>
      <c r="O4" s="2890"/>
      <c r="P4" s="2890"/>
      <c r="Q4" s="2888"/>
      <c r="R4" s="2023"/>
      <c r="S4" s="2891"/>
      <c r="T4" s="2892"/>
      <c r="U4" s="2023"/>
      <c r="V4" s="2893"/>
      <c r="W4" s="2023"/>
      <c r="X4" s="2888"/>
      <c r="Y4" s="2024"/>
      <c r="Z4" s="2894"/>
      <c r="AA4" s="2895"/>
      <c r="AB4" s="2024"/>
      <c r="AC4" s="2896"/>
      <c r="AD4" s="2024"/>
    </row>
    <row r="5" spans="1:30" s="2041" customFormat="1" ht="13.2">
      <c r="A5" s="2036" t="s">
        <v>3374</v>
      </c>
      <c r="B5" s="2027">
        <v>2025</v>
      </c>
      <c r="C5" s="2038">
        <v>1</v>
      </c>
      <c r="D5" s="2003">
        <v>0</v>
      </c>
      <c r="E5" s="2003">
        <v>0</v>
      </c>
      <c r="F5" s="2003">
        <v>0</v>
      </c>
      <c r="G5" s="2003">
        <v>0</v>
      </c>
      <c r="H5" s="2003">
        <v>0</v>
      </c>
      <c r="I5" s="2004">
        <f t="shared" ref="I5" si="4">F5</f>
        <v>0</v>
      </c>
      <c r="J5" s="2898"/>
      <c r="K5" s="2039">
        <f t="shared" ref="K5" si="5">D5/100</f>
        <v>0</v>
      </c>
      <c r="L5" s="2024">
        <f t="shared" ref="L5" si="6">E5/100</f>
        <v>0</v>
      </c>
      <c r="M5" s="2024">
        <f t="shared" ref="M5" si="7">F5/100</f>
        <v>0</v>
      </c>
      <c r="N5" s="2024">
        <f t="shared" ref="N5" si="8">G5/100</f>
        <v>0</v>
      </c>
      <c r="O5" s="2024">
        <f t="shared" ref="O5" si="9">H5/100</f>
        <v>0</v>
      </c>
      <c r="P5" s="2024">
        <f>M5</f>
        <v>0</v>
      </c>
      <c r="Q5" s="2898"/>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8"/>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8" customFormat="1" ht="13.2">
      <c r="A6" s="2899" t="s">
        <v>3383</v>
      </c>
      <c r="B6" s="2900">
        <v>2024</v>
      </c>
      <c r="C6" s="2901">
        <v>4</v>
      </c>
      <c r="D6" s="2902">
        <v>-1.02</v>
      </c>
      <c r="E6" s="2902">
        <v>-0.48</v>
      </c>
      <c r="F6" s="2902">
        <v>-0.75</v>
      </c>
      <c r="G6" s="2902">
        <v>-1.05</v>
      </c>
      <c r="H6" s="2903">
        <v>0.08</v>
      </c>
      <c r="I6" s="2904">
        <f t="shared" ref="I6" si="15">F6</f>
        <v>-0.75</v>
      </c>
      <c r="J6" s="2905"/>
      <c r="K6" s="2906">
        <f t="shared" ref="K6" si="16">D6/100</f>
        <v>-1.0200000000000001E-2</v>
      </c>
      <c r="L6" s="2907">
        <f t="shared" ref="L6" si="17">E6/100</f>
        <v>-4.7999999999999996E-3</v>
      </c>
      <c r="M6" s="2907">
        <f t="shared" ref="M6" si="18">F6/100</f>
        <v>-7.4999999999999997E-3</v>
      </c>
      <c r="N6" s="2907">
        <f t="shared" ref="N6" si="19">G6/100</f>
        <v>-1.0500000000000001E-2</v>
      </c>
      <c r="O6" s="2907">
        <f t="shared" ref="O6" si="20">H6/100</f>
        <v>8.0000000000000004E-4</v>
      </c>
      <c r="P6" s="2907">
        <f>M6</f>
        <v>-7.4999999999999997E-3</v>
      </c>
      <c r="Q6" s="2905"/>
      <c r="R6" s="2905">
        <f>ROUND(IF(项目基本情况!$B$8="出让",SUMPRODUCT(PRODUCT(1+K6:$K$21)),SUMPRODUCT(PRODUCT(1+K6:$K$20))),4)</f>
        <v>1.0511999999999999</v>
      </c>
      <c r="S6" s="2905">
        <f>ROUND(IF(项目基本情况!$B$8="出让",SUMPRODUCT(PRODUCT(1+L6:$L$21)),SUMPRODUCT(PRODUCT(1+L6:$L$20))),4)</f>
        <v>1.0398000000000001</v>
      </c>
      <c r="T6" s="2905">
        <f>ROUND(IF(项目基本情况!$B$8="出让",SUMPRODUCT(PRODUCT(1+M6:$M$21)),SUMPRODUCT(PRODUCT(1+M6:$M$20))),4)</f>
        <v>1.0003</v>
      </c>
      <c r="U6" s="2905">
        <f>ROUND(IF(项目基本情况!$B$8="出让",SUMPRODUCT(PRODUCT(1+N6:$N$21)),SUMPRODUCT(PRODUCT(1+N6:$N$20))),4)</f>
        <v>1.0561</v>
      </c>
      <c r="V6" s="2905">
        <f>ROUND(IF(项目基本情况!$B$8="出让",SUMPRODUCT(PRODUCT(1+O6:$O$21)),SUMPRODUCT(PRODUCT(1+O6:$O$20))),4)</f>
        <v>1.0827</v>
      </c>
      <c r="W6" s="2905">
        <f>T6</f>
        <v>1.0003</v>
      </c>
      <c r="X6" s="2905"/>
      <c r="Y6" s="2907">
        <f>IF(D6=0,0,ROUND(AVERAGE(D6:D19)/100,4))</f>
        <v>2.8999999999999998E-3</v>
      </c>
      <c r="Z6" s="2907">
        <f t="shared" ref="Z6" si="21">IF(E6=0,0,ROUND(AVERAGE(E6:E19)/100,4))</f>
        <v>2.3E-3</v>
      </c>
      <c r="AA6" s="2907">
        <f t="shared" ref="AA6" si="22">IF(F6=0,0,ROUND(AVERAGE(F6:F19)/100,4))</f>
        <v>-2.9999999999999997E-4</v>
      </c>
      <c r="AB6" s="2907">
        <f t="shared" ref="AB6" si="23">IF(G6=0,0,ROUND(AVERAGE(G6:G19)/100,4))</f>
        <v>3.3E-3</v>
      </c>
      <c r="AC6" s="2907">
        <f t="shared" ref="AC6" si="24">IF(H6=0,0,ROUND(AVERAGE(H6:H19)/100,4))</f>
        <v>5.0000000000000001E-3</v>
      </c>
      <c r="AD6" s="2907">
        <f t="shared" ref="AD6" si="25">AA6</f>
        <v>-2.9999999999999997E-4</v>
      </c>
    </row>
    <row r="7" spans="1:30" s="2041" customFormat="1" ht="13.2">
      <c r="A7" s="2036" t="s">
        <v>3382</v>
      </c>
      <c r="B7" s="2027">
        <v>2024</v>
      </c>
      <c r="C7" s="2038">
        <v>3</v>
      </c>
      <c r="D7" s="2003">
        <v>-1.19</v>
      </c>
      <c r="E7" s="2003">
        <v>-0.47</v>
      </c>
      <c r="F7" s="2003">
        <v>-0.28999999999999998</v>
      </c>
      <c r="G7" s="2003">
        <v>-0.74</v>
      </c>
      <c r="H7" s="2003">
        <v>-0.21</v>
      </c>
      <c r="I7" s="2004">
        <f t="shared" ref="I7" si="26">F7</f>
        <v>-0.28999999999999998</v>
      </c>
      <c r="J7" s="2898"/>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8"/>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8"/>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7" t="s">
        <v>3375</v>
      </c>
      <c r="B8" s="2027">
        <v>2024</v>
      </c>
      <c r="C8" s="2038">
        <v>2</v>
      </c>
      <c r="D8" s="2003">
        <v>-0.59</v>
      </c>
      <c r="E8" s="2003">
        <v>-0.21</v>
      </c>
      <c r="F8" s="2003">
        <v>-1.38</v>
      </c>
      <c r="G8" s="2003">
        <v>-1.24</v>
      </c>
      <c r="H8" s="2909">
        <v>0.34</v>
      </c>
      <c r="I8" s="2004">
        <f t="shared" ref="I8:I21" si="37">F8</f>
        <v>-1.38</v>
      </c>
      <c r="J8" s="2898"/>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8"/>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8"/>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7" t="s">
        <v>3373</v>
      </c>
      <c r="B9" s="2027">
        <v>2024</v>
      </c>
      <c r="C9" s="2038">
        <v>1</v>
      </c>
      <c r="D9" s="2003">
        <v>0.08</v>
      </c>
      <c r="E9" s="2003">
        <v>0.46</v>
      </c>
      <c r="F9" s="2003">
        <v>-0.16</v>
      </c>
      <c r="G9" s="2003">
        <v>0.26</v>
      </c>
      <c r="H9" s="2909">
        <v>0.59</v>
      </c>
      <c r="I9" s="2004">
        <v>0</v>
      </c>
      <c r="J9" s="2898"/>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8"/>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8"/>
      <c r="Y9" s="2024"/>
      <c r="Z9" s="2024"/>
      <c r="AA9" s="2024"/>
      <c r="AB9" s="2024"/>
      <c r="AC9" s="2024"/>
      <c r="AD9" s="2024"/>
    </row>
    <row r="10" spans="1:30" s="2041" customFormat="1" ht="13.2">
      <c r="A10" s="2897" t="s">
        <v>3369</v>
      </c>
      <c r="B10" s="2027">
        <v>2023</v>
      </c>
      <c r="C10" s="2038">
        <v>4</v>
      </c>
      <c r="D10" s="2003">
        <v>0.19</v>
      </c>
      <c r="E10" s="2003">
        <v>0.24</v>
      </c>
      <c r="F10" s="2003">
        <v>-0.16</v>
      </c>
      <c r="G10" s="2003">
        <v>0.17</v>
      </c>
      <c r="H10" s="2909">
        <v>0.61</v>
      </c>
      <c r="I10" s="2004">
        <f>F10</f>
        <v>-0.16</v>
      </c>
      <c r="J10" s="2898"/>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8"/>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8"/>
      <c r="Y10" s="2024"/>
      <c r="Z10" s="2024"/>
      <c r="AA10" s="2024"/>
      <c r="AB10" s="2024"/>
      <c r="AC10" s="2024"/>
      <c r="AD10" s="2024"/>
    </row>
    <row r="11" spans="1:30" s="2041" customFormat="1" ht="13.2">
      <c r="A11" s="2897" t="s">
        <v>3368</v>
      </c>
      <c r="B11" s="2027">
        <v>2023</v>
      </c>
      <c r="C11" s="2038">
        <v>3</v>
      </c>
      <c r="D11" s="2003">
        <v>0.25</v>
      </c>
      <c r="E11" s="2003">
        <v>0.5</v>
      </c>
      <c r="F11" s="2003">
        <v>0.31</v>
      </c>
      <c r="G11" s="2003">
        <v>0.21</v>
      </c>
      <c r="H11" s="2909">
        <v>0.43</v>
      </c>
      <c r="I11" s="2004">
        <f t="shared" si="37"/>
        <v>0.31</v>
      </c>
      <c r="J11" s="2898"/>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8"/>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8"/>
      <c r="Y11" s="2024"/>
      <c r="Z11" s="2024"/>
      <c r="AA11" s="2024"/>
      <c r="AB11" s="2024"/>
      <c r="AC11" s="2024"/>
      <c r="AD11" s="2024"/>
    </row>
    <row r="12" spans="1:30" s="2041" customFormat="1" ht="13.2">
      <c r="A12" s="2897" t="s">
        <v>3366</v>
      </c>
      <c r="B12" s="2027">
        <v>2023</v>
      </c>
      <c r="C12" s="2038">
        <v>2</v>
      </c>
      <c r="D12" s="2003">
        <v>0.91</v>
      </c>
      <c r="E12" s="2003">
        <v>0.66</v>
      </c>
      <c r="F12" s="2003">
        <v>0.47</v>
      </c>
      <c r="G12" s="2003">
        <v>0.96</v>
      </c>
      <c r="H12" s="2909">
        <v>0.71</v>
      </c>
      <c r="I12" s="2004">
        <f t="shared" si="37"/>
        <v>0.47</v>
      </c>
      <c r="J12" s="2898"/>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8"/>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8"/>
      <c r="Y12" s="2024"/>
      <c r="Z12" s="2024"/>
      <c r="AA12" s="2024"/>
      <c r="AB12" s="2024"/>
      <c r="AC12" s="2024"/>
      <c r="AD12" s="2024"/>
    </row>
    <row r="13" spans="1:30" s="2041" customFormat="1" ht="13.2">
      <c r="A13" s="2897" t="s">
        <v>3365</v>
      </c>
      <c r="B13" s="2027">
        <v>2023</v>
      </c>
      <c r="C13" s="2038">
        <v>1</v>
      </c>
      <c r="D13" s="2003">
        <v>0.89</v>
      </c>
      <c r="E13" s="2003">
        <v>0.74</v>
      </c>
      <c r="F13" s="2003">
        <v>0.56999999999999995</v>
      </c>
      <c r="G13" s="2003">
        <v>0.92</v>
      </c>
      <c r="H13" s="2909">
        <v>0.5</v>
      </c>
      <c r="I13" s="2004">
        <f t="shared" si="37"/>
        <v>0.56999999999999995</v>
      </c>
      <c r="J13" s="2898"/>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8"/>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8"/>
      <c r="Y13" s="2024"/>
      <c r="Z13" s="2024"/>
      <c r="AA13" s="2024"/>
      <c r="AB13" s="2024"/>
      <c r="AC13" s="2024"/>
      <c r="AD13" s="2024"/>
    </row>
    <row r="14" spans="1:30" s="2041" customFormat="1" ht="13.2">
      <c r="A14" s="2897" t="s">
        <v>3364</v>
      </c>
      <c r="B14" s="2027">
        <v>2022</v>
      </c>
      <c r="C14" s="2038">
        <v>4</v>
      </c>
      <c r="D14" s="2003">
        <v>0.62</v>
      </c>
      <c r="E14" s="2003">
        <v>0.2</v>
      </c>
      <c r="F14" s="2003">
        <v>0.11</v>
      </c>
      <c r="G14" s="2003">
        <v>0.69</v>
      </c>
      <c r="H14" s="2909">
        <v>0.53</v>
      </c>
      <c r="I14" s="2004">
        <f t="shared" si="37"/>
        <v>0.11</v>
      </c>
      <c r="J14" s="2898"/>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8"/>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8"/>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7" t="s">
        <v>3362</v>
      </c>
      <c r="B15" s="2027">
        <v>2022</v>
      </c>
      <c r="C15" s="2038">
        <v>3</v>
      </c>
      <c r="D15" s="2003">
        <v>0.66</v>
      </c>
      <c r="E15" s="2003">
        <v>0.32</v>
      </c>
      <c r="F15" s="2003">
        <v>0.23</v>
      </c>
      <c r="G15" s="2003">
        <v>0.72</v>
      </c>
      <c r="H15" s="2909">
        <v>0.63</v>
      </c>
      <c r="I15" s="2004">
        <f t="shared" si="37"/>
        <v>0.23</v>
      </c>
      <c r="J15" s="2898"/>
      <c r="K15" s="2039">
        <f t="shared" si="38"/>
        <v>6.6E-3</v>
      </c>
      <c r="L15" s="2024">
        <f t="shared" si="38"/>
        <v>3.2000000000000002E-3</v>
      </c>
      <c r="M15" s="2024">
        <f t="shared" si="38"/>
        <v>2.3E-3</v>
      </c>
      <c r="N15" s="2024">
        <f t="shared" si="38"/>
        <v>7.1999999999999998E-3</v>
      </c>
      <c r="O15" s="2024">
        <f t="shared" si="38"/>
        <v>6.3E-3</v>
      </c>
      <c r="P15" s="2024">
        <f t="shared" si="58"/>
        <v>2.3E-3</v>
      </c>
      <c r="Q15" s="2898"/>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8"/>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7" t="s">
        <v>3353</v>
      </c>
      <c r="B16" s="2027">
        <v>2022</v>
      </c>
      <c r="C16" s="2038">
        <v>2</v>
      </c>
      <c r="D16" s="2003">
        <v>0.93</v>
      </c>
      <c r="E16" s="2003">
        <v>0.15</v>
      </c>
      <c r="F16" s="2003">
        <v>0.01</v>
      </c>
      <c r="G16" s="2003">
        <v>1.05</v>
      </c>
      <c r="H16" s="2909">
        <v>1.08</v>
      </c>
      <c r="I16" s="2004">
        <f t="shared" si="37"/>
        <v>0.01</v>
      </c>
      <c r="J16" s="2898"/>
      <c r="K16" s="2039">
        <f t="shared" si="38"/>
        <v>9.300000000000001E-3</v>
      </c>
      <c r="L16" s="2024">
        <f t="shared" si="38"/>
        <v>1.5E-3</v>
      </c>
      <c r="M16" s="2024">
        <f t="shared" si="38"/>
        <v>1E-4</v>
      </c>
      <c r="N16" s="2024">
        <f t="shared" si="38"/>
        <v>1.0500000000000001E-2</v>
      </c>
      <c r="O16" s="2024">
        <f t="shared" si="38"/>
        <v>1.0800000000000001E-2</v>
      </c>
      <c r="P16" s="2024">
        <f t="shared" si="58"/>
        <v>1E-4</v>
      </c>
      <c r="Q16" s="2898"/>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8"/>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7" t="s">
        <v>2818</v>
      </c>
      <c r="B17" s="2027">
        <v>2022</v>
      </c>
      <c r="C17" s="2038">
        <v>1</v>
      </c>
      <c r="D17" s="2003">
        <v>0.89</v>
      </c>
      <c r="E17" s="2003">
        <v>0.44</v>
      </c>
      <c r="F17" s="2003">
        <v>0.37</v>
      </c>
      <c r="G17" s="2003">
        <v>0.96</v>
      </c>
      <c r="H17" s="2909">
        <v>0.64</v>
      </c>
      <c r="I17" s="2004">
        <f t="shared" si="37"/>
        <v>0.37</v>
      </c>
      <c r="J17" s="2898"/>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8"/>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8"/>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7" t="s">
        <v>2819</v>
      </c>
      <c r="B18" s="2027">
        <v>2021</v>
      </c>
      <c r="C18" s="2038">
        <v>4</v>
      </c>
      <c r="D18" s="2003">
        <v>1.03</v>
      </c>
      <c r="E18" s="2003">
        <v>0.24</v>
      </c>
      <c r="F18" s="2003">
        <v>7.0000000000000007E-2</v>
      </c>
      <c r="G18" s="2003">
        <v>1.17</v>
      </c>
      <c r="H18" s="2909">
        <v>0.55000000000000004</v>
      </c>
      <c r="I18" s="2004">
        <f t="shared" si="37"/>
        <v>7.0000000000000007E-2</v>
      </c>
      <c r="J18" s="2898"/>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8"/>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8"/>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7" t="s">
        <v>2820</v>
      </c>
      <c r="B19" s="2027">
        <v>2021</v>
      </c>
      <c r="C19" s="2038">
        <v>3</v>
      </c>
      <c r="D19" s="2003">
        <v>0.47</v>
      </c>
      <c r="E19" s="2003">
        <v>0.41</v>
      </c>
      <c r="F19" s="2003">
        <v>0.24</v>
      </c>
      <c r="G19" s="2003">
        <v>0.48</v>
      </c>
      <c r="H19" s="2909">
        <v>0.48</v>
      </c>
      <c r="I19" s="2004">
        <f t="shared" si="37"/>
        <v>0.24</v>
      </c>
      <c r="J19" s="2898"/>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8"/>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8"/>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7" t="s">
        <v>2821</v>
      </c>
      <c r="B20" s="2027">
        <v>2021</v>
      </c>
      <c r="C20" s="2038">
        <v>2</v>
      </c>
      <c r="D20" s="2003">
        <v>0.92</v>
      </c>
      <c r="E20" s="2003">
        <v>0.72</v>
      </c>
      <c r="F20" s="2003">
        <v>0.41</v>
      </c>
      <c r="G20" s="2003">
        <v>0.95</v>
      </c>
      <c r="H20" s="2909">
        <v>1.01</v>
      </c>
      <c r="I20" s="2004">
        <f t="shared" si="37"/>
        <v>0.41</v>
      </c>
      <c r="J20" s="2898"/>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8"/>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8"/>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0" customFormat="1" ht="13.8" thickBot="1">
      <c r="A21" s="2910" t="s">
        <v>2822</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5" thickTop="1"/>
    <row r="23" spans="1:30">
      <c r="A23" s="3134" t="s">
        <v>3381</v>
      </c>
    </row>
    <row r="24" spans="1:30">
      <c r="I24" s="1401" t="s">
        <v>2823</v>
      </c>
    </row>
    <row r="26" spans="1:30" s="2005" customFormat="1" ht="13.2">
      <c r="B26" s="2921" t="s">
        <v>3379</v>
      </c>
      <c r="C26" s="2922"/>
      <c r="D26" s="2922"/>
      <c r="E26" s="2922"/>
      <c r="F26" s="2922"/>
      <c r="G26" s="2922"/>
      <c r="H26" s="2922"/>
      <c r="I26" s="2922"/>
      <c r="J26" s="2888"/>
      <c r="K26" s="2922" t="s">
        <v>2824</v>
      </c>
      <c r="L26" s="2922"/>
      <c r="M26" s="2922"/>
      <c r="N26" s="2922"/>
      <c r="O26" s="2922"/>
      <c r="P26" s="2922"/>
      <c r="Q26" s="2888"/>
      <c r="R26" s="3642" t="s">
        <v>2825</v>
      </c>
      <c r="S26" s="3643"/>
      <c r="T26" s="3643"/>
      <c r="U26" s="3643"/>
      <c r="V26" s="3643"/>
      <c r="W26" s="3643"/>
      <c r="X26" s="2888"/>
      <c r="Y26" s="3642" t="s">
        <v>2826</v>
      </c>
      <c r="Z26" s="3643"/>
      <c r="AA26" s="3643"/>
      <c r="AB26" s="3643"/>
      <c r="AC26" s="3643"/>
      <c r="AD26" s="3643"/>
    </row>
    <row r="27" spans="1:30" s="2006" customFormat="1" ht="15" thickBot="1">
      <c r="B27" s="2873"/>
      <c r="C27" s="2874"/>
      <c r="D27" s="2007" t="s">
        <v>2827</v>
      </c>
      <c r="E27" s="2008" t="s">
        <v>2828</v>
      </c>
      <c r="F27" s="2008" t="s">
        <v>2829</v>
      </c>
      <c r="G27" s="2008" t="s">
        <v>2830</v>
      </c>
      <c r="H27" s="2008"/>
      <c r="I27" s="2008" t="s">
        <v>2831</v>
      </c>
      <c r="J27" s="2875"/>
      <c r="K27" s="2007" t="s">
        <v>2827</v>
      </c>
      <c r="L27" s="2008" t="s">
        <v>2828</v>
      </c>
      <c r="M27" s="2008" t="s">
        <v>2829</v>
      </c>
      <c r="N27" s="2008" t="s">
        <v>2830</v>
      </c>
      <c r="O27" s="2008"/>
      <c r="P27" s="2008" t="s">
        <v>2831</v>
      </c>
      <c r="Q27" s="2875"/>
      <c r="R27" s="2007" t="s">
        <v>2827</v>
      </c>
      <c r="S27" s="2008" t="s">
        <v>2828</v>
      </c>
      <c r="T27" s="2008" t="s">
        <v>2829</v>
      </c>
      <c r="U27" s="2008" t="s">
        <v>2830</v>
      </c>
      <c r="V27" s="2008"/>
      <c r="W27" s="2008" t="s">
        <v>2831</v>
      </c>
      <c r="X27" s="2875"/>
      <c r="Y27" s="2007" t="s">
        <v>2827</v>
      </c>
      <c r="Z27" s="2008" t="s">
        <v>2828</v>
      </c>
      <c r="AA27" s="2008" t="s">
        <v>2829</v>
      </c>
      <c r="AB27" s="2008" t="s">
        <v>2830</v>
      </c>
      <c r="AC27" s="2008"/>
      <c r="AD27" s="2008" t="s">
        <v>2831</v>
      </c>
    </row>
    <row r="28" spans="1:30" s="2878" customFormat="1" ht="13.2">
      <c r="A28" s="2876" t="s">
        <v>2832</v>
      </c>
      <c r="B28" s="2877"/>
      <c r="E28" s="2878">
        <f t="shared" ref="E28:G28" si="65">ROUND(AVERAGEIF(E29:E46,"&lt;&gt;0"),2)</f>
        <v>0.21</v>
      </c>
      <c r="F28" s="2878">
        <f t="shared" si="65"/>
        <v>0.14000000000000001</v>
      </c>
      <c r="G28" s="2878">
        <f t="shared" si="65"/>
        <v>0.3</v>
      </c>
      <c r="I28" s="2878">
        <f>F28</f>
        <v>0.14000000000000001</v>
      </c>
      <c r="J28" s="2879"/>
      <c r="K28" s="2880"/>
      <c r="L28" s="2881">
        <f t="shared" ref="L28:N28" si="66">ROUND(AVERAGEIF(L29:L46,"&lt;&gt;0"),4)</f>
        <v>2.0999999999999999E-3</v>
      </c>
      <c r="M28" s="2881">
        <f t="shared" si="66"/>
        <v>1.4E-3</v>
      </c>
      <c r="N28" s="2881">
        <f t="shared" si="66"/>
        <v>3.0000000000000001E-3</v>
      </c>
      <c r="O28" s="2881"/>
      <c r="P28" s="2881">
        <f>M28</f>
        <v>1.4E-3</v>
      </c>
      <c r="Q28" s="2879"/>
      <c r="R28" s="2882"/>
      <c r="S28" s="2883">
        <f>ROUND(SUMPRODUCT(PRODUCT(1+L29:L46)),4)</f>
        <v>1.0337000000000001</v>
      </c>
      <c r="T28" s="2883">
        <f t="shared" ref="T28:U28" si="67">ROUND(SUMPRODUCT(PRODUCT(1+M29:M46)),4)</f>
        <v>1.022</v>
      </c>
      <c r="U28" s="2883">
        <f t="shared" si="67"/>
        <v>1.0489999999999999</v>
      </c>
      <c r="V28" s="2883"/>
      <c r="W28" s="2882">
        <f>T28</f>
        <v>1.022</v>
      </c>
      <c r="X28" s="2879"/>
      <c r="Y28" s="2884"/>
      <c r="Z28" s="2885">
        <f t="shared" ref="Z28:AB28" si="68">ROUND(AVERAGEIF(Z29:Z46,"&lt;&gt;0"),4)</f>
        <v>3.8E-3</v>
      </c>
      <c r="AA28" s="2886">
        <f t="shared" si="68"/>
        <v>3.0000000000000001E-3</v>
      </c>
      <c r="AB28" s="2884">
        <f t="shared" si="68"/>
        <v>7.4999999999999997E-3</v>
      </c>
      <c r="AC28" s="2887"/>
      <c r="AD28" s="2884">
        <f>AA28</f>
        <v>3.0000000000000001E-3</v>
      </c>
    </row>
    <row r="29" spans="1:30" s="2005" customFormat="1" ht="13.2">
      <c r="B29" s="2021"/>
      <c r="J29" s="2888"/>
      <c r="K29" s="2889"/>
      <c r="L29" s="2890"/>
      <c r="M29" s="2890"/>
      <c r="N29" s="2890"/>
      <c r="O29" s="2890"/>
      <c r="P29" s="2890"/>
      <c r="Q29" s="2888"/>
      <c r="R29" s="2023"/>
      <c r="S29" s="2891"/>
      <c r="T29" s="2892"/>
      <c r="U29" s="2023"/>
      <c r="V29" s="2893"/>
      <c r="W29" s="2023"/>
      <c r="X29" s="2888"/>
      <c r="Y29" s="2024"/>
      <c r="Z29" s="2894"/>
      <c r="AA29" s="2895"/>
      <c r="AB29" s="2024"/>
      <c r="AC29" s="2896"/>
      <c r="AD29" s="2024"/>
    </row>
    <row r="30" spans="1:30" s="2041" customFormat="1" ht="13.2">
      <c r="A30" s="2036" t="s">
        <v>3374</v>
      </c>
      <c r="B30" s="2027">
        <v>2025</v>
      </c>
      <c r="C30" s="2038">
        <v>1</v>
      </c>
      <c r="D30" s="2003"/>
      <c r="E30" s="2003">
        <v>0</v>
      </c>
      <c r="F30" s="2003">
        <v>0</v>
      </c>
      <c r="G30" s="2003">
        <v>0</v>
      </c>
      <c r="H30" s="2003"/>
      <c r="I30" s="2004">
        <f t="shared" ref="I30" si="69">F30</f>
        <v>0</v>
      </c>
      <c r="J30" s="2898"/>
      <c r="K30" s="2039"/>
      <c r="L30" s="2024">
        <f t="shared" ref="L30" si="70">E30/100</f>
        <v>0</v>
      </c>
      <c r="M30" s="2024">
        <f t="shared" ref="M30" si="71">F30/100</f>
        <v>0</v>
      </c>
      <c r="N30" s="2024">
        <f t="shared" ref="N30" si="72">G30/100</f>
        <v>0</v>
      </c>
      <c r="O30" s="2024"/>
      <c r="P30" s="2024">
        <f>M30</f>
        <v>0</v>
      </c>
      <c r="Q30" s="2898"/>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8"/>
      <c r="Y30" s="2024"/>
      <c r="Z30" s="2894">
        <f t="shared" ref="Z30" si="73">IF(E30=0,0,ROUND(AVERAGE(E30:E43)/100,4))</f>
        <v>0</v>
      </c>
      <c r="AA30" s="2894">
        <f t="shared" ref="AA30" si="74">IF(F30=0,0,ROUND(AVERAGE(F30:F43)/100,4))</f>
        <v>0</v>
      </c>
      <c r="AB30" s="2894">
        <f t="shared" ref="AB30" si="75">IF(G30=0,0,ROUND(AVERAGE(G30:G43)/100,4))</f>
        <v>0</v>
      </c>
      <c r="AC30" s="2896"/>
      <c r="AD30" s="2024">
        <f>IF(I30=0,0,ROUND(AVERAGE(I30:I43)/100,4))</f>
        <v>0</v>
      </c>
    </row>
    <row r="31" spans="1:30" s="2908" customFormat="1" ht="13.2">
      <c r="A31" s="2899" t="s">
        <v>3376</v>
      </c>
      <c r="B31" s="2900">
        <v>2024</v>
      </c>
      <c r="C31" s="2901">
        <v>4</v>
      </c>
      <c r="D31" s="2902"/>
      <c r="E31" s="2902">
        <v>-0.61</v>
      </c>
      <c r="F31" s="2902">
        <v>-0.71</v>
      </c>
      <c r="G31" s="2902">
        <v>-0.88</v>
      </c>
      <c r="H31" s="2903"/>
      <c r="I31" s="2904">
        <f t="shared" ref="I31" si="76">F31</f>
        <v>-0.71</v>
      </c>
      <c r="J31" s="2905"/>
      <c r="K31" s="2906"/>
      <c r="L31" s="2907">
        <f t="shared" ref="L31" si="77">E31/100</f>
        <v>-6.0999999999999995E-3</v>
      </c>
      <c r="M31" s="2907">
        <f t="shared" ref="M31" si="78">F31/100</f>
        <v>-7.0999999999999995E-3</v>
      </c>
      <c r="N31" s="2907">
        <f t="shared" ref="N31" si="79">G31/100</f>
        <v>-8.8000000000000005E-3</v>
      </c>
      <c r="O31" s="2907"/>
      <c r="P31" s="2907">
        <f>M31</f>
        <v>-7.0999999999999995E-3</v>
      </c>
      <c r="Q31" s="2905"/>
      <c r="R31" s="2905"/>
      <c r="S31" s="2905">
        <f>ROUND(IF(项目基本情况!$B$8="出让",SUMPRODUCT(PRODUCT(1+L31:L$46)),SUMPRODUCT(PRODUCT(1+L31:L$45))),4)</f>
        <v>1.0301</v>
      </c>
      <c r="T31" s="2905">
        <f>ROUND(IF(项目基本情况!$B$8="出让",SUMPRODUCT(PRODUCT(1+M31:M$46)),SUMPRODUCT(PRODUCT(1+M31:M$45))),4)</f>
        <v>1.0170999999999999</v>
      </c>
      <c r="U31" s="2905">
        <f>ROUND(IF(项目基本情况!$B$8="出让",SUMPRODUCT(PRODUCT(1+N31:N$46)),SUMPRODUCT(PRODUCT(1+N31:N$45))),4)</f>
        <v>1.0387999999999999</v>
      </c>
      <c r="V31" s="2905"/>
      <c r="W31" s="2905">
        <f>T31</f>
        <v>1.0170999999999999</v>
      </c>
      <c r="X31" s="2905"/>
      <c r="Y31" s="2907"/>
      <c r="Z31" s="2923">
        <f t="shared" ref="Z31" si="80">IF(E31=0,0,ROUND(AVERAGE(E31:E44)/100,4))</f>
        <v>1.6999999999999999E-3</v>
      </c>
      <c r="AA31" s="2924">
        <f t="shared" ref="AA31" si="81">IF(F31=0,0,ROUND(AVERAGE(F31:F44)/100,4))</f>
        <v>8.9999999999999998E-4</v>
      </c>
      <c r="AB31" s="2907">
        <f t="shared" ref="AB31" si="82">IF(G31=0,0,ROUND(AVERAGE(G31:G44)/100,4))</f>
        <v>2E-3</v>
      </c>
      <c r="AC31" s="2925"/>
      <c r="AD31" s="2907">
        <f>IF(I31=0,0,ROUND(AVERAGE(I31:I44)/100,4))</f>
        <v>8.9999999999999998E-4</v>
      </c>
    </row>
    <row r="32" spans="1:30" s="2041" customFormat="1" ht="13.2">
      <c r="A32" s="2036" t="s">
        <v>3371</v>
      </c>
      <c r="B32" s="2027">
        <v>2024</v>
      </c>
      <c r="C32" s="2038">
        <v>3</v>
      </c>
      <c r="D32" s="2003"/>
      <c r="E32" s="2003">
        <v>-0.66</v>
      </c>
      <c r="F32" s="2003">
        <v>-0.52</v>
      </c>
      <c r="G32" s="2003">
        <v>-2.87</v>
      </c>
      <c r="H32" s="2003"/>
      <c r="I32" s="2004">
        <f t="shared" ref="I32" si="83">F32</f>
        <v>-0.52</v>
      </c>
      <c r="J32" s="2898"/>
      <c r="K32" s="2039"/>
      <c r="L32" s="2024">
        <f t="shared" ref="L32" si="84">E32/100</f>
        <v>-6.6E-3</v>
      </c>
      <c r="M32" s="2024">
        <f t="shared" ref="M32" si="85">F32/100</f>
        <v>-5.1999999999999998E-3</v>
      </c>
      <c r="N32" s="2024">
        <f t="shared" ref="N32" si="86">G32/100</f>
        <v>-2.87E-2</v>
      </c>
      <c r="O32" s="2024"/>
      <c r="P32" s="2024">
        <f>M32</f>
        <v>-5.1999999999999998E-3</v>
      </c>
      <c r="Q32" s="2898"/>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8"/>
      <c r="Y32" s="2024"/>
      <c r="Z32" s="2894">
        <f t="shared" ref="Z32:AB33" si="87">IF(E32=0,0,ROUND(AVERAGE(E32:E45)/100,4))</f>
        <v>2.5999999999999999E-3</v>
      </c>
      <c r="AA32" s="2894">
        <f t="shared" si="87"/>
        <v>1.6999999999999999E-3</v>
      </c>
      <c r="AB32" s="2894">
        <f t="shared" si="87"/>
        <v>3.3999999999999998E-3</v>
      </c>
      <c r="AC32" s="2896"/>
      <c r="AD32" s="2024">
        <f>IF(I32=0,0,ROUND(AVERAGE(I32:I45)/100,4))</f>
        <v>1.6999999999999999E-3</v>
      </c>
    </row>
    <row r="33" spans="1:30" s="2041" customFormat="1" ht="13.2">
      <c r="A33" s="2897" t="s">
        <v>3377</v>
      </c>
      <c r="B33" s="2027">
        <v>2024</v>
      </c>
      <c r="C33" s="2038">
        <v>2</v>
      </c>
      <c r="D33" s="2003"/>
      <c r="E33" s="2003">
        <v>-0.31</v>
      </c>
      <c r="F33" s="2003">
        <v>-0.39</v>
      </c>
      <c r="G33" s="2003">
        <v>1.23</v>
      </c>
      <c r="H33" s="2909"/>
      <c r="I33" s="2004">
        <f t="shared" ref="I33:I46" si="88">F33</f>
        <v>-0.39</v>
      </c>
      <c r="J33" s="2898"/>
      <c r="K33" s="2039"/>
      <c r="L33" s="2024">
        <f t="shared" ref="L33:N46" si="89">E33/100</f>
        <v>-3.0999999999999999E-3</v>
      </c>
      <c r="M33" s="2024">
        <f t="shared" si="89"/>
        <v>-3.9000000000000003E-3</v>
      </c>
      <c r="N33" s="2024">
        <f t="shared" si="89"/>
        <v>1.23E-2</v>
      </c>
      <c r="O33" s="2024"/>
      <c r="P33" s="2024">
        <f>M33</f>
        <v>-3.9000000000000003E-3</v>
      </c>
      <c r="Q33" s="2898"/>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8"/>
      <c r="Y33" s="2024"/>
      <c r="Z33" s="2894">
        <f t="shared" si="87"/>
        <v>3.3E-3</v>
      </c>
      <c r="AA33" s="2895">
        <f t="shared" si="87"/>
        <v>2.3999999999999998E-3</v>
      </c>
      <c r="AB33" s="2024">
        <f t="shared" si="87"/>
        <v>6.1999999999999998E-3</v>
      </c>
      <c r="AC33" s="2896"/>
      <c r="AD33" s="2024">
        <f>IF(I33=0,0,ROUND(AVERAGE(I33:I46)/100,4))</f>
        <v>2.3999999999999998E-3</v>
      </c>
    </row>
    <row r="34" spans="1:30" s="2041" customFormat="1" ht="13.2">
      <c r="A34" s="2897" t="s">
        <v>3372</v>
      </c>
      <c r="B34" s="2027">
        <v>2024</v>
      </c>
      <c r="C34" s="2038">
        <v>1</v>
      </c>
      <c r="D34" s="2003"/>
      <c r="E34" s="2003">
        <v>0.25</v>
      </c>
      <c r="F34" s="2003">
        <v>0.4</v>
      </c>
      <c r="G34" s="2003">
        <v>-0.63</v>
      </c>
      <c r="H34" s="2909"/>
      <c r="I34" s="2004">
        <f t="shared" ref="I34:I35" si="90">F34</f>
        <v>0.4</v>
      </c>
      <c r="J34" s="2898"/>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8"/>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8"/>
      <c r="Y34" s="2024"/>
      <c r="Z34" s="2894"/>
      <c r="AA34" s="2895"/>
      <c r="AB34" s="2024"/>
      <c r="AC34" s="2896"/>
      <c r="AD34" s="2024"/>
    </row>
    <row r="35" spans="1:30" s="2041" customFormat="1" ht="13.2">
      <c r="A35" s="2897" t="s">
        <v>3370</v>
      </c>
      <c r="B35" s="2027">
        <v>2023</v>
      </c>
      <c r="C35" s="2038">
        <v>4</v>
      </c>
      <c r="D35" s="2003"/>
      <c r="E35" s="2003">
        <v>7.0000000000000007E-2</v>
      </c>
      <c r="F35" s="2003">
        <v>0.09</v>
      </c>
      <c r="G35" s="2003">
        <v>0.03</v>
      </c>
      <c r="H35" s="2909"/>
      <c r="I35" s="2004">
        <f t="shared" si="90"/>
        <v>0.09</v>
      </c>
      <c r="J35" s="2898"/>
      <c r="K35" s="2039"/>
      <c r="L35" s="2024">
        <f t="shared" si="89"/>
        <v>7.000000000000001E-4</v>
      </c>
      <c r="M35" s="2024">
        <f t="shared" si="89"/>
        <v>8.9999999999999998E-4</v>
      </c>
      <c r="N35" s="2024">
        <f t="shared" si="89"/>
        <v>2.9999999999999997E-4</v>
      </c>
      <c r="O35" s="2024"/>
      <c r="P35" s="2024">
        <f t="shared" ref="P35" si="96">M35</f>
        <v>8.9999999999999998E-4</v>
      </c>
      <c r="Q35" s="2898"/>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8"/>
      <c r="Y35" s="2024"/>
      <c r="Z35" s="2894"/>
      <c r="AA35" s="2895"/>
      <c r="AB35" s="2024"/>
      <c r="AC35" s="2896"/>
      <c r="AD35" s="2024"/>
    </row>
    <row r="36" spans="1:30" s="2041" customFormat="1" ht="13.2">
      <c r="A36" s="2897" t="s">
        <v>3368</v>
      </c>
      <c r="B36" s="2027">
        <v>2023</v>
      </c>
      <c r="C36" s="2038">
        <v>3</v>
      </c>
      <c r="D36" s="2003"/>
      <c r="E36" s="2003">
        <v>0.35</v>
      </c>
      <c r="F36" s="2003">
        <v>0.17</v>
      </c>
      <c r="G36" s="2003">
        <v>0.52</v>
      </c>
      <c r="H36" s="2909"/>
      <c r="I36" s="2004">
        <f t="shared" si="88"/>
        <v>0.17</v>
      </c>
      <c r="J36" s="2898"/>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8"/>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8"/>
      <c r="Y36" s="2024"/>
      <c r="Z36" s="2894"/>
      <c r="AA36" s="2895"/>
      <c r="AB36" s="2024"/>
      <c r="AC36" s="2896"/>
      <c r="AD36" s="2024"/>
    </row>
    <row r="37" spans="1:30" s="2041" customFormat="1" ht="13.2">
      <c r="A37" s="2897" t="s">
        <v>3367</v>
      </c>
      <c r="B37" s="2027">
        <v>2023</v>
      </c>
      <c r="C37" s="2038">
        <v>2</v>
      </c>
      <c r="D37" s="2003"/>
      <c r="E37" s="2003">
        <v>0.5</v>
      </c>
      <c r="F37" s="2003">
        <v>0.45</v>
      </c>
      <c r="G37" s="2003">
        <v>0.89</v>
      </c>
      <c r="H37" s="2909"/>
      <c r="I37" s="2004">
        <f t="shared" si="88"/>
        <v>0.45</v>
      </c>
      <c r="J37" s="2898"/>
      <c r="K37" s="2039"/>
      <c r="L37" s="2024">
        <f t="shared" si="98"/>
        <v>5.0000000000000001E-3</v>
      </c>
      <c r="M37" s="2024">
        <f t="shared" si="99"/>
        <v>4.5000000000000005E-3</v>
      </c>
      <c r="N37" s="2024">
        <f t="shared" si="100"/>
        <v>8.8999999999999999E-3</v>
      </c>
      <c r="O37" s="2024"/>
      <c r="P37" s="2024">
        <f t="shared" si="101"/>
        <v>4.5000000000000005E-3</v>
      </c>
      <c r="Q37" s="2898"/>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8"/>
      <c r="Y37" s="2024"/>
      <c r="Z37" s="2894"/>
      <c r="AA37" s="2895"/>
      <c r="AB37" s="2024"/>
      <c r="AC37" s="2896"/>
      <c r="AD37" s="2024"/>
    </row>
    <row r="38" spans="1:30" s="2041" customFormat="1" ht="13.2">
      <c r="A38" s="2897" t="s">
        <v>3365</v>
      </c>
      <c r="B38" s="2027">
        <v>2023</v>
      </c>
      <c r="C38" s="2038">
        <v>1</v>
      </c>
      <c r="D38" s="2003"/>
      <c r="E38" s="2003">
        <v>0.55000000000000004</v>
      </c>
      <c r="F38" s="2003">
        <v>0.59</v>
      </c>
      <c r="G38" s="2003">
        <v>0.64</v>
      </c>
      <c r="H38" s="2909"/>
      <c r="I38" s="2004">
        <f t="shared" si="88"/>
        <v>0.59</v>
      </c>
      <c r="J38" s="2898"/>
      <c r="K38" s="2039"/>
      <c r="L38" s="2024">
        <f t="shared" si="98"/>
        <v>5.5000000000000005E-3</v>
      </c>
      <c r="M38" s="2024">
        <f t="shared" si="99"/>
        <v>5.8999999999999999E-3</v>
      </c>
      <c r="N38" s="2024">
        <f t="shared" si="100"/>
        <v>6.4000000000000003E-3</v>
      </c>
      <c r="O38" s="2024"/>
      <c r="P38" s="2024">
        <f t="shared" si="101"/>
        <v>5.8999999999999999E-3</v>
      </c>
      <c r="Q38" s="2898"/>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8"/>
      <c r="Y38" s="2024"/>
      <c r="Z38" s="2894"/>
      <c r="AA38" s="2895"/>
      <c r="AB38" s="2024"/>
      <c r="AC38" s="2896"/>
      <c r="AD38" s="2024"/>
    </row>
    <row r="39" spans="1:30" s="2041" customFormat="1" ht="13.2">
      <c r="A39" s="2897" t="s">
        <v>3364</v>
      </c>
      <c r="B39" s="2027">
        <v>2022</v>
      </c>
      <c r="C39" s="2038">
        <v>4</v>
      </c>
      <c r="D39" s="2003"/>
      <c r="E39" s="2003">
        <v>0.45</v>
      </c>
      <c r="F39" s="2003">
        <v>0.2</v>
      </c>
      <c r="G39" s="2003">
        <v>0.38</v>
      </c>
      <c r="H39" s="2909"/>
      <c r="I39" s="2004">
        <f t="shared" si="88"/>
        <v>0.2</v>
      </c>
      <c r="J39" s="2898"/>
      <c r="K39" s="2039"/>
      <c r="L39" s="2024">
        <f t="shared" si="89"/>
        <v>4.5000000000000005E-3</v>
      </c>
      <c r="M39" s="2024">
        <f t="shared" si="89"/>
        <v>2E-3</v>
      </c>
      <c r="N39" s="2024">
        <f t="shared" si="89"/>
        <v>3.8E-3</v>
      </c>
      <c r="O39" s="2024"/>
      <c r="P39" s="2024">
        <f t="shared" ref="P39:P46" si="103">M39</f>
        <v>2E-3</v>
      </c>
      <c r="Q39" s="2898"/>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8"/>
      <c r="Y39" s="2024"/>
      <c r="Z39" s="2894">
        <f t="shared" ref="Z39:AD46" si="105">IF(E39=0,0,ROUND(AVERAGE(E39:E47)/100,4))</f>
        <v>4.0000000000000001E-3</v>
      </c>
      <c r="AA39" s="2895">
        <f t="shared" si="105"/>
        <v>2.5999999999999999E-3</v>
      </c>
      <c r="AB39" s="2024">
        <f t="shared" si="105"/>
        <v>7.4000000000000003E-3</v>
      </c>
      <c r="AC39" s="2896"/>
      <c r="AD39" s="2024">
        <f t="shared" si="105"/>
        <v>2.5999999999999999E-3</v>
      </c>
    </row>
    <row r="40" spans="1:30" s="2041" customFormat="1" ht="13.2">
      <c r="A40" s="2897" t="s">
        <v>3363</v>
      </c>
      <c r="B40" s="2027">
        <v>2022</v>
      </c>
      <c r="C40" s="2038">
        <v>3</v>
      </c>
      <c r="D40" s="2003"/>
      <c r="E40" s="2003">
        <v>0.3</v>
      </c>
      <c r="F40" s="2003">
        <v>0.28999999999999998</v>
      </c>
      <c r="G40" s="2003">
        <v>0.83</v>
      </c>
      <c r="H40" s="2909"/>
      <c r="I40" s="2004">
        <f t="shared" si="88"/>
        <v>0.28999999999999998</v>
      </c>
      <c r="J40" s="2898"/>
      <c r="K40" s="2039"/>
      <c r="L40" s="2024">
        <f t="shared" si="89"/>
        <v>3.0000000000000001E-3</v>
      </c>
      <c r="M40" s="2024">
        <f t="shared" si="89"/>
        <v>2.8999999999999998E-3</v>
      </c>
      <c r="N40" s="2024">
        <f t="shared" si="89"/>
        <v>8.3000000000000001E-3</v>
      </c>
      <c r="O40" s="2024"/>
      <c r="P40" s="2024">
        <f t="shared" si="103"/>
        <v>2.8999999999999998E-3</v>
      </c>
      <c r="Q40" s="2898"/>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8"/>
      <c r="Y40" s="2024"/>
      <c r="Z40" s="2894">
        <f t="shared" si="105"/>
        <v>3.8999999999999998E-3</v>
      </c>
      <c r="AA40" s="2895">
        <f t="shared" si="105"/>
        <v>2.7000000000000001E-3</v>
      </c>
      <c r="AB40" s="2024">
        <f t="shared" si="105"/>
        <v>7.9000000000000008E-3</v>
      </c>
      <c r="AC40" s="2896"/>
      <c r="AD40" s="2024">
        <f t="shared" si="105"/>
        <v>2.7000000000000001E-3</v>
      </c>
    </row>
    <row r="41" spans="1:30" s="2041" customFormat="1" ht="13.2">
      <c r="A41" s="2897" t="s">
        <v>3353</v>
      </c>
      <c r="B41" s="2027">
        <v>2022</v>
      </c>
      <c r="C41" s="2038">
        <v>2</v>
      </c>
      <c r="D41" s="2003"/>
      <c r="E41" s="2003">
        <v>-0.11</v>
      </c>
      <c r="F41" s="2003">
        <v>-0.13</v>
      </c>
      <c r="G41" s="2003">
        <v>0.53</v>
      </c>
      <c r="H41" s="2909"/>
      <c r="I41" s="2004">
        <f t="shared" si="88"/>
        <v>-0.13</v>
      </c>
      <c r="J41" s="2898"/>
      <c r="K41" s="2039"/>
      <c r="L41" s="2024">
        <f t="shared" si="89"/>
        <v>-1.1000000000000001E-3</v>
      </c>
      <c r="M41" s="2024">
        <f t="shared" si="89"/>
        <v>-1.2999999999999999E-3</v>
      </c>
      <c r="N41" s="2024">
        <f t="shared" si="89"/>
        <v>5.3E-3</v>
      </c>
      <c r="O41" s="2024"/>
      <c r="P41" s="2024">
        <f t="shared" si="103"/>
        <v>-1.2999999999999999E-3</v>
      </c>
      <c r="Q41" s="2898"/>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8"/>
      <c r="Y41" s="2024"/>
      <c r="Z41" s="2894">
        <f t="shared" si="105"/>
        <v>4.1000000000000003E-3</v>
      </c>
      <c r="AA41" s="2895">
        <f t="shared" si="105"/>
        <v>2.7000000000000001E-3</v>
      </c>
      <c r="AB41" s="2024">
        <f t="shared" si="105"/>
        <v>7.9000000000000008E-3</v>
      </c>
      <c r="AC41" s="2896"/>
      <c r="AD41" s="2024">
        <f t="shared" si="105"/>
        <v>2.7000000000000001E-3</v>
      </c>
    </row>
    <row r="42" spans="1:30" s="2041" customFormat="1" ht="13.2">
      <c r="A42" s="2897" t="s">
        <v>2833</v>
      </c>
      <c r="B42" s="2027">
        <v>2022</v>
      </c>
      <c r="C42" s="2038">
        <v>1</v>
      </c>
      <c r="D42" s="2003"/>
      <c r="E42" s="2003">
        <v>0.6</v>
      </c>
      <c r="F42" s="2003">
        <v>0.45</v>
      </c>
      <c r="G42" s="2003">
        <v>0.53</v>
      </c>
      <c r="H42" s="2909"/>
      <c r="I42" s="2004">
        <f t="shared" si="88"/>
        <v>0.45</v>
      </c>
      <c r="J42" s="2898"/>
      <c r="K42" s="2039"/>
      <c r="L42" s="2024">
        <f t="shared" si="89"/>
        <v>6.0000000000000001E-3</v>
      </c>
      <c r="M42" s="2024">
        <f t="shared" si="89"/>
        <v>4.5000000000000005E-3</v>
      </c>
      <c r="N42" s="2024">
        <f t="shared" si="89"/>
        <v>5.3E-3</v>
      </c>
      <c r="O42" s="2024"/>
      <c r="P42" s="2024">
        <f t="shared" si="103"/>
        <v>4.5000000000000005E-3</v>
      </c>
      <c r="Q42" s="2898"/>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8"/>
      <c r="Y42" s="2024"/>
      <c r="Z42" s="2894">
        <f t="shared" si="105"/>
        <v>5.1000000000000004E-3</v>
      </c>
      <c r="AA42" s="2895">
        <f t="shared" si="105"/>
        <v>3.5000000000000001E-3</v>
      </c>
      <c r="AB42" s="2024">
        <f t="shared" si="105"/>
        <v>8.3999999999999995E-3</v>
      </c>
      <c r="AC42" s="2896"/>
      <c r="AD42" s="2024">
        <f t="shared" si="105"/>
        <v>3.5000000000000001E-3</v>
      </c>
    </row>
    <row r="43" spans="1:30" s="2041" customFormat="1" ht="13.2">
      <c r="A43" s="2897" t="s">
        <v>2834</v>
      </c>
      <c r="B43" s="2027">
        <v>2021</v>
      </c>
      <c r="C43" s="2038">
        <v>4</v>
      </c>
      <c r="D43" s="2003"/>
      <c r="E43" s="2003">
        <v>0.57999999999999996</v>
      </c>
      <c r="F43" s="2003">
        <v>0.08</v>
      </c>
      <c r="G43" s="2003">
        <v>0.68</v>
      </c>
      <c r="H43" s="2909"/>
      <c r="I43" s="2004">
        <f t="shared" si="88"/>
        <v>0.08</v>
      </c>
      <c r="J43" s="2898"/>
      <c r="K43" s="2039"/>
      <c r="L43" s="2024">
        <f t="shared" si="89"/>
        <v>5.7999999999999996E-3</v>
      </c>
      <c r="M43" s="2024">
        <f t="shared" si="89"/>
        <v>8.0000000000000004E-4</v>
      </c>
      <c r="N43" s="2024">
        <f t="shared" si="89"/>
        <v>6.8000000000000005E-3</v>
      </c>
      <c r="O43" s="2024"/>
      <c r="P43" s="2024">
        <f t="shared" si="103"/>
        <v>8.0000000000000004E-4</v>
      </c>
      <c r="Q43" s="2898"/>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8"/>
      <c r="Y43" s="2024"/>
      <c r="Z43" s="2894">
        <f t="shared" si="105"/>
        <v>4.8999999999999998E-3</v>
      </c>
      <c r="AA43" s="2895">
        <f t="shared" si="105"/>
        <v>3.3E-3</v>
      </c>
      <c r="AB43" s="2024">
        <f t="shared" si="105"/>
        <v>9.1999999999999998E-3</v>
      </c>
      <c r="AC43" s="2896"/>
      <c r="AD43" s="2024">
        <f t="shared" si="105"/>
        <v>3.3E-3</v>
      </c>
    </row>
    <row r="44" spans="1:30" s="2041" customFormat="1" ht="13.2">
      <c r="A44" s="2897" t="s">
        <v>2835</v>
      </c>
      <c r="B44" s="2027">
        <v>2021</v>
      </c>
      <c r="C44" s="2038">
        <v>3</v>
      </c>
      <c r="D44" s="2003"/>
      <c r="E44" s="2003">
        <v>0.47</v>
      </c>
      <c r="F44" s="2003">
        <v>0.28000000000000003</v>
      </c>
      <c r="G44" s="2003">
        <v>0.91</v>
      </c>
      <c r="H44" s="2909"/>
      <c r="I44" s="2004">
        <f t="shared" si="88"/>
        <v>0.28000000000000003</v>
      </c>
      <c r="J44" s="2898"/>
      <c r="K44" s="2039"/>
      <c r="L44" s="2024">
        <f t="shared" si="89"/>
        <v>4.6999999999999993E-3</v>
      </c>
      <c r="M44" s="2024">
        <f t="shared" si="89"/>
        <v>2.8000000000000004E-3</v>
      </c>
      <c r="N44" s="2024">
        <f t="shared" si="89"/>
        <v>9.1000000000000004E-3</v>
      </c>
      <c r="O44" s="2024"/>
      <c r="P44" s="2024">
        <f t="shared" si="103"/>
        <v>2.8000000000000004E-3</v>
      </c>
      <c r="Q44" s="2898"/>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8"/>
      <c r="Y44" s="2024"/>
      <c r="Z44" s="2894">
        <f t="shared" si="105"/>
        <v>4.5999999999999999E-3</v>
      </c>
      <c r="AA44" s="2895">
        <f t="shared" si="105"/>
        <v>4.1000000000000003E-3</v>
      </c>
      <c r="AB44" s="2024">
        <f t="shared" si="105"/>
        <v>0.01</v>
      </c>
      <c r="AC44" s="2896"/>
      <c r="AD44" s="2024">
        <f t="shared" si="105"/>
        <v>4.1000000000000003E-3</v>
      </c>
    </row>
    <row r="45" spans="1:30" s="2041" customFormat="1" ht="13.2">
      <c r="A45" s="2897" t="s">
        <v>2836</v>
      </c>
      <c r="B45" s="2027">
        <v>2021</v>
      </c>
      <c r="C45" s="2038">
        <v>2</v>
      </c>
      <c r="D45" s="2003"/>
      <c r="E45" s="2003">
        <v>0.55000000000000004</v>
      </c>
      <c r="F45" s="2003">
        <v>0.46</v>
      </c>
      <c r="G45" s="2003">
        <v>1.1000000000000001</v>
      </c>
      <c r="H45" s="2909"/>
      <c r="I45" s="2004">
        <f t="shared" si="88"/>
        <v>0.46</v>
      </c>
      <c r="J45" s="2898"/>
      <c r="K45" s="2039"/>
      <c r="L45" s="2024">
        <f t="shared" si="89"/>
        <v>5.5000000000000005E-3</v>
      </c>
      <c r="M45" s="2024">
        <f t="shared" si="89"/>
        <v>4.5999999999999999E-3</v>
      </c>
      <c r="N45" s="2024">
        <f t="shared" si="89"/>
        <v>1.1000000000000001E-2</v>
      </c>
      <c r="O45" s="2024"/>
      <c r="P45" s="2024">
        <f t="shared" si="103"/>
        <v>4.5999999999999999E-3</v>
      </c>
      <c r="Q45" s="2898"/>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8"/>
      <c r="Y45" s="2024"/>
      <c r="Z45" s="2894">
        <f t="shared" si="105"/>
        <v>4.4999999999999997E-3</v>
      </c>
      <c r="AA45" s="2895">
        <f t="shared" si="105"/>
        <v>4.7000000000000002E-3</v>
      </c>
      <c r="AB45" s="2024">
        <f t="shared" si="105"/>
        <v>1.04E-2</v>
      </c>
      <c r="AC45" s="2896"/>
      <c r="AD45" s="2024">
        <f t="shared" si="105"/>
        <v>4.7000000000000002E-3</v>
      </c>
    </row>
    <row r="46" spans="1:30" s="2920" customFormat="1" ht="13.8" thickBot="1">
      <c r="A46" s="2910" t="s">
        <v>2822</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5" thickTop="1"/>
    <row r="48" spans="1:30">
      <c r="A48" s="313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647" t="s">
        <v>452</v>
      </c>
      <c r="C1" s="3647"/>
      <c r="D1" s="3647"/>
      <c r="E1" s="3647"/>
      <c r="F1" s="3647"/>
      <c r="G1" s="3643" t="s">
        <v>453</v>
      </c>
      <c r="H1" s="3643"/>
      <c r="I1" s="3643"/>
      <c r="J1" s="3643"/>
      <c r="K1" s="3643"/>
      <c r="L1" s="3643"/>
      <c r="N1" s="3643" t="s">
        <v>454</v>
      </c>
      <c r="O1" s="3643"/>
      <c r="P1" s="3643"/>
      <c r="Q1" s="3643"/>
      <c r="S1" s="3643" t="s">
        <v>455</v>
      </c>
      <c r="T1" s="3643"/>
      <c r="U1" s="3643"/>
      <c r="V1" s="3643"/>
      <c r="X1" s="3642" t="s">
        <v>456</v>
      </c>
      <c r="Y1" s="3643"/>
      <c r="Z1" s="3643"/>
      <c r="AA1" s="3643"/>
      <c r="AB1" s="3643"/>
      <c r="AD1" s="3642" t="s">
        <v>457</v>
      </c>
      <c r="AE1" s="3643"/>
      <c r="AF1" s="3643"/>
      <c r="AG1" s="3643"/>
      <c r="AH1" s="3643"/>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4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4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4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5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64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4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64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5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4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4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4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4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64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4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4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4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64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4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4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4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64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5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5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5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64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4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4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64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64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4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4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4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64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4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4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4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64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4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4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4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64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4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4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4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64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4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4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4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64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4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4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4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64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4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4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4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64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4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4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4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64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4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45">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646">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64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4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45">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646">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7"/>
  <sheetViews>
    <sheetView workbookViewId="0">
      <selection activeCell="H14" sqref="H1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45734</v>
      </c>
      <c r="D1" s="1213" t="s">
        <v>603</v>
      </c>
      <c r="E1" s="1208">
        <f>'数据-取费表'!B22</f>
        <v>3</v>
      </c>
      <c r="F1" s="1213" t="s">
        <v>604</v>
      </c>
      <c r="G1" s="1209">
        <f ca="1">INDIRECT("d"&amp;$K$1)/100</f>
        <v>3.1E-2</v>
      </c>
      <c r="H1" s="1213" t="s">
        <v>634</v>
      </c>
      <c r="I1" s="1209">
        <f ca="1">F4/100</f>
        <v>1.4999999999999999E-2</v>
      </c>
      <c r="J1" s="1214">
        <f>IF(C1&gt;C13,0,MATCH(C1,C$13:C$114,-1))+IF(SUMIF(C13:C114,C1,D13:D114)=0,13,12)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5.6">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5.6">
      <c r="B26" s="1196" t="s">
        <v>2307</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26" t="s">
        <v>949</v>
      </c>
      <c r="B1" s="3326"/>
      <c r="C1" s="3326"/>
      <c r="D1" s="3326"/>
    </row>
    <row r="2" spans="1:4" ht="17.399999999999999">
      <c r="A2" s="3327" t="s">
        <v>933</v>
      </c>
      <c r="B2" s="3327"/>
      <c r="C2" s="3327"/>
      <c r="D2" s="3327"/>
    </row>
    <row r="3" spans="1:4" ht="17.399999999999999">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f>项目基本情况!D4</f>
        <v>0</v>
      </c>
      <c r="B5" s="1405">
        <f>项目基本情况!E4</f>
        <v>0</v>
      </c>
      <c r="C5" s="1408"/>
      <c r="D5" s="1407" t="s">
        <v>938</v>
      </c>
    </row>
    <row r="6" spans="1:4" ht="17.399999999999999">
      <c r="A6" s="3327" t="s">
        <v>939</v>
      </c>
      <c r="B6" s="3327"/>
      <c r="C6" s="3327"/>
      <c r="D6" s="3327"/>
    </row>
    <row r="7" spans="1:4" ht="17.399999999999999">
      <c r="A7" s="1403" t="s">
        <v>934</v>
      </c>
      <c r="B7" s="1405" t="s">
        <v>940</v>
      </c>
      <c r="C7" s="1403" t="s">
        <v>936</v>
      </c>
      <c r="D7" s="1403" t="s">
        <v>937</v>
      </c>
    </row>
    <row r="8" spans="1:4" ht="56.25" customHeight="1">
      <c r="A8" s="1409" t="s">
        <v>390</v>
      </c>
      <c r="B8" s="1409" t="s">
        <v>0</v>
      </c>
      <c r="C8" s="1406"/>
      <c r="D8" s="1407" t="s">
        <v>938</v>
      </c>
    </row>
    <row r="10" spans="1:4" ht="17.399999999999999">
      <c r="A10" s="1410" t="s">
        <v>941</v>
      </c>
    </row>
    <row r="11" spans="1:4" ht="30" customHeight="1">
      <c r="A11" s="3328" t="s">
        <v>942</v>
      </c>
      <c r="B11" s="3320"/>
      <c r="C11" s="3320"/>
      <c r="D11" s="3320"/>
    </row>
    <row r="12" spans="1:4" ht="15.6">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943</v>
      </c>
      <c r="B16" s="3322"/>
      <c r="C16" s="3322"/>
      <c r="D16" s="3322"/>
    </row>
    <row r="17" spans="1:4" ht="144" customHeight="1">
      <c r="A17" s="3322" t="s">
        <v>944</v>
      </c>
      <c r="B17" s="3322"/>
      <c r="C17" s="3322"/>
      <c r="D17" s="3322"/>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3"/>
      <c r="C21" s="3323"/>
      <c r="D21" s="3323"/>
    </row>
    <row r="22" spans="1:4" ht="18.75" customHeight="1">
      <c r="A22" s="3324" t="s">
        <v>945</v>
      </c>
      <c r="B22" s="3324"/>
      <c r="C22" s="3324"/>
      <c r="D22" s="3324"/>
    </row>
    <row r="23" spans="1:4">
      <c r="A23" s="1411"/>
      <c r="B23" s="459"/>
      <c r="C23" s="459"/>
      <c r="D23" s="459"/>
    </row>
    <row r="24" spans="1:4">
      <c r="A24" s="1411"/>
      <c r="B24" s="459"/>
      <c r="C24" s="459"/>
      <c r="D24" s="459"/>
    </row>
    <row r="25" spans="1:4" ht="17.399999999999999">
      <c r="A25" s="1412" t="s">
        <v>946</v>
      </c>
    </row>
    <row r="26" spans="1:4" ht="17.399999999999999">
      <c r="A26" s="1383"/>
    </row>
    <row r="27" spans="1:4" ht="17.399999999999999">
      <c r="A27" s="1383" t="s">
        <v>947</v>
      </c>
    </row>
    <row r="30" spans="1:4" ht="17.399999999999999">
      <c r="D30" s="1412" t="s">
        <v>948</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4">
      <c r="A15" s="3334" t="s">
        <v>956</v>
      </c>
      <c r="B15" s="3329" t="s">
        <v>109</v>
      </c>
      <c r="C15" s="3330"/>
    </row>
    <row r="16" spans="1:7" ht="14.4">
      <c r="A16" s="3335"/>
      <c r="B16" s="3329" t="s">
        <v>42</v>
      </c>
      <c r="C16" s="3330"/>
    </row>
    <row r="17" spans="1:3" ht="14.4">
      <c r="A17" s="3335"/>
      <c r="B17" s="3332" t="s">
        <v>957</v>
      </c>
      <c r="C17" s="1425" t="s">
        <v>956</v>
      </c>
    </row>
    <row r="18" spans="1:3" ht="14.4">
      <c r="A18" s="3335"/>
      <c r="B18" s="3332"/>
      <c r="C18" s="1425" t="s">
        <v>958</v>
      </c>
    </row>
    <row r="19" spans="1:3" ht="14.4">
      <c r="A19" s="3335"/>
      <c r="B19" s="3332"/>
      <c r="C19" s="1425" t="s">
        <v>959</v>
      </c>
    </row>
    <row r="20" spans="1:3" ht="14.4">
      <c r="A20" s="3336"/>
      <c r="B20" s="3331" t="s">
        <v>960</v>
      </c>
      <c r="C20" s="3330"/>
    </row>
    <row r="21" spans="1:3" ht="14.4">
      <c r="A21" s="1426" t="s">
        <v>961</v>
      </c>
      <c r="B21" s="1427"/>
      <c r="C21" s="1428"/>
    </row>
    <row r="22" spans="1:3" ht="14.4">
      <c r="A22" s="3333" t="s">
        <v>962</v>
      </c>
      <c r="B22" s="3331" t="s">
        <v>963</v>
      </c>
      <c r="C22" s="3330"/>
    </row>
    <row r="23" spans="1:3" ht="14.4">
      <c r="A23" s="3333"/>
      <c r="B23" s="3331" t="s">
        <v>964</v>
      </c>
      <c r="C23" s="3330"/>
    </row>
    <row r="24" spans="1:3" ht="14.4">
      <c r="A24" s="3333"/>
      <c r="B24" s="3331" t="s">
        <v>965</v>
      </c>
      <c r="C24" s="3330"/>
    </row>
    <row r="25" spans="1:3" ht="14.4">
      <c r="A25" s="3333"/>
      <c r="B25" s="3332" t="s">
        <v>966</v>
      </c>
      <c r="C25" s="1425" t="s">
        <v>967</v>
      </c>
    </row>
    <row r="26" spans="1:3" ht="14.4">
      <c r="A26" s="3333"/>
      <c r="B26" s="3332"/>
      <c r="C26" s="1425" t="s">
        <v>968</v>
      </c>
    </row>
    <row r="27" spans="1:3" ht="14.4">
      <c r="A27" s="3333"/>
      <c r="B27" s="3332"/>
      <c r="C27" s="1425" t="s">
        <v>969</v>
      </c>
    </row>
    <row r="28" spans="1:3" ht="14.4">
      <c r="A28" s="3333"/>
      <c r="B28" s="3332"/>
      <c r="C28" s="1425" t="s">
        <v>970</v>
      </c>
    </row>
    <row r="29" spans="1:3" ht="14.4">
      <c r="A29" s="3333"/>
      <c r="B29" s="3332"/>
      <c r="C29" s="1425" t="s">
        <v>971</v>
      </c>
    </row>
    <row r="30" spans="1:3" ht="14.4">
      <c r="A30" s="3333"/>
      <c r="B30" s="3332"/>
      <c r="C30" s="1425" t="s">
        <v>972</v>
      </c>
    </row>
    <row r="31" spans="1:3" ht="14.4">
      <c r="A31" s="3333"/>
      <c r="B31" s="3332"/>
      <c r="C31" s="1425" t="s">
        <v>973</v>
      </c>
    </row>
    <row r="32" spans="1:3" ht="14.4">
      <c r="A32" s="3333"/>
      <c r="B32" s="3332"/>
      <c r="C32" s="1425" t="s">
        <v>974</v>
      </c>
    </row>
    <row r="33" spans="1:3" ht="14.4">
      <c r="A33" s="3333"/>
      <c r="B33" s="3332"/>
      <c r="C33" s="1425" t="s">
        <v>975</v>
      </c>
    </row>
    <row r="34" spans="1:3">
      <c r="A34" s="1429" t="s">
        <v>49</v>
      </c>
    </row>
    <row r="37" spans="1:3">
      <c r="A37" s="1429" t="s">
        <v>976</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45743</v>
      </c>
      <c r="C2" s="2154" t="s">
        <v>2140</v>
      </c>
      <c r="D2" s="2154"/>
      <c r="E2" s="2154"/>
      <c r="F2" s="2150"/>
      <c r="G2" s="2150"/>
      <c r="H2" s="2150"/>
    </row>
    <row r="3" spans="1:8" ht="24" customHeight="1">
      <c r="A3" s="2155" t="s">
        <v>2141</v>
      </c>
      <c r="B3" s="1215" t="s">
        <v>2142</v>
      </c>
      <c r="C3" s="1215" t="s">
        <v>2143</v>
      </c>
      <c r="D3" s="2156" t="s">
        <v>2144</v>
      </c>
      <c r="E3" s="2157" t="s">
        <v>2145</v>
      </c>
      <c r="F3" s="1215" t="s">
        <v>2146</v>
      </c>
      <c r="G3" s="1215" t="s">
        <v>2143</v>
      </c>
      <c r="H3" s="2156" t="s">
        <v>2147</v>
      </c>
    </row>
    <row r="4" spans="1:8" ht="24" customHeight="1">
      <c r="A4" s="1215" t="s">
        <v>2148</v>
      </c>
      <c r="B4" s="1215">
        <f ca="1">IF(C4&lt;B2,"已过期",1119970066)</f>
        <v>1119970066</v>
      </c>
      <c r="C4" s="2158">
        <v>45937</v>
      </c>
      <c r="D4" s="2159" t="str">
        <f ca="1">A4&amp;"（注册号："&amp;B4&amp;"）"</f>
        <v>梁津（注册号：1119970066）</v>
      </c>
      <c r="E4" s="2160" t="s">
        <v>2148</v>
      </c>
      <c r="F4" s="1215">
        <f ca="1">IF(G4&lt;B2,"已过期",96010014)</f>
        <v>96010014</v>
      </c>
      <c r="G4" s="2161">
        <v>47118</v>
      </c>
      <c r="H4" s="2162" t="str">
        <f ca="1">E4&amp;"（注册号："&amp;F4&amp;"）"</f>
        <v>梁津（注册号：96010014）</v>
      </c>
    </row>
    <row r="5" spans="1:8" ht="24" customHeight="1">
      <c r="A5" s="1215" t="s">
        <v>2149</v>
      </c>
      <c r="B5" s="1215">
        <f ca="1">IF(C5&lt;B2,"已过期",1119970111)</f>
        <v>1119970111</v>
      </c>
      <c r="C5" s="2158">
        <v>45937</v>
      </c>
      <c r="D5" s="2159" t="str">
        <f t="shared" ref="D5:D15" ca="1" si="0">A5&amp;"（注册号："&amp;B5&amp;"）"</f>
        <v>叶凌（注册号：1119970111）</v>
      </c>
      <c r="E5" s="2160" t="s">
        <v>2149</v>
      </c>
      <c r="F5" s="1215">
        <f ca="1">IF(G5&lt;B2,"已过期",94010078)</f>
        <v>94010078</v>
      </c>
      <c r="G5" s="2161">
        <v>46387</v>
      </c>
      <c r="H5" s="2162" t="str">
        <f t="shared" ref="H5:H16" ca="1" si="1">E5&amp;"（注册号："&amp;F5&amp;"）"</f>
        <v>叶凌（注册号：94010078）</v>
      </c>
    </row>
    <row r="6" spans="1:8" ht="24" customHeight="1">
      <c r="A6" s="1215" t="s">
        <v>2150</v>
      </c>
      <c r="B6" s="1215" t="str">
        <f ca="1">IF(C6&lt;B2,"已过期",1120050019)</f>
        <v>已过期</v>
      </c>
      <c r="C6" s="2158">
        <v>45410</v>
      </c>
      <c r="D6" s="2159" t="str">
        <f t="shared" ca="1" si="0"/>
        <v>王鹏（注册号：已过期）</v>
      </c>
      <c r="E6" s="2160" t="s">
        <v>2150</v>
      </c>
      <c r="F6" s="1215">
        <f ca="1">IF(G6&lt;B2,"已过期",2002110030)</f>
        <v>2002110030</v>
      </c>
      <c r="G6" s="2161">
        <v>46387</v>
      </c>
      <c r="H6" s="2162" t="str">
        <f t="shared" ca="1" si="1"/>
        <v>王鹏（注册号：2002110030）</v>
      </c>
    </row>
    <row r="7" spans="1:8" ht="24" customHeight="1">
      <c r="A7" s="1215" t="s">
        <v>2151</v>
      </c>
      <c r="B7" s="1215">
        <f ca="1">IF(C7&lt;B2,"已过期",1120000080)</f>
        <v>1120000080</v>
      </c>
      <c r="C7" s="2158">
        <v>45937</v>
      </c>
      <c r="D7" s="2159" t="str">
        <f t="shared" ca="1" si="0"/>
        <v>欧红伟（注册号：1120000080）</v>
      </c>
      <c r="E7" s="2160" t="s">
        <v>2151</v>
      </c>
      <c r="F7" s="1215">
        <f ca="1">IF(G7&lt;B2,"已过期",2000110082)</f>
        <v>2000110082</v>
      </c>
      <c r="G7" s="2161">
        <v>46387</v>
      </c>
      <c r="H7" s="2162" t="str">
        <f t="shared" ca="1" si="1"/>
        <v>欧红伟（注册号：2000110082）</v>
      </c>
    </row>
    <row r="8" spans="1:8" ht="24" customHeight="1">
      <c r="A8" s="1215" t="s">
        <v>2152</v>
      </c>
      <c r="B8" s="1215">
        <f ca="1">IF(C8&lt;B2,"已过期",1419970001)</f>
        <v>1419970001</v>
      </c>
      <c r="C8" s="2158">
        <v>45937</v>
      </c>
      <c r="D8" s="2159" t="str">
        <f t="shared" ca="1" si="0"/>
        <v>吴薇（注册号：1419970001）</v>
      </c>
      <c r="E8" s="2160" t="s">
        <v>2152</v>
      </c>
      <c r="F8" s="1215">
        <f ca="1">IF(G8&lt;B2,"已过期",2002110125)</f>
        <v>2002110125</v>
      </c>
      <c r="G8" s="2161">
        <v>47118</v>
      </c>
      <c r="H8" s="2162" t="str">
        <f t="shared" ca="1" si="1"/>
        <v>吴薇（注册号：2002110125）</v>
      </c>
    </row>
    <row r="9" spans="1:8" ht="24" customHeight="1">
      <c r="A9" s="1215" t="s">
        <v>2153</v>
      </c>
      <c r="B9" s="1215" t="str">
        <f ca="1">IF(C9&lt;B2,"已过期",1120060040)</f>
        <v>已过期</v>
      </c>
      <c r="C9" s="2163">
        <v>45592</v>
      </c>
      <c r="D9" s="2159" t="str">
        <f t="shared" ca="1" si="0"/>
        <v>陈颖（注册号：已过期）</v>
      </c>
      <c r="E9" s="2160" t="s">
        <v>2153</v>
      </c>
      <c r="F9" s="1215">
        <f ca="1">IF(G9&lt;B2,"已过期",2004110096)</f>
        <v>2004110096</v>
      </c>
      <c r="G9" s="2161">
        <v>47118</v>
      </c>
      <c r="H9" s="2162" t="str">
        <f t="shared" ca="1" si="1"/>
        <v>陈颖（注册号：2004110096）</v>
      </c>
    </row>
    <row r="10" spans="1:8" ht="24" customHeight="1">
      <c r="A10" s="1215" t="s">
        <v>2154</v>
      </c>
      <c r="B10" s="1215">
        <f ca="1">IF(C10&lt;B2,"已过期",1120100036)</f>
        <v>1120100036</v>
      </c>
      <c r="C10" s="2163">
        <v>45752</v>
      </c>
      <c r="D10" s="2159" t="str">
        <f t="shared" ca="1" si="0"/>
        <v>崔锴（注册号：1120100036）</v>
      </c>
      <c r="E10" s="2160" t="s">
        <v>2154</v>
      </c>
      <c r="F10" s="1215">
        <f ca="1">IF(G10&lt;B2,"已过期",2010110070)</f>
        <v>2010110070</v>
      </c>
      <c r="G10" s="2161">
        <v>47907</v>
      </c>
      <c r="H10" s="2162" t="str">
        <f t="shared" ca="1" si="1"/>
        <v>崔锴（注册号：2010110070）</v>
      </c>
    </row>
    <row r="11" spans="1:8" ht="24" customHeight="1">
      <c r="A11" s="1215" t="s">
        <v>2155</v>
      </c>
      <c r="B11" s="1215">
        <f ca="1">IF(C11&lt;B2,"已过期",1120070131)</f>
        <v>1120070131</v>
      </c>
      <c r="C11" s="2158">
        <v>45937</v>
      </c>
      <c r="D11" s="2159" t="str">
        <f t="shared" ca="1" si="0"/>
        <v>郑燚（注册号：1120070131）</v>
      </c>
      <c r="E11" s="2160" t="s">
        <v>2155</v>
      </c>
      <c r="F11" s="1215">
        <f ca="1">IF(G11&lt;B2,"已过期",2014110011)</f>
        <v>2014110011</v>
      </c>
      <c r="G11" s="2161">
        <v>49302</v>
      </c>
      <c r="H11" s="2162" t="str">
        <f t="shared" ca="1" si="1"/>
        <v>郑燚（注册号：2014110011）</v>
      </c>
    </row>
    <row r="12" spans="1:8" ht="24" customHeight="1">
      <c r="A12" s="1215" t="s">
        <v>2156</v>
      </c>
      <c r="B12" s="1215">
        <f ca="1">IF(C12&lt;B2,"已过期",1120040230)</f>
        <v>1120040230</v>
      </c>
      <c r="C12" s="2163">
        <v>45937</v>
      </c>
      <c r="D12" s="2159" t="str">
        <f t="shared" ca="1" si="0"/>
        <v>苏海（注册号：1120040230）</v>
      </c>
      <c r="E12" s="2160" t="s">
        <v>2156</v>
      </c>
      <c r="F12" s="1215">
        <f ca="1">IF(G12&lt;B2,"已过期",98030020)</f>
        <v>98030020</v>
      </c>
      <c r="G12" s="2161">
        <v>47118</v>
      </c>
      <c r="H12" s="2162" t="str">
        <f t="shared" ca="1" si="1"/>
        <v>苏海（注册号：98030020）</v>
      </c>
    </row>
    <row r="13" spans="1:8" ht="24" customHeight="1">
      <c r="A13" s="1215" t="s">
        <v>2157</v>
      </c>
      <c r="B13" s="1215" t="str">
        <f ca="1">IF(C13&lt;B2,"已过期",1120020033)</f>
        <v>已过期</v>
      </c>
      <c r="C13" s="2158">
        <v>45375</v>
      </c>
      <c r="D13" s="2159" t="str">
        <f t="shared" ca="1" si="0"/>
        <v>刘敬东（注册号：已过期）</v>
      </c>
      <c r="E13" s="2160" t="s">
        <v>2157</v>
      </c>
      <c r="F13" s="1215">
        <f ca="1">IF(G13&lt;B2,"已过期",2000110137)</f>
        <v>2000110137</v>
      </c>
      <c r="G13" s="2161">
        <v>46387</v>
      </c>
      <c r="H13" s="2162" t="str">
        <f t="shared" ca="1" si="1"/>
        <v>刘敬东（注册号：2000110137）</v>
      </c>
    </row>
    <row r="14" spans="1:8" ht="24" customHeight="1">
      <c r="A14" s="1215" t="s">
        <v>2158</v>
      </c>
      <c r="B14" s="1215" t="str">
        <f ca="1">IF(C14&lt;B2,"已过期",1119980106)</f>
        <v>已过期</v>
      </c>
      <c r="C14" s="2163">
        <v>44969</v>
      </c>
      <c r="D14" s="2159" t="str">
        <f t="shared" ca="1" si="0"/>
        <v>刘俊财（注册号：已过期）</v>
      </c>
      <c r="E14" s="2160" t="s">
        <v>2158</v>
      </c>
      <c r="F14" s="1215">
        <f ca="1">IF(G14&lt;B2,"已过期",96010063)</f>
        <v>96010063</v>
      </c>
      <c r="G14" s="2161">
        <v>47483</v>
      </c>
      <c r="H14" s="2162" t="str">
        <f t="shared" ca="1" si="1"/>
        <v>刘俊财（注册号：96010063）</v>
      </c>
    </row>
    <row r="15" spans="1:8" ht="24" customHeight="1">
      <c r="A15" s="1215" t="s">
        <v>2435</v>
      </c>
      <c r="B15" s="1215">
        <v>1120210056</v>
      </c>
      <c r="C15" s="2163">
        <v>45410</v>
      </c>
      <c r="D15" s="2159" t="str">
        <f t="shared" si="0"/>
        <v>宁小鳗（注册号：1120210056）</v>
      </c>
      <c r="E15" s="2160" t="s">
        <v>2159</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337" t="s">
        <v>2160</v>
      </c>
      <c r="B17" s="3337"/>
      <c r="C17" s="3337"/>
      <c r="D17" s="3337"/>
      <c r="E17" s="3337"/>
      <c r="F17" s="3337"/>
      <c r="G17" s="3337"/>
      <c r="H17" s="3337"/>
    </row>
    <row r="18" spans="1:8" ht="24" customHeight="1">
      <c r="A18" s="3338" t="s">
        <v>2161</v>
      </c>
      <c r="B18" s="3338"/>
      <c r="C18" s="3338"/>
      <c r="D18" s="2156"/>
      <c r="E18" s="3339" t="s">
        <v>2162</v>
      </c>
      <c r="F18" s="3338"/>
      <c r="G18" s="3338"/>
    </row>
    <row r="19" spans="1:8" s="2166" customFormat="1" ht="24" customHeight="1">
      <c r="A19" s="2165" t="s">
        <v>2163</v>
      </c>
      <c r="B19" s="1215" t="s">
        <v>2164</v>
      </c>
      <c r="C19" s="1215" t="s">
        <v>2143</v>
      </c>
      <c r="D19" s="2156"/>
      <c r="E19" s="2160" t="s">
        <v>2163</v>
      </c>
      <c r="F19" s="1215" t="s">
        <v>2164</v>
      </c>
      <c r="G19" s="1215"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2025-03-27T06:03:49Z</dcterms:modified>
</cp:coreProperties>
</file>